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hidePivotFieldList="1" defaultThemeVersion="124226"/>
  <xr:revisionPtr revIDLastSave="0" documentId="13_ncr:1_{6C1C3644-FEC6-45D6-997F-FC1BE36F8792}" xr6:coauthVersionLast="47" xr6:coauthVersionMax="47" xr10:uidLastSave="{00000000-0000-0000-0000-000000000000}"/>
  <bookViews>
    <workbookView xWindow="-120" yWindow="-120" windowWidth="20730" windowHeight="11160" tabRatio="813" firstSheet="15" activeTab="15" xr2:uid="{00000000-000D-0000-FFFF-FFFF00000000}"/>
  </bookViews>
  <sheets>
    <sheet name="TOTAL PivotRs" sheetId="7" state="hidden" r:id="rId1"/>
    <sheet name="TOTAL Pivot $" sheetId="25" state="hidden" r:id="rId2"/>
    <sheet name="Manipal Pivot" sheetId="4" state="hidden" r:id="rId3"/>
    <sheet name="Manipal Details" sheetId="1" state="hidden" r:id="rId4"/>
    <sheet name="all unformat" sheetId="33" state="hidden" r:id="rId5"/>
    <sheet name="TFC formatted" sheetId="34" state="hidden" r:id="rId6"/>
    <sheet name="TFC Details" sheetId="13" state="hidden" r:id="rId7"/>
    <sheet name="IVF details" sheetId="8" state="hidden" r:id="rId8"/>
    <sheet name="TOTAL" sheetId="6" state="hidden" r:id="rId9"/>
    <sheet name="Hormone levels" sheetId="9" state="hidden" r:id="rId10"/>
    <sheet name="GIFT Pivot" sheetId="5" state="hidden" r:id="rId11"/>
    <sheet name="GIFT Details" sheetId="2" state="hidden" r:id="rId12"/>
    <sheet name="Funds BLR" sheetId="12" state="hidden" r:id="rId13"/>
    <sheet name="Funds TCR" sheetId="3" state="hidden" r:id="rId14"/>
    <sheet name="Tshirt quilt" sheetId="17" state="hidden" r:id="rId15"/>
    <sheet name="Orders pivot" sheetId="27" r:id="rId16"/>
    <sheet name="Amma dec23-feb24" sheetId="41" state="hidden" r:id="rId17"/>
    <sheet name="Completed orders" sheetId="44" r:id="rId18"/>
    <sheet name="aus" sheetId="37" state="hidden" r:id="rId19"/>
    <sheet name="TADAH Tea Party Dress" sheetId="32" state="hidden" r:id="rId20"/>
    <sheet name="icici statement apr 18-19" sheetId="29" state="hidden" r:id="rId21"/>
    <sheet name="Cost of items" sheetId="43" r:id="rId22"/>
    <sheet name="Cost of fabrics" sheetId="42" r:id="rId23"/>
    <sheet name="Pricing Calc" sheetId="16" r:id="rId24"/>
    <sheet name="All Orders" sheetId="20" r:id="rId25"/>
    <sheet name="Mixer sizes" sheetId="19" r:id="rId26"/>
    <sheet name="monthly" sheetId="31" state="hidden" r:id="rId27"/>
    <sheet name="PRICING FOR EACH" sheetId="24" state="hidden" r:id="rId28"/>
    <sheet name="BAZAAR" sheetId="28" state="hidden" r:id="rId29"/>
    <sheet name="quilt panels" sheetId="18" state="hidden" r:id="rId30"/>
    <sheet name="Complex measuremts" sheetId="21" state="hidden" r:id="rId31"/>
    <sheet name="Fednet" sheetId="10" state="hidden" r:id="rId32"/>
    <sheet name="SGP moving" sheetId="11" state="hidden" r:id="rId33"/>
    <sheet name="Singapore my exp" sheetId="15" state="hidden" r:id="rId34"/>
  </sheets>
  <definedNames>
    <definedName name="_xlnm._FilterDatabase" localSheetId="24" hidden="1">'All Orders'!$A$1:$O$161</definedName>
    <definedName name="_xlnm._FilterDatabase" localSheetId="4" hidden="1">'all unformat'!$A$4:$A$703</definedName>
    <definedName name="_xlnm._FilterDatabase" localSheetId="18" hidden="1">aus!$I$4:$O$22</definedName>
    <definedName name="_xlnm._FilterDatabase" localSheetId="17" hidden="1">'Completed orders'!$A$1:$EG$112</definedName>
    <definedName name="_xlnm._FilterDatabase" localSheetId="21" hidden="1">'Cost of items'!$A$2:$C$86</definedName>
    <definedName name="_xlnm._FilterDatabase" localSheetId="12" hidden="1">'Funds BLR'!$A$21:$G$239</definedName>
    <definedName name="_xlnm._FilterDatabase" localSheetId="13" hidden="1">'Funds TCR'!$I$2:$O$241</definedName>
    <definedName name="_xlnm._FilterDatabase" localSheetId="11" hidden="1">'GIFT Details'!$A$2:$O$84</definedName>
    <definedName name="_xlnm._FilterDatabase" localSheetId="20" hidden="1">'icici statement apr 18-19'!$A$6:$H$48</definedName>
    <definedName name="_xlnm._FilterDatabase" localSheetId="7" hidden="1">'IVF details'!$A$1:$I$372</definedName>
    <definedName name="_xlnm._FilterDatabase" localSheetId="3" hidden="1">'Manipal Details'!$A$1:$O$164</definedName>
    <definedName name="_xlnm._FilterDatabase" localSheetId="25" hidden="1">'Mixer sizes'!$A$3:$K$50</definedName>
    <definedName name="_xlnm._FilterDatabase" localSheetId="23" hidden="1">'Pricing Calc'!$A$1:$G$996</definedName>
    <definedName name="_xlnm._FilterDatabase" localSheetId="6" hidden="1">'TFC Details'!$A$1:$L$210</definedName>
    <definedName name="_xlnm._FilterDatabase" localSheetId="8" hidden="1">TOTAL!$A$1:$H$455</definedName>
  </definedNames>
  <calcPr calcId="181029"/>
  <pivotCaches>
    <pivotCache cacheId="0" r:id="rId35"/>
    <pivotCache cacheId="1" r:id="rId36"/>
    <pivotCache cacheId="2" r:id="rId37"/>
    <pivotCache cacheId="3" r:id="rId38"/>
    <pivotCache cacheId="4" r:id="rId39"/>
    <pivotCache cacheId="77" r:id="rId40"/>
    <pivotCache cacheId="83" r:id="rId41"/>
  </pivotCaches>
  <fileRecoveryPr autoRecover="0"/>
</workbook>
</file>

<file path=xl/calcChain.xml><?xml version="1.0" encoding="utf-8"?>
<calcChain xmlns="http://schemas.openxmlformats.org/spreadsheetml/2006/main">
  <c r="L106" i="44" l="1"/>
  <c r="L107" i="44"/>
  <c r="K106" i="44"/>
  <c r="K107" i="44"/>
  <c r="P3" i="44"/>
  <c r="P4" i="44"/>
  <c r="P5" i="44"/>
  <c r="P6" i="44"/>
  <c r="P7" i="44"/>
  <c r="P8" i="44"/>
  <c r="P9" i="44"/>
  <c r="P10" i="44"/>
  <c r="P11" i="44"/>
  <c r="P12" i="44"/>
  <c r="P13" i="44"/>
  <c r="P14" i="44"/>
  <c r="P15" i="44"/>
  <c r="P16" i="44"/>
  <c r="P17" i="44"/>
  <c r="P18" i="44"/>
  <c r="P19" i="44"/>
  <c r="P20" i="44"/>
  <c r="P21" i="44"/>
  <c r="P22" i="44"/>
  <c r="P23" i="44"/>
  <c r="P24" i="44"/>
  <c r="P25" i="44"/>
  <c r="P26" i="44"/>
  <c r="P27" i="44"/>
  <c r="P28" i="44"/>
  <c r="P29" i="44"/>
  <c r="P30" i="44"/>
  <c r="P31" i="44"/>
  <c r="P32" i="44"/>
  <c r="P33" i="44"/>
  <c r="P34" i="44"/>
  <c r="P35" i="44"/>
  <c r="P36" i="44"/>
  <c r="P37" i="44"/>
  <c r="P38" i="44"/>
  <c r="P39" i="44"/>
  <c r="P40" i="44"/>
  <c r="P41" i="44"/>
  <c r="P42" i="44"/>
  <c r="P43" i="44"/>
  <c r="P44" i="44"/>
  <c r="P45" i="44"/>
  <c r="P46" i="44"/>
  <c r="P47" i="44"/>
  <c r="P48" i="44"/>
  <c r="P49" i="44"/>
  <c r="P50" i="44"/>
  <c r="P51" i="44"/>
  <c r="P52" i="44"/>
  <c r="P53" i="44"/>
  <c r="P54" i="44"/>
  <c r="P55" i="44"/>
  <c r="P56" i="44"/>
  <c r="P57" i="44"/>
  <c r="P58" i="44"/>
  <c r="P59" i="44"/>
  <c r="P60" i="44"/>
  <c r="P61" i="44"/>
  <c r="P62" i="44"/>
  <c r="P63" i="44"/>
  <c r="P64" i="44"/>
  <c r="P65" i="44"/>
  <c r="P66" i="44"/>
  <c r="P67" i="44"/>
  <c r="P68" i="44"/>
  <c r="P69" i="44"/>
  <c r="P70" i="44"/>
  <c r="P71" i="44"/>
  <c r="P72" i="44"/>
  <c r="P73" i="44"/>
  <c r="P74" i="44"/>
  <c r="P75" i="44"/>
  <c r="P76" i="44"/>
  <c r="P77" i="44"/>
  <c r="P78" i="44"/>
  <c r="P79" i="44"/>
  <c r="P80" i="44"/>
  <c r="P81" i="44"/>
  <c r="P82" i="44"/>
  <c r="P83" i="44"/>
  <c r="P84" i="44"/>
  <c r="P85" i="44"/>
  <c r="P86" i="44"/>
  <c r="P87" i="44"/>
  <c r="P88" i="44"/>
  <c r="P89" i="44"/>
  <c r="P90" i="44"/>
  <c r="P91" i="44"/>
  <c r="P92" i="44"/>
  <c r="P93" i="44"/>
  <c r="P94" i="44"/>
  <c r="P95" i="44"/>
  <c r="P96" i="44"/>
  <c r="P97" i="44"/>
  <c r="P98" i="44"/>
  <c r="P99" i="44"/>
  <c r="P100" i="44"/>
  <c r="P101" i="44"/>
  <c r="P102" i="44"/>
  <c r="P103" i="44"/>
  <c r="P104" i="44"/>
  <c r="P105" i="44"/>
  <c r="P106" i="44"/>
  <c r="P107" i="44"/>
  <c r="P108" i="44"/>
  <c r="P109" i="44"/>
  <c r="P110" i="44"/>
  <c r="P111" i="44"/>
  <c r="P112" i="44"/>
  <c r="P2" i="44"/>
  <c r="O116" i="44"/>
  <c r="O115" i="44"/>
  <c r="L112" i="44"/>
  <c r="K112" i="44"/>
  <c r="L111" i="44"/>
  <c r="K111" i="44"/>
  <c r="L110" i="44"/>
  <c r="K110" i="44"/>
  <c r="L109" i="44"/>
  <c r="K109" i="44"/>
  <c r="L108" i="44"/>
  <c r="K108" i="44"/>
  <c r="L105" i="44"/>
  <c r="K105" i="44"/>
  <c r="L104" i="44"/>
  <c r="K104" i="44"/>
  <c r="L103" i="44"/>
  <c r="K103" i="44"/>
  <c r="L102" i="44"/>
  <c r="K102" i="44"/>
  <c r="L101" i="44"/>
  <c r="K101" i="44"/>
  <c r="L100" i="44"/>
  <c r="K100" i="44"/>
  <c r="L99" i="44"/>
  <c r="K99" i="44"/>
  <c r="L98" i="44"/>
  <c r="K98" i="44"/>
  <c r="L97" i="44"/>
  <c r="K97" i="44"/>
  <c r="L96" i="44"/>
  <c r="K96" i="44"/>
  <c r="L95" i="44"/>
  <c r="K95" i="44"/>
  <c r="L94" i="44"/>
  <c r="K94" i="44"/>
  <c r="L93" i="44"/>
  <c r="K93" i="44"/>
  <c r="L92" i="44"/>
  <c r="K92" i="44"/>
  <c r="L91" i="44"/>
  <c r="K91" i="44"/>
  <c r="L90" i="44"/>
  <c r="K90" i="44"/>
  <c r="L89" i="44"/>
  <c r="K89" i="44"/>
  <c r="L88" i="44"/>
  <c r="K88" i="44"/>
  <c r="L87" i="44"/>
  <c r="K87" i="44"/>
  <c r="L86" i="44"/>
  <c r="K86" i="44"/>
  <c r="L85" i="44"/>
  <c r="K85" i="44"/>
  <c r="L84" i="44"/>
  <c r="K84" i="44"/>
  <c r="L83" i="44"/>
  <c r="K83" i="44"/>
  <c r="L82" i="44"/>
  <c r="K82" i="44"/>
  <c r="L81" i="44"/>
  <c r="K81" i="44"/>
  <c r="L80" i="44"/>
  <c r="K80" i="44"/>
  <c r="L79" i="44"/>
  <c r="K79" i="44"/>
  <c r="L78" i="44"/>
  <c r="K78" i="44"/>
  <c r="L77" i="44"/>
  <c r="K77" i="44"/>
  <c r="L76" i="44"/>
  <c r="K76" i="44"/>
  <c r="L75" i="44"/>
  <c r="K75" i="44"/>
  <c r="L74" i="44"/>
  <c r="K74" i="44"/>
  <c r="L73" i="44"/>
  <c r="K73" i="44"/>
  <c r="L72" i="44"/>
  <c r="K72" i="44"/>
  <c r="L71" i="44"/>
  <c r="K71" i="44"/>
  <c r="L70" i="44"/>
  <c r="K70" i="44"/>
  <c r="L69" i="44"/>
  <c r="K69" i="44"/>
  <c r="L68" i="44"/>
  <c r="K68" i="44"/>
  <c r="L67" i="44"/>
  <c r="K67" i="44"/>
  <c r="L66" i="44"/>
  <c r="K66" i="44"/>
  <c r="L65" i="44"/>
  <c r="K65" i="44"/>
  <c r="L64" i="44"/>
  <c r="K64" i="44"/>
  <c r="L63" i="44"/>
  <c r="K63" i="44"/>
  <c r="L62" i="44"/>
  <c r="K62" i="44"/>
  <c r="L61" i="44"/>
  <c r="K61" i="44"/>
  <c r="L60" i="44"/>
  <c r="K60" i="44"/>
  <c r="L59" i="44"/>
  <c r="K59" i="44"/>
  <c r="L58" i="44"/>
  <c r="K58" i="44"/>
  <c r="L57" i="44"/>
  <c r="K57" i="44"/>
  <c r="L56" i="44"/>
  <c r="K56" i="44"/>
  <c r="L55" i="44"/>
  <c r="K55" i="44"/>
  <c r="L54" i="44"/>
  <c r="K54" i="44"/>
  <c r="L53" i="44"/>
  <c r="K53" i="44"/>
  <c r="L52" i="44"/>
  <c r="K52" i="44"/>
  <c r="L51" i="44"/>
  <c r="K51" i="44"/>
  <c r="L50" i="44"/>
  <c r="K50" i="44"/>
  <c r="L48" i="44"/>
  <c r="K48" i="44"/>
  <c r="L47" i="44"/>
  <c r="K47" i="44"/>
  <c r="L46" i="44"/>
  <c r="K46" i="44"/>
  <c r="L45" i="44"/>
  <c r="K45" i="44"/>
  <c r="L44" i="44"/>
  <c r="K44" i="44"/>
  <c r="L43" i="44"/>
  <c r="K43" i="44"/>
  <c r="L42" i="44"/>
  <c r="K42" i="44"/>
  <c r="L41" i="44"/>
  <c r="K41" i="44"/>
  <c r="L40" i="44"/>
  <c r="K40" i="44"/>
  <c r="L39" i="44"/>
  <c r="K39" i="44"/>
  <c r="L38" i="44"/>
  <c r="K38" i="44"/>
  <c r="L37" i="44"/>
  <c r="K37" i="44"/>
  <c r="L36" i="44"/>
  <c r="K36" i="44"/>
  <c r="L35" i="44"/>
  <c r="K35" i="44"/>
  <c r="L34" i="44"/>
  <c r="K34" i="44"/>
  <c r="L33" i="44"/>
  <c r="K33" i="44"/>
  <c r="L32" i="44"/>
  <c r="K32" i="44"/>
  <c r="L31" i="44"/>
  <c r="K31" i="44"/>
  <c r="L30" i="44"/>
  <c r="K30" i="44"/>
  <c r="L29" i="44"/>
  <c r="K29" i="44"/>
  <c r="L28" i="44"/>
  <c r="K28" i="44"/>
  <c r="L27" i="44"/>
  <c r="K27" i="44"/>
  <c r="L26" i="44"/>
  <c r="K26" i="44"/>
  <c r="L25" i="44"/>
  <c r="K25" i="44"/>
  <c r="L24" i="44"/>
  <c r="K24" i="44"/>
  <c r="L23" i="44"/>
  <c r="K23" i="44"/>
  <c r="L22" i="44"/>
  <c r="K22" i="44"/>
  <c r="L21" i="44"/>
  <c r="K21" i="44"/>
  <c r="L20" i="44"/>
  <c r="K20" i="44"/>
  <c r="L19" i="44"/>
  <c r="K19" i="44"/>
  <c r="L18" i="44"/>
  <c r="K18" i="44"/>
  <c r="L17" i="44"/>
  <c r="K17" i="44"/>
  <c r="L16" i="44"/>
  <c r="K16" i="44"/>
  <c r="L15" i="44"/>
  <c r="K15" i="44"/>
  <c r="L14" i="44"/>
  <c r="K14" i="44"/>
  <c r="L12" i="44"/>
  <c r="K12" i="44"/>
  <c r="N11" i="44"/>
  <c r="N115" i="44" s="1"/>
  <c r="L11" i="44"/>
  <c r="K11" i="44"/>
  <c r="L10" i="44"/>
  <c r="K10" i="44"/>
  <c r="L9" i="44"/>
  <c r="K9" i="44"/>
  <c r="L8" i="44"/>
  <c r="K8" i="44"/>
  <c r="L7" i="44"/>
  <c r="K7" i="44"/>
  <c r="L6" i="44"/>
  <c r="K6" i="44"/>
  <c r="L5" i="44"/>
  <c r="K5" i="44"/>
  <c r="L4" i="44"/>
  <c r="K4" i="44"/>
  <c r="L3" i="44"/>
  <c r="K3" i="44"/>
  <c r="L2" i="44"/>
  <c r="K2" i="44"/>
  <c r="C26" i="42"/>
  <c r="C24" i="42"/>
  <c r="F23" i="42"/>
  <c r="C23" i="42"/>
  <c r="C22" i="42"/>
  <c r="F21" i="42"/>
  <c r="C21" i="42"/>
  <c r="C20" i="42"/>
  <c r="F19" i="42"/>
  <c r="C18" i="42"/>
  <c r="F18" i="42" s="1"/>
  <c r="C17" i="42"/>
  <c r="F17" i="42" s="1"/>
  <c r="C16" i="42"/>
  <c r="F16" i="42" s="1"/>
  <c r="C15" i="42"/>
  <c r="F15" i="42" s="1"/>
  <c r="C14" i="42"/>
  <c r="F14" i="42" s="1"/>
  <c r="C13" i="42"/>
  <c r="F13" i="42" s="1"/>
  <c r="C12" i="42"/>
  <c r="F12" i="42" s="1"/>
  <c r="C11" i="42"/>
  <c r="F11" i="42" s="1"/>
  <c r="C10" i="42"/>
  <c r="F10" i="42" s="1"/>
  <c r="C9" i="42"/>
  <c r="F9" i="42" s="1"/>
  <c r="F8" i="42"/>
  <c r="F7" i="42"/>
  <c r="C7" i="42"/>
  <c r="F6" i="42"/>
  <c r="C6" i="42"/>
  <c r="F5" i="42"/>
  <c r="C5" i="42"/>
  <c r="F4" i="42"/>
  <c r="C4" i="42"/>
  <c r="F26" i="42" s="1"/>
  <c r="F3" i="42"/>
  <c r="C3" i="42"/>
  <c r="F2" i="42"/>
  <c r="C2" i="42"/>
  <c r="E26" i="41"/>
  <c r="E20" i="41"/>
  <c r="F26" i="41"/>
  <c r="E18" i="41"/>
  <c r="E16" i="41"/>
  <c r="E12" i="41"/>
  <c r="O3" i="27"/>
  <c r="F20" i="42" l="1"/>
  <c r="F22" i="42"/>
  <c r="F24" i="42"/>
  <c r="G26" i="41"/>
  <c r="L155" i="20"/>
  <c r="K155" i="20"/>
  <c r="E994" i="16"/>
  <c r="L993" i="16"/>
  <c r="L992" i="16"/>
  <c r="I992" i="16"/>
  <c r="B992" i="16" s="1"/>
  <c r="B990" i="16"/>
  <c r="K157" i="20"/>
  <c r="L157" i="20"/>
  <c r="L126" i="19"/>
  <c r="K126" i="19"/>
  <c r="L990" i="16" s="1"/>
  <c r="G126" i="19"/>
  <c r="L156" i="20"/>
  <c r="K156" i="20"/>
  <c r="K154" i="20"/>
  <c r="L154" i="20"/>
  <c r="B988" i="16" l="1"/>
  <c r="B991" i="16" s="1"/>
  <c r="L994" i="16"/>
  <c r="L995" i="16" s="1"/>
  <c r="H126" i="19"/>
  <c r="J126" i="19" s="1"/>
  <c r="K990" i="16" s="1"/>
  <c r="I126" i="19"/>
  <c r="N26" i="37"/>
  <c r="B989" i="16" l="1"/>
  <c r="E2" i="37"/>
  <c r="E6" i="37"/>
  <c r="E7" i="37"/>
  <c r="E8" i="37"/>
  <c r="E9" i="37"/>
  <c r="F9" i="37" s="1"/>
  <c r="E10" i="37"/>
  <c r="E5" i="37"/>
  <c r="F10" i="37" l="1"/>
  <c r="F6" i="37"/>
  <c r="E26" i="37"/>
  <c r="F5" i="37"/>
  <c r="F7" i="37"/>
  <c r="F8" i="37"/>
  <c r="B389" i="16"/>
  <c r="L153" i="20"/>
  <c r="K153" i="20"/>
  <c r="F26" i="37" l="1"/>
  <c r="B2" i="37" s="1"/>
  <c r="C2" i="37" s="1"/>
  <c r="B976" i="16" l="1"/>
  <c r="K977" i="16"/>
  <c r="B977" i="16" s="1"/>
  <c r="E982" i="16"/>
  <c r="B979" i="16"/>
  <c r="B978" i="16"/>
  <c r="B975" i="16"/>
  <c r="B974" i="16"/>
  <c r="B964" i="16" l="1"/>
  <c r="B963" i="16"/>
  <c r="B962" i="16"/>
  <c r="B961" i="16"/>
  <c r="E968" i="16"/>
  <c r="B965" i="16"/>
  <c r="L3" i="20" l="1"/>
  <c r="L4" i="20"/>
  <c r="L5" i="20"/>
  <c r="L6" i="20"/>
  <c r="L7" i="20"/>
  <c r="L8" i="20"/>
  <c r="L9" i="20"/>
  <c r="L10" i="20"/>
  <c r="L11" i="20"/>
  <c r="L12" i="20"/>
  <c r="L13" i="20"/>
  <c r="L15" i="20"/>
  <c r="L16" i="20"/>
  <c r="L17" i="20"/>
  <c r="L18" i="20"/>
  <c r="L19" i="20"/>
  <c r="L20" i="20"/>
  <c r="L21" i="20"/>
  <c r="L22" i="20"/>
  <c r="L23" i="20"/>
  <c r="L24" i="20"/>
  <c r="L25" i="20"/>
  <c r="L26" i="20"/>
  <c r="L27" i="20"/>
  <c r="L28" i="20"/>
  <c r="L29" i="20"/>
  <c r="L30" i="20"/>
  <c r="L31" i="20"/>
  <c r="L32" i="20"/>
  <c r="L33" i="20"/>
  <c r="L34" i="20"/>
  <c r="L35" i="20"/>
  <c r="L36" i="20"/>
  <c r="L37" i="20"/>
  <c r="L38" i="20"/>
  <c r="L39" i="20"/>
  <c r="L40" i="20"/>
  <c r="L41" i="20"/>
  <c r="L42" i="20"/>
  <c r="L43" i="20"/>
  <c r="L44" i="20"/>
  <c r="L45" i="20"/>
  <c r="L46" i="20"/>
  <c r="L47" i="20"/>
  <c r="L48" i="20"/>
  <c r="L49" i="20"/>
  <c r="L50" i="20"/>
  <c r="L51" i="20"/>
  <c r="L52" i="20"/>
  <c r="L53" i="20"/>
  <c r="L54" i="20"/>
  <c r="L55" i="20"/>
  <c r="L56" i="20"/>
  <c r="L57" i="20"/>
  <c r="L58" i="20"/>
  <c r="L59" i="20"/>
  <c r="L60" i="20"/>
  <c r="L61" i="20"/>
  <c r="L62" i="20"/>
  <c r="L63" i="20"/>
  <c r="L64" i="20"/>
  <c r="L66" i="20"/>
  <c r="L67" i="20"/>
  <c r="L70" i="20"/>
  <c r="L71" i="20"/>
  <c r="L73" i="20"/>
  <c r="L74" i="20"/>
  <c r="L77" i="20"/>
  <c r="L78" i="20"/>
  <c r="L79" i="20"/>
  <c r="L80" i="20"/>
  <c r="L81" i="20"/>
  <c r="L82" i="20"/>
  <c r="L83" i="20"/>
  <c r="L84" i="20"/>
  <c r="L85" i="20"/>
  <c r="L86" i="20"/>
  <c r="L87"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L120" i="20"/>
  <c r="L121" i="20"/>
  <c r="L122" i="20"/>
  <c r="L123" i="20"/>
  <c r="L124" i="20"/>
  <c r="L125" i="20"/>
  <c r="L126" i="20"/>
  <c r="L127" i="20"/>
  <c r="L128" i="20"/>
  <c r="L129" i="20"/>
  <c r="L130" i="20"/>
  <c r="L131" i="20"/>
  <c r="L132" i="20"/>
  <c r="L133" i="20"/>
  <c r="L134" i="20"/>
  <c r="L135" i="20"/>
  <c r="L136" i="20"/>
  <c r="L137" i="20"/>
  <c r="L138" i="20"/>
  <c r="L139" i="20"/>
  <c r="L140" i="20"/>
  <c r="L141" i="20"/>
  <c r="L142" i="20"/>
  <c r="L143" i="20"/>
  <c r="L144" i="20"/>
  <c r="L145" i="20"/>
  <c r="L146" i="20"/>
  <c r="L147" i="20"/>
  <c r="L148" i="20"/>
  <c r="L149" i="20"/>
  <c r="L150" i="20"/>
  <c r="K3" i="20"/>
  <c r="K4" i="20"/>
  <c r="K5" i="20"/>
  <c r="K6" i="20"/>
  <c r="K7" i="20"/>
  <c r="K8" i="20"/>
  <c r="K9" i="20"/>
  <c r="K10" i="20"/>
  <c r="K11" i="20"/>
  <c r="K12" i="20"/>
  <c r="K13" i="20"/>
  <c r="K15" i="20"/>
  <c r="K16" i="20"/>
  <c r="K17" i="20"/>
  <c r="K18" i="20"/>
  <c r="K19" i="20"/>
  <c r="K20" i="20"/>
  <c r="K21" i="20"/>
  <c r="K22" i="20"/>
  <c r="K23" i="20"/>
  <c r="K24" i="20"/>
  <c r="K25" i="20"/>
  <c r="K26" i="20"/>
  <c r="K27" i="20"/>
  <c r="K28" i="20"/>
  <c r="K29" i="20"/>
  <c r="K30" i="20"/>
  <c r="K31" i="20"/>
  <c r="K32" i="20"/>
  <c r="K33" i="20"/>
  <c r="K34" i="20"/>
  <c r="K35" i="20"/>
  <c r="K36" i="20"/>
  <c r="K37" i="20"/>
  <c r="K38" i="20"/>
  <c r="K39" i="20"/>
  <c r="K40" i="20"/>
  <c r="K41" i="20"/>
  <c r="K42" i="20"/>
  <c r="K43" i="20"/>
  <c r="K44" i="20"/>
  <c r="K45" i="20"/>
  <c r="K46" i="20"/>
  <c r="K47" i="20"/>
  <c r="K48" i="20"/>
  <c r="K49" i="20"/>
  <c r="K50" i="20"/>
  <c r="K51" i="20"/>
  <c r="K52" i="20"/>
  <c r="K53" i="20"/>
  <c r="K54" i="20"/>
  <c r="K55" i="20"/>
  <c r="K56" i="20"/>
  <c r="K57" i="20"/>
  <c r="K58" i="20"/>
  <c r="K59" i="20"/>
  <c r="K60" i="20"/>
  <c r="K61" i="20"/>
  <c r="K62" i="20"/>
  <c r="K63" i="20"/>
  <c r="K64" i="20"/>
  <c r="K66" i="20"/>
  <c r="K67" i="20"/>
  <c r="K70" i="20"/>
  <c r="K71" i="20"/>
  <c r="K73" i="20"/>
  <c r="K74" i="20"/>
  <c r="K77" i="20"/>
  <c r="K78" i="20"/>
  <c r="K79" i="20"/>
  <c r="K80" i="20"/>
  <c r="K81" i="20"/>
  <c r="K82" i="20"/>
  <c r="K83" i="20"/>
  <c r="K84" i="20"/>
  <c r="K85" i="20"/>
  <c r="K86" i="20"/>
  <c r="K87" i="20"/>
  <c r="K89" i="20"/>
  <c r="K90" i="20"/>
  <c r="K91" i="20"/>
  <c r="K92" i="20"/>
  <c r="K93" i="20"/>
  <c r="K94" i="20"/>
  <c r="K95" i="20"/>
  <c r="K96" i="20"/>
  <c r="K97" i="20"/>
  <c r="K98" i="20"/>
  <c r="K99" i="20"/>
  <c r="K100" i="20"/>
  <c r="K101" i="20"/>
  <c r="K102" i="20"/>
  <c r="K103" i="20"/>
  <c r="K104" i="20"/>
  <c r="K105" i="20"/>
  <c r="K106" i="20"/>
  <c r="K107" i="20"/>
  <c r="K108" i="20"/>
  <c r="K109" i="20"/>
  <c r="K110" i="20"/>
  <c r="K111" i="20"/>
  <c r="K112" i="20"/>
  <c r="K113" i="20"/>
  <c r="K114" i="20"/>
  <c r="K115" i="20"/>
  <c r="K116" i="20"/>
  <c r="K117" i="20"/>
  <c r="K118" i="20"/>
  <c r="K119" i="20"/>
  <c r="K120" i="20"/>
  <c r="K121" i="20"/>
  <c r="K122" i="20"/>
  <c r="K123" i="20"/>
  <c r="K124" i="20"/>
  <c r="K125" i="20"/>
  <c r="K126" i="20"/>
  <c r="K127" i="20"/>
  <c r="K128" i="20"/>
  <c r="K129" i="20"/>
  <c r="K130" i="20"/>
  <c r="K131" i="20"/>
  <c r="K132" i="20"/>
  <c r="K133" i="20"/>
  <c r="K134" i="20"/>
  <c r="K135" i="20"/>
  <c r="K136" i="20"/>
  <c r="K137" i="20"/>
  <c r="K138" i="20"/>
  <c r="K139" i="20"/>
  <c r="K140" i="20"/>
  <c r="K141" i="20"/>
  <c r="K142" i="20"/>
  <c r="K143" i="20"/>
  <c r="K144" i="20"/>
  <c r="K145" i="20"/>
  <c r="K146" i="20"/>
  <c r="K147" i="20"/>
  <c r="K148" i="20"/>
  <c r="K149" i="20"/>
  <c r="K150" i="20"/>
  <c r="L2" i="20"/>
  <c r="K2" i="20"/>
  <c r="O161" i="20"/>
  <c r="O160" i="20"/>
  <c r="G183" i="16" l="1"/>
  <c r="C953" i="16" l="1"/>
  <c r="B953" i="16"/>
  <c r="E953" i="16" s="1"/>
  <c r="B951" i="16"/>
  <c r="E955" i="16"/>
  <c r="K952" i="16"/>
  <c r="K951" i="16"/>
  <c r="B950" i="16" s="1"/>
  <c r="K950" i="16"/>
  <c r="B949" i="16" s="1"/>
  <c r="K940" i="16" l="1"/>
  <c r="K939" i="16"/>
  <c r="K941" i="16"/>
  <c r="K938" i="16"/>
  <c r="B941" i="16" s="1"/>
  <c r="E943" i="16"/>
  <c r="B939" i="16"/>
  <c r="B296" i="16"/>
  <c r="B938" i="16" l="1"/>
  <c r="K942" i="16"/>
  <c r="B937" i="16" s="1"/>
  <c r="B940" i="16" s="1"/>
  <c r="E931" i="16"/>
  <c r="B928" i="16"/>
  <c r="J924" i="16"/>
  <c r="B924" i="16" s="1"/>
  <c r="J926" i="16" l="1"/>
  <c r="B925" i="16" s="1"/>
  <c r="B927" i="16"/>
  <c r="I917" i="16"/>
  <c r="K914" i="16"/>
  <c r="L914" i="16"/>
  <c r="L919" i="16"/>
  <c r="E918" i="16"/>
  <c r="B914" i="16"/>
  <c r="I901" i="16"/>
  <c r="B900" i="16" s="1"/>
  <c r="I900" i="16"/>
  <c r="I899" i="16"/>
  <c r="E906" i="16"/>
  <c r="B903" i="16"/>
  <c r="B926" i="16" l="1"/>
  <c r="B899" i="16"/>
  <c r="B902" i="16" s="1"/>
  <c r="E914" i="16"/>
  <c r="B901" i="16"/>
  <c r="J888" i="16"/>
  <c r="E893" i="16" l="1"/>
  <c r="B889" i="16"/>
  <c r="K888" i="16"/>
  <c r="B891" i="16"/>
  <c r="L118" i="19"/>
  <c r="L122" i="19"/>
  <c r="K122" i="19"/>
  <c r="G122" i="19"/>
  <c r="I122" i="19" s="1"/>
  <c r="B887" i="16" l="1"/>
  <c r="B888" i="16" s="1"/>
  <c r="H122" i="19"/>
  <c r="J122" i="19" s="1"/>
  <c r="B877" i="16"/>
  <c r="K876" i="16"/>
  <c r="E881" i="16"/>
  <c r="J876" i="16"/>
  <c r="B879" i="16" s="1"/>
  <c r="K118" i="19"/>
  <c r="G118" i="19"/>
  <c r="I118" i="19" s="1"/>
  <c r="B890" i="16" l="1"/>
  <c r="B875" i="16"/>
  <c r="B876" i="16" s="1"/>
  <c r="H118" i="19"/>
  <c r="J118" i="19" s="1"/>
  <c r="B878" i="16" l="1"/>
  <c r="I771" i="16" l="1"/>
  <c r="B768" i="16"/>
  <c r="K114" i="19" l="1"/>
  <c r="K865" i="16" s="1"/>
  <c r="G114" i="19"/>
  <c r="I114" i="19" s="1"/>
  <c r="E869" i="16"/>
  <c r="H867" i="16"/>
  <c r="H869" i="16" s="1"/>
  <c r="B867" i="16" s="1"/>
  <c r="B865" i="16"/>
  <c r="H114" i="19" l="1"/>
  <c r="J114" i="19" s="1"/>
  <c r="J865" i="16" s="1"/>
  <c r="B863" i="16" s="1"/>
  <c r="B864" i="16" s="1"/>
  <c r="B866" i="16" l="1"/>
  <c r="K855" i="16" l="1"/>
  <c r="K854" i="16"/>
  <c r="B851" i="16" l="1"/>
  <c r="K853" i="16"/>
  <c r="B850" i="16" s="1"/>
  <c r="B853" i="16" s="1"/>
  <c r="K852" i="16"/>
  <c r="K851" i="16"/>
  <c r="E856" i="16"/>
  <c r="B849" i="16" l="1"/>
  <c r="B852" i="16" s="1"/>
  <c r="K856" i="16"/>
  <c r="J87" i="16"/>
  <c r="K111" i="19"/>
  <c r="K87" i="16" s="1"/>
  <c r="G111" i="19"/>
  <c r="H111" i="19" s="1"/>
  <c r="J111" i="19" s="1"/>
  <c r="I111" i="19" l="1"/>
  <c r="E842" i="16"/>
  <c r="E840" i="16"/>
  <c r="E839" i="16"/>
  <c r="B839" i="16"/>
  <c r="D838" i="16"/>
  <c r="E838" i="16" s="1"/>
  <c r="E837" i="16"/>
  <c r="E836" i="16"/>
  <c r="E835" i="16"/>
  <c r="B835" i="16"/>
  <c r="B837" i="16" s="1"/>
  <c r="E841" i="16" l="1"/>
  <c r="E843" i="16" s="1"/>
  <c r="E844" i="16" s="1"/>
  <c r="B836" i="16"/>
  <c r="E828" i="16"/>
  <c r="E824" i="16"/>
  <c r="E825" i="16"/>
  <c r="E826" i="16"/>
  <c r="E822" i="16"/>
  <c r="E821" i="16"/>
  <c r="E820" i="16"/>
  <c r="E819" i="16"/>
  <c r="D823" i="16"/>
  <c r="E823" i="16" s="1"/>
  <c r="B825" i="16"/>
  <c r="B819" i="16"/>
  <c r="B822" i="16" s="1"/>
  <c r="B838" i="16" l="1"/>
  <c r="E827" i="16"/>
  <c r="F827" i="16" s="1"/>
  <c r="B820" i="16"/>
  <c r="B823" i="16" l="1"/>
  <c r="B821" i="16"/>
  <c r="E829" i="16"/>
  <c r="E830" i="16" s="1"/>
  <c r="L803" i="16" l="1"/>
  <c r="I803" i="16" s="1"/>
  <c r="J810" i="16"/>
  <c r="E810" i="16"/>
  <c r="J809" i="16"/>
  <c r="J806" i="16"/>
  <c r="H805" i="16"/>
  <c r="J805" i="16" s="1"/>
  <c r="I804" i="16"/>
  <c r="J804" i="16" s="1"/>
  <c r="H803" i="16"/>
  <c r="J803" i="16" l="1"/>
  <c r="B802" i="16" s="1"/>
  <c r="B803" i="16"/>
  <c r="L227" i="16"/>
  <c r="K227" i="16"/>
  <c r="K226" i="16"/>
  <c r="K108" i="19" l="1"/>
  <c r="L792" i="16" s="1"/>
  <c r="G108" i="19"/>
  <c r="H108" i="19" s="1"/>
  <c r="J108" i="19" s="1"/>
  <c r="K792" i="16" s="1"/>
  <c r="E796" i="16"/>
  <c r="I794" i="16"/>
  <c r="I796" i="16" s="1"/>
  <c r="B794" i="16" s="1"/>
  <c r="B792" i="16"/>
  <c r="B790" i="16" l="1"/>
  <c r="B791" i="16" s="1"/>
  <c r="I108" i="19"/>
  <c r="E784" i="16"/>
  <c r="I782" i="16"/>
  <c r="B780" i="16"/>
  <c r="K105" i="19"/>
  <c r="L780" i="16" s="1"/>
  <c r="G105" i="19"/>
  <c r="H105" i="19" s="1"/>
  <c r="J105" i="19" s="1"/>
  <c r="K780" i="16" s="1"/>
  <c r="I105" i="19" l="1"/>
  <c r="B793" i="16"/>
  <c r="B778" i="16"/>
  <c r="B779" i="16" s="1"/>
  <c r="I784" i="16"/>
  <c r="B782" i="16" s="1"/>
  <c r="E374" i="8"/>
  <c r="E375" i="8"/>
  <c r="E376" i="8"/>
  <c r="E377" i="8"/>
  <c r="E378" i="8"/>
  <c r="E379" i="8"/>
  <c r="E380" i="8"/>
  <c r="E381" i="8"/>
  <c r="E382" i="8"/>
  <c r="E383" i="8"/>
  <c r="E384" i="8"/>
  <c r="E385" i="8"/>
  <c r="E386" i="8"/>
  <c r="E387" i="8"/>
  <c r="E388" i="8"/>
  <c r="K196" i="13"/>
  <c r="B781" i="16" l="1"/>
  <c r="K195" i="13"/>
  <c r="K197" i="13"/>
  <c r="A449" i="6" l="1"/>
  <c r="B449" i="6"/>
  <c r="D449" i="6" s="1"/>
  <c r="E449" i="6"/>
  <c r="F449" i="6"/>
  <c r="H449" i="6"/>
  <c r="I449" i="6"/>
  <c r="A450" i="6"/>
  <c r="B450" i="6"/>
  <c r="D450" i="6" s="1"/>
  <c r="E450" i="6"/>
  <c r="F450" i="6"/>
  <c r="H450" i="6"/>
  <c r="I450" i="6"/>
  <c r="A451" i="6"/>
  <c r="B451" i="6"/>
  <c r="D451" i="6" s="1"/>
  <c r="E451" i="6"/>
  <c r="F451" i="6"/>
  <c r="H451" i="6"/>
  <c r="I451" i="6"/>
  <c r="A452" i="6"/>
  <c r="B452" i="6"/>
  <c r="D452" i="6" s="1"/>
  <c r="E452" i="6"/>
  <c r="F452" i="6"/>
  <c r="H452" i="6"/>
  <c r="I452" i="6"/>
  <c r="A453" i="6"/>
  <c r="B453" i="6"/>
  <c r="D453" i="6" s="1"/>
  <c r="E453" i="6"/>
  <c r="F453" i="6"/>
  <c r="H453" i="6"/>
  <c r="I453" i="6"/>
  <c r="A454" i="6"/>
  <c r="B454" i="6"/>
  <c r="D454" i="6" s="1"/>
  <c r="E454" i="6"/>
  <c r="F454" i="6"/>
  <c r="H454" i="6"/>
  <c r="I454" i="6"/>
  <c r="A455" i="6"/>
  <c r="B455" i="6"/>
  <c r="D455" i="6" s="1"/>
  <c r="E455" i="6"/>
  <c r="F455" i="6"/>
  <c r="H455" i="6"/>
  <c r="I455" i="6"/>
  <c r="A429" i="6"/>
  <c r="B429" i="6"/>
  <c r="D429" i="6" s="1"/>
  <c r="E429" i="6"/>
  <c r="F429" i="6"/>
  <c r="H429" i="6"/>
  <c r="I429" i="6"/>
  <c r="A430" i="6"/>
  <c r="B430" i="6"/>
  <c r="D430" i="6" s="1"/>
  <c r="E430" i="6"/>
  <c r="F430" i="6"/>
  <c r="H430" i="6"/>
  <c r="I430" i="6"/>
  <c r="A431" i="6"/>
  <c r="B431" i="6"/>
  <c r="D431" i="6" s="1"/>
  <c r="E431" i="6"/>
  <c r="F431" i="6"/>
  <c r="H431" i="6"/>
  <c r="I431" i="6"/>
  <c r="A432" i="6"/>
  <c r="B432" i="6"/>
  <c r="D432" i="6" s="1"/>
  <c r="E432" i="6"/>
  <c r="F432" i="6"/>
  <c r="H432" i="6"/>
  <c r="I432" i="6"/>
  <c r="A433" i="6"/>
  <c r="B433" i="6"/>
  <c r="D433" i="6" s="1"/>
  <c r="E433" i="6"/>
  <c r="F433" i="6"/>
  <c r="H433" i="6"/>
  <c r="I433" i="6"/>
  <c r="A434" i="6"/>
  <c r="B434" i="6"/>
  <c r="D434" i="6" s="1"/>
  <c r="E434" i="6"/>
  <c r="F434" i="6"/>
  <c r="H434" i="6"/>
  <c r="I434" i="6"/>
  <c r="A435" i="6"/>
  <c r="B435" i="6"/>
  <c r="D435" i="6" s="1"/>
  <c r="E435" i="6"/>
  <c r="F435" i="6"/>
  <c r="H435" i="6"/>
  <c r="I435" i="6"/>
  <c r="A436" i="6"/>
  <c r="B436" i="6"/>
  <c r="D436" i="6" s="1"/>
  <c r="E436" i="6"/>
  <c r="F436" i="6"/>
  <c r="H436" i="6"/>
  <c r="I436" i="6"/>
  <c r="A437" i="6"/>
  <c r="B437" i="6"/>
  <c r="D437" i="6" s="1"/>
  <c r="E437" i="6"/>
  <c r="F437" i="6"/>
  <c r="H437" i="6"/>
  <c r="I437" i="6"/>
  <c r="A438" i="6"/>
  <c r="B438" i="6"/>
  <c r="D438" i="6"/>
  <c r="E438" i="6"/>
  <c r="F438" i="6"/>
  <c r="H438" i="6"/>
  <c r="I438" i="6"/>
  <c r="A439" i="6"/>
  <c r="B439" i="6"/>
  <c r="D439" i="6" s="1"/>
  <c r="E439" i="6"/>
  <c r="F439" i="6"/>
  <c r="H439" i="6"/>
  <c r="I439" i="6"/>
  <c r="A440" i="6"/>
  <c r="B440" i="6"/>
  <c r="D440" i="6" s="1"/>
  <c r="E440" i="6"/>
  <c r="F440" i="6"/>
  <c r="H440" i="6"/>
  <c r="I440" i="6"/>
  <c r="A441" i="6"/>
  <c r="B441" i="6"/>
  <c r="D441" i="6" s="1"/>
  <c r="E441" i="6"/>
  <c r="F441" i="6"/>
  <c r="H441" i="6"/>
  <c r="I441" i="6"/>
  <c r="A442" i="6"/>
  <c r="B442" i="6"/>
  <c r="D442" i="6" s="1"/>
  <c r="E442" i="6"/>
  <c r="F442" i="6"/>
  <c r="H442" i="6"/>
  <c r="I442" i="6"/>
  <c r="A443" i="6"/>
  <c r="B443" i="6"/>
  <c r="D443" i="6" s="1"/>
  <c r="E443" i="6"/>
  <c r="F443" i="6"/>
  <c r="H443" i="6"/>
  <c r="I443" i="6"/>
  <c r="A444" i="6"/>
  <c r="B444" i="6"/>
  <c r="D444" i="6" s="1"/>
  <c r="E444" i="6"/>
  <c r="F444" i="6"/>
  <c r="H444" i="6"/>
  <c r="I444" i="6"/>
  <c r="A445" i="6"/>
  <c r="B445" i="6"/>
  <c r="D445" i="6" s="1"/>
  <c r="E445" i="6"/>
  <c r="F445" i="6"/>
  <c r="H445" i="6"/>
  <c r="I445" i="6"/>
  <c r="A446" i="6"/>
  <c r="B446" i="6"/>
  <c r="D446" i="6" s="1"/>
  <c r="E446" i="6"/>
  <c r="F446" i="6"/>
  <c r="H446" i="6"/>
  <c r="I446" i="6"/>
  <c r="A447" i="6"/>
  <c r="B447" i="6"/>
  <c r="D447" i="6" s="1"/>
  <c r="E447" i="6"/>
  <c r="F447" i="6"/>
  <c r="H447" i="6"/>
  <c r="I447" i="6"/>
  <c r="A448" i="6"/>
  <c r="B448" i="6"/>
  <c r="D448" i="6" s="1"/>
  <c r="E448" i="6"/>
  <c r="F448" i="6"/>
  <c r="H448" i="6"/>
  <c r="I448" i="6"/>
  <c r="E373" i="8"/>
  <c r="C209" i="13"/>
  <c r="D209" i="13"/>
  <c r="C454" i="6" s="1"/>
  <c r="C210" i="13"/>
  <c r="D210" i="13"/>
  <c r="C455" i="6" s="1"/>
  <c r="L210" i="13"/>
  <c r="G455" i="6" s="1"/>
  <c r="L209" i="13"/>
  <c r="G454" i="6" s="1"/>
  <c r="L208" i="13"/>
  <c r="G453" i="6" s="1"/>
  <c r="D208" i="13"/>
  <c r="C453" i="6" s="1"/>
  <c r="C208" i="13"/>
  <c r="C207" i="13"/>
  <c r="D207" i="13"/>
  <c r="C452" i="6" s="1"/>
  <c r="L207" i="13"/>
  <c r="G452" i="6" s="1"/>
  <c r="L206" i="13"/>
  <c r="G451" i="6" s="1"/>
  <c r="C206" i="13"/>
  <c r="D206" i="13"/>
  <c r="C451" i="6" s="1"/>
  <c r="C196" i="13"/>
  <c r="D196" i="13"/>
  <c r="C441" i="6" s="1"/>
  <c r="C197" i="13"/>
  <c r="D197" i="13"/>
  <c r="C442" i="6" s="1"/>
  <c r="C198" i="13"/>
  <c r="D198" i="13"/>
  <c r="C443" i="6" s="1"/>
  <c r="C199" i="13"/>
  <c r="D199" i="13"/>
  <c r="C444" i="6" s="1"/>
  <c r="C200" i="13"/>
  <c r="D200" i="13"/>
  <c r="C445" i="6" s="1"/>
  <c r="C201" i="13"/>
  <c r="D201" i="13"/>
  <c r="C446" i="6" s="1"/>
  <c r="C202" i="13"/>
  <c r="D202" i="13"/>
  <c r="C447" i="6" s="1"/>
  <c r="C203" i="13"/>
  <c r="D203" i="13"/>
  <c r="C448" i="6" s="1"/>
  <c r="C204" i="13"/>
  <c r="D204" i="13"/>
  <c r="C449" i="6" s="1"/>
  <c r="C205" i="13"/>
  <c r="D205" i="13"/>
  <c r="C450" i="6" s="1"/>
  <c r="L205" i="13"/>
  <c r="G450" i="6" s="1"/>
  <c r="L204" i="13"/>
  <c r="G449" i="6" s="1"/>
  <c r="L203" i="13"/>
  <c r="G448" i="6" s="1"/>
  <c r="L202" i="13"/>
  <c r="G447" i="6" s="1"/>
  <c r="L201" i="13"/>
  <c r="G446" i="6" s="1"/>
  <c r="L200" i="13"/>
  <c r="G445" i="6" s="1"/>
  <c r="L199" i="13"/>
  <c r="G444" i="6" s="1"/>
  <c r="L198" i="13"/>
  <c r="G443" i="6" s="1"/>
  <c r="L197" i="13"/>
  <c r="G442" i="6" s="1"/>
  <c r="L196" i="13"/>
  <c r="G441" i="6" s="1"/>
  <c r="C195" i="13"/>
  <c r="D195" i="13"/>
  <c r="C440" i="6" s="1"/>
  <c r="C185" i="13"/>
  <c r="D185" i="13"/>
  <c r="C430" i="6" s="1"/>
  <c r="C186" i="13"/>
  <c r="D186" i="13"/>
  <c r="C431" i="6" s="1"/>
  <c r="C187" i="13"/>
  <c r="D187" i="13"/>
  <c r="C432" i="6" s="1"/>
  <c r="C188" i="13"/>
  <c r="D188" i="13"/>
  <c r="C433" i="6" s="1"/>
  <c r="C189" i="13"/>
  <c r="D189" i="13"/>
  <c r="C434" i="6" s="1"/>
  <c r="C190" i="13"/>
  <c r="D190" i="13"/>
  <c r="C435" i="6" s="1"/>
  <c r="C191" i="13"/>
  <c r="D191" i="13"/>
  <c r="C436" i="6" s="1"/>
  <c r="C192" i="13"/>
  <c r="D192" i="13"/>
  <c r="C437" i="6" s="1"/>
  <c r="C193" i="13"/>
  <c r="D193" i="13"/>
  <c r="C438" i="6" s="1"/>
  <c r="C194" i="13"/>
  <c r="D194" i="13"/>
  <c r="C439" i="6" s="1"/>
  <c r="L195" i="13"/>
  <c r="G440" i="6" s="1"/>
  <c r="C184" i="13"/>
  <c r="D184" i="13"/>
  <c r="C429" i="6" s="1"/>
  <c r="L184" i="13" l="1"/>
  <c r="G429" i="6" s="1"/>
  <c r="L185" i="13"/>
  <c r="G430" i="6" s="1"/>
  <c r="L186" i="13"/>
  <c r="G431" i="6" s="1"/>
  <c r="L187" i="13"/>
  <c r="G432" i="6" s="1"/>
  <c r="L188" i="13"/>
  <c r="G433" i="6" s="1"/>
  <c r="L189" i="13"/>
  <c r="G434" i="6" s="1"/>
  <c r="L190" i="13"/>
  <c r="G435" i="6" s="1"/>
  <c r="L191" i="13"/>
  <c r="G436" i="6" s="1"/>
  <c r="L192" i="13"/>
  <c r="G437" i="6" s="1"/>
  <c r="L193" i="13"/>
  <c r="G438" i="6" s="1"/>
  <c r="L194" i="13"/>
  <c r="G439" i="6" s="1"/>
  <c r="L182" i="13"/>
  <c r="G427" i="6" s="1"/>
  <c r="L183" i="13"/>
  <c r="G428" i="6" s="1"/>
  <c r="A427" i="6"/>
  <c r="B427" i="6"/>
  <c r="D427" i="6" s="1"/>
  <c r="E427" i="6"/>
  <c r="F427" i="6"/>
  <c r="H427" i="6"/>
  <c r="I427" i="6"/>
  <c r="A428" i="6"/>
  <c r="B428" i="6"/>
  <c r="D428" i="6" s="1"/>
  <c r="E428" i="6"/>
  <c r="F428" i="6"/>
  <c r="H428" i="6"/>
  <c r="I428" i="6"/>
  <c r="C183" i="13"/>
  <c r="D183" i="13"/>
  <c r="C428" i="6" s="1"/>
  <c r="C182" i="13"/>
  <c r="D182" i="13"/>
  <c r="C427" i="6" s="1"/>
  <c r="I353" i="8"/>
  <c r="A424" i="6" l="1"/>
  <c r="B424" i="6"/>
  <c r="D424" i="6" s="1"/>
  <c r="E424" i="6"/>
  <c r="F424" i="6"/>
  <c r="H424" i="6"/>
  <c r="I424" i="6"/>
  <c r="A425" i="6"/>
  <c r="B425" i="6"/>
  <c r="D425" i="6" s="1"/>
  <c r="E425" i="6"/>
  <c r="F425" i="6"/>
  <c r="H425" i="6"/>
  <c r="I425" i="6"/>
  <c r="A426" i="6"/>
  <c r="B426" i="6"/>
  <c r="D426" i="6" s="1"/>
  <c r="E426" i="6"/>
  <c r="F426" i="6"/>
  <c r="H426" i="6"/>
  <c r="I426" i="6"/>
  <c r="C180" i="13"/>
  <c r="D180" i="13"/>
  <c r="C425" i="6" s="1"/>
  <c r="C181" i="13"/>
  <c r="D181" i="13"/>
  <c r="C426" i="6" s="1"/>
  <c r="L181" i="13"/>
  <c r="G426" i="6" s="1"/>
  <c r="L180" i="13"/>
  <c r="G425" i="6" s="1"/>
  <c r="C179" i="13"/>
  <c r="D179" i="13"/>
  <c r="C424" i="6" s="1"/>
  <c r="L179" i="13"/>
  <c r="G424" i="6" s="1"/>
  <c r="C174" i="13"/>
  <c r="D174" i="13"/>
  <c r="C175" i="13"/>
  <c r="D175" i="13"/>
  <c r="C176" i="13"/>
  <c r="D176" i="13"/>
  <c r="C177" i="13"/>
  <c r="D177" i="13"/>
  <c r="C178" i="13"/>
  <c r="D178" i="13"/>
  <c r="L178" i="13"/>
  <c r="L177" i="13"/>
  <c r="L176" i="13"/>
  <c r="L175" i="13"/>
  <c r="L174" i="13"/>
  <c r="L173" i="13"/>
  <c r="C173" i="13"/>
  <c r="D173" i="13"/>
  <c r="C167" i="13"/>
  <c r="D167" i="13"/>
  <c r="C168" i="13"/>
  <c r="D168" i="13"/>
  <c r="C169" i="13"/>
  <c r="D169" i="13"/>
  <c r="C170" i="13"/>
  <c r="D170" i="13"/>
  <c r="C171" i="13"/>
  <c r="D171" i="13"/>
  <c r="C172" i="13"/>
  <c r="D172" i="13"/>
  <c r="L171" i="13"/>
  <c r="L170" i="13"/>
  <c r="L169" i="13"/>
  <c r="L168" i="13"/>
  <c r="L167" i="13"/>
  <c r="L166" i="13"/>
  <c r="B76" i="16" l="1"/>
  <c r="C166" i="13" l="1"/>
  <c r="D166" i="13"/>
  <c r="C411" i="6" s="1"/>
  <c r="L159" i="13"/>
  <c r="G404" i="6" s="1"/>
  <c r="L160" i="13"/>
  <c r="G405" i="6" s="1"/>
  <c r="L161" i="13"/>
  <c r="G406" i="6" s="1"/>
  <c r="L162" i="13"/>
  <c r="G407" i="6" s="1"/>
  <c r="L163" i="13"/>
  <c r="G408" i="6" s="1"/>
  <c r="L164" i="13"/>
  <c r="G409" i="6" s="1"/>
  <c r="L165" i="13"/>
  <c r="G410" i="6" s="1"/>
  <c r="L158" i="13"/>
  <c r="A411" i="6"/>
  <c r="B411" i="6"/>
  <c r="D411" i="6" s="1"/>
  <c r="E411" i="6"/>
  <c r="F411" i="6"/>
  <c r="G411" i="6"/>
  <c r="H411" i="6"/>
  <c r="I411" i="6"/>
  <c r="A412" i="6"/>
  <c r="B412" i="6"/>
  <c r="D412" i="6" s="1"/>
  <c r="C412" i="6"/>
  <c r="E412" i="6"/>
  <c r="F412" i="6"/>
  <c r="G412" i="6"/>
  <c r="H412" i="6"/>
  <c r="I412" i="6"/>
  <c r="A413" i="6"/>
  <c r="B413" i="6"/>
  <c r="D413" i="6" s="1"/>
  <c r="C413" i="6"/>
  <c r="E413" i="6"/>
  <c r="F413" i="6"/>
  <c r="G413" i="6"/>
  <c r="H413" i="6"/>
  <c r="I413" i="6"/>
  <c r="A414" i="6"/>
  <c r="B414" i="6"/>
  <c r="D414" i="6" s="1"/>
  <c r="C414" i="6"/>
  <c r="E414" i="6"/>
  <c r="F414" i="6"/>
  <c r="G414" i="6"/>
  <c r="H414" i="6"/>
  <c r="I414" i="6"/>
  <c r="A415" i="6"/>
  <c r="B415" i="6"/>
  <c r="D415" i="6" s="1"/>
  <c r="C415" i="6"/>
  <c r="E415" i="6"/>
  <c r="F415" i="6"/>
  <c r="G415" i="6"/>
  <c r="H415" i="6"/>
  <c r="I415" i="6"/>
  <c r="A416" i="6"/>
  <c r="B416" i="6"/>
  <c r="D416" i="6" s="1"/>
  <c r="C416" i="6"/>
  <c r="E416" i="6"/>
  <c r="F416" i="6"/>
  <c r="G416" i="6"/>
  <c r="H416" i="6"/>
  <c r="I416" i="6"/>
  <c r="A417" i="6"/>
  <c r="B417" i="6"/>
  <c r="D417" i="6" s="1"/>
  <c r="C417" i="6"/>
  <c r="E417" i="6"/>
  <c r="F417" i="6"/>
  <c r="G417" i="6"/>
  <c r="H417" i="6"/>
  <c r="I417" i="6"/>
  <c r="A418" i="6"/>
  <c r="B418" i="6"/>
  <c r="D418" i="6" s="1"/>
  <c r="C418" i="6"/>
  <c r="E418" i="6"/>
  <c r="F418" i="6"/>
  <c r="G418" i="6"/>
  <c r="H418" i="6"/>
  <c r="I418" i="6"/>
  <c r="A419" i="6"/>
  <c r="B419" i="6"/>
  <c r="D419" i="6" s="1"/>
  <c r="C419" i="6"/>
  <c r="E419" i="6"/>
  <c r="F419" i="6"/>
  <c r="G419" i="6"/>
  <c r="H419" i="6"/>
  <c r="I419" i="6"/>
  <c r="A420" i="6"/>
  <c r="B420" i="6"/>
  <c r="D420" i="6" s="1"/>
  <c r="C420" i="6"/>
  <c r="E420" i="6"/>
  <c r="F420" i="6"/>
  <c r="G420" i="6"/>
  <c r="H420" i="6"/>
  <c r="I420" i="6"/>
  <c r="A421" i="6"/>
  <c r="B421" i="6"/>
  <c r="D421" i="6" s="1"/>
  <c r="C421" i="6"/>
  <c r="E421" i="6"/>
  <c r="F421" i="6"/>
  <c r="G421" i="6"/>
  <c r="H421" i="6"/>
  <c r="I421" i="6"/>
  <c r="A422" i="6"/>
  <c r="B422" i="6"/>
  <c r="D422" i="6" s="1"/>
  <c r="C422" i="6"/>
  <c r="E422" i="6"/>
  <c r="F422" i="6"/>
  <c r="G422" i="6"/>
  <c r="H422" i="6"/>
  <c r="I422" i="6"/>
  <c r="A423" i="6"/>
  <c r="B423" i="6"/>
  <c r="D423" i="6" s="1"/>
  <c r="C423" i="6"/>
  <c r="E423" i="6"/>
  <c r="F423" i="6"/>
  <c r="G423" i="6"/>
  <c r="H423" i="6"/>
  <c r="I423" i="6"/>
  <c r="A403" i="6"/>
  <c r="B403" i="6"/>
  <c r="D403" i="6" s="1"/>
  <c r="E403" i="6"/>
  <c r="F403" i="6"/>
  <c r="G403" i="6"/>
  <c r="H403" i="6"/>
  <c r="I403" i="6"/>
  <c r="A404" i="6"/>
  <c r="B404" i="6"/>
  <c r="D404" i="6" s="1"/>
  <c r="E404" i="6"/>
  <c r="F404" i="6"/>
  <c r="H404" i="6"/>
  <c r="I404" i="6"/>
  <c r="A405" i="6"/>
  <c r="B405" i="6"/>
  <c r="D405" i="6" s="1"/>
  <c r="E405" i="6"/>
  <c r="F405" i="6"/>
  <c r="H405" i="6"/>
  <c r="I405" i="6"/>
  <c r="A406" i="6"/>
  <c r="B406" i="6"/>
  <c r="D406" i="6" s="1"/>
  <c r="E406" i="6"/>
  <c r="F406" i="6"/>
  <c r="H406" i="6"/>
  <c r="I406" i="6"/>
  <c r="A407" i="6"/>
  <c r="B407" i="6"/>
  <c r="D407" i="6" s="1"/>
  <c r="E407" i="6"/>
  <c r="F407" i="6"/>
  <c r="H407" i="6"/>
  <c r="I407" i="6"/>
  <c r="A408" i="6"/>
  <c r="B408" i="6"/>
  <c r="D408" i="6" s="1"/>
  <c r="E408" i="6"/>
  <c r="F408" i="6"/>
  <c r="H408" i="6"/>
  <c r="I408" i="6"/>
  <c r="A409" i="6"/>
  <c r="B409" i="6"/>
  <c r="D409" i="6" s="1"/>
  <c r="E409" i="6"/>
  <c r="F409" i="6"/>
  <c r="H409" i="6"/>
  <c r="I409" i="6"/>
  <c r="A410" i="6"/>
  <c r="B410" i="6"/>
  <c r="D410" i="6" s="1"/>
  <c r="E410" i="6"/>
  <c r="F410" i="6"/>
  <c r="H410" i="6"/>
  <c r="I410" i="6"/>
  <c r="E363" i="8"/>
  <c r="E364" i="8"/>
  <c r="E365" i="8"/>
  <c r="E366" i="8"/>
  <c r="E367" i="8"/>
  <c r="E368" i="8"/>
  <c r="E369" i="8"/>
  <c r="E370" i="8"/>
  <c r="E371" i="8"/>
  <c r="E372" i="8"/>
  <c r="E357" i="8"/>
  <c r="E358" i="8"/>
  <c r="E359" i="8"/>
  <c r="E360" i="8"/>
  <c r="E361" i="8"/>
  <c r="E362" i="8"/>
  <c r="E348" i="8"/>
  <c r="E349" i="8"/>
  <c r="E350" i="8"/>
  <c r="E351" i="8"/>
  <c r="E352" i="8"/>
  <c r="E353" i="8"/>
  <c r="E354" i="8"/>
  <c r="E355" i="8"/>
  <c r="E356" i="8"/>
  <c r="E345" i="8"/>
  <c r="E346" i="8"/>
  <c r="E347" i="8"/>
  <c r="E344" i="8"/>
  <c r="E343" i="8"/>
  <c r="C159" i="13"/>
  <c r="D159" i="13"/>
  <c r="C404" i="6" s="1"/>
  <c r="C160" i="13"/>
  <c r="D160" i="13"/>
  <c r="C405" i="6" s="1"/>
  <c r="C161" i="13"/>
  <c r="D161" i="13"/>
  <c r="C406" i="6" s="1"/>
  <c r="C162" i="13"/>
  <c r="D162" i="13"/>
  <c r="C407" i="6" s="1"/>
  <c r="C163" i="13"/>
  <c r="D163" i="13"/>
  <c r="C408" i="6" s="1"/>
  <c r="C164" i="13"/>
  <c r="D164" i="13"/>
  <c r="C409" i="6" s="1"/>
  <c r="C165" i="13"/>
  <c r="D165" i="13"/>
  <c r="C410" i="6" s="1"/>
  <c r="C158" i="13"/>
  <c r="D158" i="13"/>
  <c r="C403" i="6" s="1"/>
  <c r="E341" i="8" l="1"/>
  <c r="E340" i="8"/>
  <c r="E339" i="8"/>
  <c r="A388" i="6"/>
  <c r="B388" i="6"/>
  <c r="E388" i="6"/>
  <c r="F388" i="6"/>
  <c r="I388" i="6"/>
  <c r="A389" i="6"/>
  <c r="B389" i="6"/>
  <c r="E389" i="6"/>
  <c r="F389" i="6"/>
  <c r="H389" i="6"/>
  <c r="I389" i="6"/>
  <c r="A390" i="6"/>
  <c r="B390" i="6"/>
  <c r="E390" i="6"/>
  <c r="F390" i="6"/>
  <c r="H390" i="6"/>
  <c r="I390" i="6"/>
  <c r="A391" i="6"/>
  <c r="B391" i="6"/>
  <c r="E391" i="6"/>
  <c r="F391" i="6"/>
  <c r="H391" i="6"/>
  <c r="I391" i="6"/>
  <c r="A392" i="6"/>
  <c r="B392" i="6"/>
  <c r="E392" i="6"/>
  <c r="F392" i="6"/>
  <c r="H392" i="6"/>
  <c r="I392" i="6"/>
  <c r="A393" i="6"/>
  <c r="B393" i="6"/>
  <c r="E393" i="6"/>
  <c r="F393" i="6"/>
  <c r="H393" i="6"/>
  <c r="I393" i="6"/>
  <c r="A394" i="6"/>
  <c r="B394" i="6"/>
  <c r="E394" i="6"/>
  <c r="F394" i="6"/>
  <c r="H394" i="6"/>
  <c r="I394" i="6"/>
  <c r="A395" i="6"/>
  <c r="B395" i="6"/>
  <c r="E395" i="6"/>
  <c r="F395" i="6"/>
  <c r="H395" i="6"/>
  <c r="I395" i="6"/>
  <c r="A396" i="6"/>
  <c r="B396" i="6"/>
  <c r="E396" i="6"/>
  <c r="F396" i="6"/>
  <c r="H396" i="6"/>
  <c r="I396" i="6"/>
  <c r="A397" i="6"/>
  <c r="B397" i="6"/>
  <c r="E397" i="6"/>
  <c r="F397" i="6"/>
  <c r="H397" i="6"/>
  <c r="I397" i="6"/>
  <c r="A398" i="6"/>
  <c r="B398" i="6"/>
  <c r="E398" i="6"/>
  <c r="F398" i="6"/>
  <c r="H398" i="6"/>
  <c r="I398" i="6"/>
  <c r="A399" i="6"/>
  <c r="B399" i="6"/>
  <c r="E399" i="6"/>
  <c r="F399" i="6"/>
  <c r="H399" i="6"/>
  <c r="I399" i="6"/>
  <c r="A400" i="6"/>
  <c r="B400" i="6"/>
  <c r="E400" i="6"/>
  <c r="F400" i="6"/>
  <c r="H400" i="6"/>
  <c r="I400" i="6"/>
  <c r="A401" i="6"/>
  <c r="B401" i="6"/>
  <c r="E401" i="6"/>
  <c r="F401" i="6"/>
  <c r="H401" i="6"/>
  <c r="I401" i="6"/>
  <c r="A402" i="6"/>
  <c r="B402" i="6"/>
  <c r="E402" i="6"/>
  <c r="F402" i="6"/>
  <c r="H402" i="6"/>
  <c r="I402" i="6"/>
  <c r="L143" i="13"/>
  <c r="G388" i="6" s="1"/>
  <c r="L144" i="13"/>
  <c r="G389" i="6" s="1"/>
  <c r="L145" i="13"/>
  <c r="G390" i="6" s="1"/>
  <c r="L146" i="13"/>
  <c r="G391" i="6" s="1"/>
  <c r="L147" i="13"/>
  <c r="G392" i="6" s="1"/>
  <c r="L148" i="13"/>
  <c r="G393" i="6" s="1"/>
  <c r="L149" i="13"/>
  <c r="G394" i="6" s="1"/>
  <c r="L150" i="13"/>
  <c r="G395" i="6" s="1"/>
  <c r="L151" i="13"/>
  <c r="G396" i="6" s="1"/>
  <c r="L152" i="13"/>
  <c r="G397" i="6" s="1"/>
  <c r="L153" i="13"/>
  <c r="G398" i="6" s="1"/>
  <c r="L154" i="13"/>
  <c r="G399" i="6" s="1"/>
  <c r="L155" i="13"/>
  <c r="G400" i="6" s="1"/>
  <c r="L156" i="13"/>
  <c r="G401" i="6" s="1"/>
  <c r="L157" i="13"/>
  <c r="G402" i="6" s="1"/>
  <c r="K16" i="34"/>
  <c r="C157" i="13"/>
  <c r="D157" i="13"/>
  <c r="C402" i="6" s="1"/>
  <c r="C155" i="13"/>
  <c r="D155" i="13"/>
  <c r="C400" i="6" s="1"/>
  <c r="C153" i="13"/>
  <c r="D153" i="13"/>
  <c r="C398" i="6" s="1"/>
  <c r="C151" i="13"/>
  <c r="D151" i="13"/>
  <c r="C396" i="6" s="1"/>
  <c r="C149" i="13"/>
  <c r="D149" i="13"/>
  <c r="C394" i="6" s="1"/>
  <c r="C147" i="13"/>
  <c r="D147" i="13"/>
  <c r="C392" i="6" s="1"/>
  <c r="C145" i="13"/>
  <c r="D145" i="13"/>
  <c r="C390" i="6" s="1"/>
  <c r="I143" i="13"/>
  <c r="H388" i="6" s="1"/>
  <c r="C146" i="13"/>
  <c r="D146" i="13"/>
  <c r="C391" i="6" s="1"/>
  <c r="C148" i="13"/>
  <c r="D148" i="13"/>
  <c r="C393" i="6" s="1"/>
  <c r="C150" i="13"/>
  <c r="D150" i="13"/>
  <c r="C395" i="6" s="1"/>
  <c r="C152" i="13"/>
  <c r="D152" i="13"/>
  <c r="C397" i="6" s="1"/>
  <c r="C154" i="13"/>
  <c r="D154" i="13"/>
  <c r="C399" i="6" s="1"/>
  <c r="C156" i="13"/>
  <c r="D156" i="13"/>
  <c r="C401" i="6" s="1"/>
  <c r="C144" i="13"/>
  <c r="D144" i="13"/>
  <c r="C389" i="6" s="1"/>
  <c r="C143" i="13"/>
  <c r="D143" i="13"/>
  <c r="C388" i="6" s="1"/>
  <c r="L773" i="16" l="1"/>
  <c r="K103" i="19"/>
  <c r="L768" i="16" s="1"/>
  <c r="G103" i="19"/>
  <c r="E772" i="16"/>
  <c r="H103" i="19" l="1"/>
  <c r="J103" i="19" s="1"/>
  <c r="K768" i="16" s="1"/>
  <c r="B766" i="16" s="1"/>
  <c r="I103" i="19"/>
  <c r="C45" i="32"/>
  <c r="J26" i="32"/>
  <c r="I26" i="32"/>
  <c r="D26" i="32"/>
  <c r="J27" i="32"/>
  <c r="I27" i="32"/>
  <c r="H27" i="32"/>
  <c r="H26" i="32"/>
  <c r="G27" i="32"/>
  <c r="E27" i="32"/>
  <c r="D27" i="32"/>
  <c r="F27" i="32"/>
  <c r="F26" i="32"/>
  <c r="G26" i="32"/>
  <c r="E26" i="32"/>
  <c r="C27" i="32"/>
  <c r="C26" i="32"/>
  <c r="B27" i="32"/>
  <c r="B26" i="32"/>
  <c r="O5" i="32"/>
  <c r="O4" i="32"/>
  <c r="B767" i="16" l="1"/>
  <c r="B769" i="16"/>
  <c r="I772" i="16"/>
  <c r="G33" i="32"/>
  <c r="C33" i="32"/>
  <c r="I32" i="32"/>
  <c r="E32" i="32"/>
  <c r="J33" i="32"/>
  <c r="F33" i="32"/>
  <c r="B33" i="32"/>
  <c r="H32" i="32"/>
  <c r="D32" i="32"/>
  <c r="I33" i="32"/>
  <c r="E33" i="32"/>
  <c r="B32" i="32"/>
  <c r="G32" i="32"/>
  <c r="C32" i="32"/>
  <c r="H33" i="32"/>
  <c r="D33" i="32"/>
  <c r="J32" i="32"/>
  <c r="F32" i="32"/>
  <c r="G28" i="32"/>
  <c r="G34" i="32" s="1"/>
  <c r="J28" i="32"/>
  <c r="J34" i="32" s="1"/>
  <c r="I773" i="16"/>
  <c r="B770" i="16" s="1"/>
  <c r="E770" i="16" s="1"/>
  <c r="B28" i="32"/>
  <c r="B34" i="32" s="1"/>
  <c r="E28" i="32"/>
  <c r="E34" i="32" s="1"/>
  <c r="I28" i="32"/>
  <c r="I34" i="32" s="1"/>
  <c r="C28" i="32"/>
  <c r="C34" i="32" s="1"/>
  <c r="F28" i="32"/>
  <c r="F34" i="32" s="1"/>
  <c r="H28" i="32"/>
  <c r="H34" i="32" s="1"/>
  <c r="D28" i="32"/>
  <c r="D34" i="32" s="1"/>
  <c r="B31" i="32"/>
  <c r="B38" i="32" s="1"/>
  <c r="B48" i="32" s="1"/>
  <c r="B55" i="32" s="1"/>
  <c r="C31" i="32"/>
  <c r="I31" i="32"/>
  <c r="I40" i="32" s="1"/>
  <c r="I50" i="32" s="1"/>
  <c r="I57" i="32" s="1"/>
  <c r="G31" i="32"/>
  <c r="E31" i="32"/>
  <c r="J31" i="32"/>
  <c r="F31" i="32"/>
  <c r="D31" i="32"/>
  <c r="H31" i="32"/>
  <c r="I38" i="32" l="1"/>
  <c r="I48" i="32" s="1"/>
  <c r="I55" i="32" s="1"/>
  <c r="H39" i="32"/>
  <c r="H49" i="32" s="1"/>
  <c r="H56" i="32" s="1"/>
  <c r="H41" i="32"/>
  <c r="H51" i="32" s="1"/>
  <c r="H58" i="32" s="1"/>
  <c r="B40" i="32"/>
  <c r="B50" i="32" s="1"/>
  <c r="B57" i="32" s="1"/>
  <c r="B41" i="32"/>
  <c r="B51" i="32" s="1"/>
  <c r="B58" i="32" s="1"/>
  <c r="B39" i="32"/>
  <c r="B49" i="32" s="1"/>
  <c r="B56" i="32" s="1"/>
  <c r="C41" i="32"/>
  <c r="C51" i="32" s="1"/>
  <c r="C58" i="32" s="1"/>
  <c r="C39" i="32"/>
  <c r="C49" i="32" s="1"/>
  <c r="C56" i="32" s="1"/>
  <c r="J41" i="32"/>
  <c r="J51" i="32" s="1"/>
  <c r="J58" i="32" s="1"/>
  <c r="J39" i="32"/>
  <c r="J49" i="32" s="1"/>
  <c r="J56" i="32" s="1"/>
  <c r="D41" i="32"/>
  <c r="D51" i="32" s="1"/>
  <c r="D58" i="32" s="1"/>
  <c r="D39" i="32"/>
  <c r="D49" i="32" s="1"/>
  <c r="D56" i="32" s="1"/>
  <c r="F41" i="32"/>
  <c r="F51" i="32" s="1"/>
  <c r="F58" i="32" s="1"/>
  <c r="F39" i="32"/>
  <c r="F49" i="32" s="1"/>
  <c r="F56" i="32" s="1"/>
  <c r="E41" i="32"/>
  <c r="E51" i="32" s="1"/>
  <c r="E58" i="32" s="1"/>
  <c r="E39" i="32"/>
  <c r="E49" i="32" s="1"/>
  <c r="E56" i="32" s="1"/>
  <c r="G41" i="32"/>
  <c r="G51" i="32" s="1"/>
  <c r="G58" i="32" s="1"/>
  <c r="G39" i="32"/>
  <c r="G49" i="32" s="1"/>
  <c r="G56" i="32" s="1"/>
  <c r="I41" i="32"/>
  <c r="I51" i="32" s="1"/>
  <c r="I58" i="32" s="1"/>
  <c r="I39" i="32"/>
  <c r="I49" i="32" s="1"/>
  <c r="I56" i="32" s="1"/>
  <c r="C40" i="32"/>
  <c r="C50" i="32" s="1"/>
  <c r="C57" i="32" s="1"/>
  <c r="C38" i="32"/>
  <c r="C48" i="32" s="1"/>
  <c r="C55" i="32" s="1"/>
  <c r="G40" i="32"/>
  <c r="G50" i="32" s="1"/>
  <c r="G57" i="32" s="1"/>
  <c r="G38" i="32"/>
  <c r="G48" i="32" s="1"/>
  <c r="G55" i="32" s="1"/>
  <c r="H40" i="32"/>
  <c r="H50" i="32" s="1"/>
  <c r="H57" i="32" s="1"/>
  <c r="H38" i="32"/>
  <c r="H48" i="32" s="1"/>
  <c r="H55" i="32" s="1"/>
  <c r="D40" i="32"/>
  <c r="D50" i="32" s="1"/>
  <c r="D57" i="32" s="1"/>
  <c r="D38" i="32"/>
  <c r="D48" i="32" s="1"/>
  <c r="D55" i="32" s="1"/>
  <c r="J40" i="32"/>
  <c r="J50" i="32" s="1"/>
  <c r="J57" i="32" s="1"/>
  <c r="J38" i="32"/>
  <c r="J48" i="32" s="1"/>
  <c r="J55" i="32" s="1"/>
  <c r="F40" i="32"/>
  <c r="F50" i="32" s="1"/>
  <c r="F57" i="32" s="1"/>
  <c r="F38" i="32"/>
  <c r="F48" i="32" s="1"/>
  <c r="F55" i="32" s="1"/>
  <c r="E38" i="32"/>
  <c r="E48" i="32" s="1"/>
  <c r="E55" i="32" s="1"/>
  <c r="E40" i="32"/>
  <c r="E50" i="32" s="1"/>
  <c r="E57" i="32" s="1"/>
  <c r="E768" i="16" l="1"/>
  <c r="E766" i="16"/>
  <c r="E760" i="16" l="1"/>
  <c r="H758" i="16"/>
  <c r="B756" i="16"/>
  <c r="E756" i="16" s="1"/>
  <c r="K100" i="19"/>
  <c r="K756" i="16" s="1"/>
  <c r="G100" i="19"/>
  <c r="H100" i="19" l="1"/>
  <c r="J100" i="19" s="1"/>
  <c r="J756" i="16" s="1"/>
  <c r="I100" i="19"/>
  <c r="E748" i="16"/>
  <c r="I746" i="16"/>
  <c r="H746" i="16"/>
  <c r="J745" i="16"/>
  <c r="B746" i="16" s="1"/>
  <c r="E736" i="16"/>
  <c r="I734" i="16"/>
  <c r="H734" i="16"/>
  <c r="J733" i="16"/>
  <c r="B734" i="16" s="1"/>
  <c r="I723" i="16"/>
  <c r="H723" i="16"/>
  <c r="E725" i="16"/>
  <c r="J722" i="16"/>
  <c r="K733" i="16" l="1"/>
  <c r="B731" i="16" s="1"/>
  <c r="K722" i="16"/>
  <c r="B720" i="16" s="1"/>
  <c r="K745" i="16"/>
  <c r="B743" i="16" s="1"/>
  <c r="B745" i="16" s="1"/>
  <c r="H759" i="16"/>
  <c r="H760" i="16" s="1"/>
  <c r="B758" i="16" s="1"/>
  <c r="B754" i="16"/>
  <c r="E754" i="16" s="1"/>
  <c r="B723" i="16"/>
  <c r="E706" i="16"/>
  <c r="K714" i="16"/>
  <c r="K708" i="16"/>
  <c r="K705" i="16"/>
  <c r="K706" i="16"/>
  <c r="K707" i="16"/>
  <c r="K709" i="16"/>
  <c r="K710" i="16"/>
  <c r="K711" i="16"/>
  <c r="K712" i="16"/>
  <c r="K713" i="16"/>
  <c r="E710" i="16"/>
  <c r="K704" i="16"/>
  <c r="B755" i="16" l="1"/>
  <c r="B732" i="16"/>
  <c r="B733" i="16"/>
  <c r="B722" i="16"/>
  <c r="B721" i="16"/>
  <c r="B744" i="16"/>
  <c r="B757" i="16"/>
  <c r="L708" i="16"/>
  <c r="B704" i="16" s="1"/>
  <c r="B707" i="16"/>
  <c r="B708" i="16"/>
  <c r="L714" i="16"/>
  <c r="B705" i="16" s="1"/>
  <c r="K693" i="16"/>
  <c r="B691" i="16" s="1"/>
  <c r="K694" i="16"/>
  <c r="K696" i="16"/>
  <c r="K695" i="16"/>
  <c r="B692" i="16"/>
  <c r="B680" i="16"/>
  <c r="B682" i="16"/>
  <c r="B678" i="16"/>
  <c r="B679" i="16" s="1"/>
  <c r="E697" i="16"/>
  <c r="E684" i="16"/>
  <c r="B693" i="16" l="1"/>
  <c r="B681" i="16"/>
  <c r="B694" i="16"/>
  <c r="E694" i="16" s="1"/>
  <c r="E672" i="16"/>
  <c r="I670" i="16"/>
  <c r="B670" i="16" s="1"/>
  <c r="B668" i="16"/>
  <c r="E660" i="16"/>
  <c r="B657" i="16"/>
  <c r="L656" i="16"/>
  <c r="B658" i="16" s="1"/>
  <c r="M655" i="16"/>
  <c r="K90" i="19"/>
  <c r="G90" i="19"/>
  <c r="K85" i="19"/>
  <c r="L668" i="16" s="1"/>
  <c r="G85" i="19"/>
  <c r="I85" i="19" l="1"/>
  <c r="H90" i="19"/>
  <c r="J90" i="19" s="1"/>
  <c r="B654" i="16"/>
  <c r="B655" i="16" s="1"/>
  <c r="I90" i="19"/>
  <c r="H85" i="19"/>
  <c r="J85" i="19" s="1"/>
  <c r="K668" i="16" s="1"/>
  <c r="B666" i="16" s="1"/>
  <c r="B669" i="16" s="1"/>
  <c r="B10" i="16"/>
  <c r="B8" i="16"/>
  <c r="B667" i="16" l="1"/>
  <c r="B656" i="16"/>
  <c r="K647" i="16" l="1"/>
  <c r="B644" i="16" s="1"/>
  <c r="K646" i="16"/>
  <c r="K645" i="16"/>
  <c r="E648" i="16"/>
  <c r="K644" i="16"/>
  <c r="I476" i="16"/>
  <c r="J480" i="16" s="1"/>
  <c r="K481" i="16" s="1"/>
  <c r="B474" i="16"/>
  <c r="B643" i="16" l="1"/>
  <c r="K648" i="16"/>
  <c r="B642" i="16"/>
  <c r="E9" i="31" l="1"/>
  <c r="E8" i="31"/>
  <c r="E13" i="31" s="1"/>
  <c r="G13" i="31" s="1"/>
  <c r="K634" i="16" l="1"/>
  <c r="B631" i="16" s="1"/>
  <c r="K633" i="16"/>
  <c r="K632" i="16"/>
  <c r="E636" i="16"/>
  <c r="K60" i="19"/>
  <c r="K57" i="19"/>
  <c r="B630" i="16" l="1"/>
  <c r="K635" i="16"/>
  <c r="D330" i="16" l="1"/>
  <c r="B330" i="16"/>
  <c r="C330" i="16"/>
  <c r="L628" i="16" l="1"/>
  <c r="L627" i="16"/>
  <c r="M628" i="16" s="1"/>
  <c r="E618" i="16" s="1"/>
  <c r="L616" i="16"/>
  <c r="L621" i="16"/>
  <c r="L623" i="16"/>
  <c r="L622" i="16"/>
  <c r="L620" i="16"/>
  <c r="L619" i="16"/>
  <c r="L617" i="16"/>
  <c r="L618" i="16"/>
  <c r="I626" i="16"/>
  <c r="E620" i="16"/>
  <c r="J608" i="16"/>
  <c r="B602" i="16" s="1"/>
  <c r="K608" i="16"/>
  <c r="J607" i="16"/>
  <c r="K607" i="16"/>
  <c r="E608" i="16"/>
  <c r="B606" i="16"/>
  <c r="K604" i="16"/>
  <c r="J604" i="16"/>
  <c r="B615" i="16" l="1"/>
  <c r="B616" i="16"/>
  <c r="M623" i="16"/>
  <c r="B614" i="16" s="1"/>
  <c r="B605" i="16"/>
  <c r="B603" i="16"/>
  <c r="L581" i="16"/>
  <c r="L582" i="16"/>
  <c r="L583" i="16" s="1"/>
  <c r="L584" i="16" s="1"/>
  <c r="B577" i="16" l="1"/>
  <c r="L592" i="16" l="1"/>
  <c r="E596" i="16"/>
  <c r="H594" i="16"/>
  <c r="B594" i="16" s="1"/>
  <c r="B592" i="16"/>
  <c r="E583" i="16"/>
  <c r="H581" i="16"/>
  <c r="B581" i="16" s="1"/>
  <c r="B579" i="16"/>
  <c r="K81" i="19"/>
  <c r="G81" i="19"/>
  <c r="K76" i="19"/>
  <c r="L579" i="16" s="1"/>
  <c r="G76" i="19"/>
  <c r="H76" i="19" l="1"/>
  <c r="J76" i="19" s="1"/>
  <c r="I76" i="19"/>
  <c r="B578" i="16"/>
  <c r="B580" i="16"/>
  <c r="I81" i="19"/>
  <c r="H81" i="19"/>
  <c r="E571" i="16"/>
  <c r="H569" i="16"/>
  <c r="B569" i="16" s="1"/>
  <c r="B567" i="16"/>
  <c r="E559" i="16"/>
  <c r="H557" i="16"/>
  <c r="B557" i="16" s="1"/>
  <c r="B555" i="16"/>
  <c r="K72" i="19"/>
  <c r="L567" i="16" s="1"/>
  <c r="G72" i="19"/>
  <c r="K68" i="19"/>
  <c r="L555" i="16" s="1"/>
  <c r="G68" i="19"/>
  <c r="J546" i="16"/>
  <c r="I68" i="19" l="1"/>
  <c r="J579" i="16"/>
  <c r="I72" i="19"/>
  <c r="J81" i="19"/>
  <c r="J592" i="16" s="1"/>
  <c r="B590" i="16" s="1"/>
  <c r="H72" i="19"/>
  <c r="H68" i="19"/>
  <c r="H541" i="16"/>
  <c r="J541" i="16" s="1"/>
  <c r="H539" i="16"/>
  <c r="L539" i="16"/>
  <c r="I539" i="16" s="1"/>
  <c r="J545" i="16"/>
  <c r="E546" i="16"/>
  <c r="J542" i="16"/>
  <c r="I540" i="16"/>
  <c r="J540" i="16" s="1"/>
  <c r="B591" i="16" l="1"/>
  <c r="B593" i="16"/>
  <c r="J555" i="16"/>
  <c r="B553" i="16" s="1"/>
  <c r="B556" i="16" s="1"/>
  <c r="J567" i="16"/>
  <c r="B565" i="16" s="1"/>
  <c r="B566" i="16" s="1"/>
  <c r="J68" i="19"/>
  <c r="J72" i="19"/>
  <c r="J539" i="16"/>
  <c r="B554" i="16" l="1"/>
  <c r="B568" i="16"/>
  <c r="B539" i="16"/>
  <c r="B538" i="16"/>
  <c r="H526" i="16"/>
  <c r="J526" i="16" s="1"/>
  <c r="J531" i="16"/>
  <c r="I524" i="16"/>
  <c r="J524" i="16" s="1"/>
  <c r="E530" i="16"/>
  <c r="J528" i="16"/>
  <c r="B523" i="16" s="1"/>
  <c r="J525" i="16"/>
  <c r="L523" i="16"/>
  <c r="I523" i="16" s="1"/>
  <c r="J523" i="16" l="1"/>
  <c r="I527" i="16"/>
  <c r="J527" i="16" s="1"/>
  <c r="E514" i="16"/>
  <c r="H513" i="16"/>
  <c r="B514" i="16" s="1"/>
  <c r="E513" i="16"/>
  <c r="E516" i="16"/>
  <c r="B513" i="16"/>
  <c r="B511" i="16"/>
  <c r="H501" i="16"/>
  <c r="B502" i="16" s="1"/>
  <c r="E505" i="16"/>
  <c r="B500" i="16"/>
  <c r="B503" i="16" s="1"/>
  <c r="P433" i="16"/>
  <c r="O433" i="16"/>
  <c r="I433" i="16" s="1"/>
  <c r="J438" i="16"/>
  <c r="B433" i="16" s="1"/>
  <c r="J435" i="16"/>
  <c r="E440" i="16"/>
  <c r="M436" i="16"/>
  <c r="L436" i="16"/>
  <c r="J436" i="16"/>
  <c r="J434" i="16"/>
  <c r="N433" i="16"/>
  <c r="M433" i="16"/>
  <c r="L433" i="16"/>
  <c r="B522" i="16" l="1"/>
  <c r="J532" i="16"/>
  <c r="B512" i="16"/>
  <c r="B501" i="16"/>
  <c r="J433" i="16"/>
  <c r="I437" i="16"/>
  <c r="J437" i="16" s="1"/>
  <c r="E492" i="16"/>
  <c r="B432" i="16" l="1"/>
  <c r="J441" i="16"/>
  <c r="B485" i="16"/>
  <c r="B486" i="16"/>
  <c r="B487" i="16"/>
  <c r="B488" i="16"/>
  <c r="B489" i="16"/>
  <c r="B490" i="16"/>
  <c r="B484" i="16"/>
  <c r="E494" i="16"/>
  <c r="B491" i="16" l="1"/>
  <c r="H393" i="16"/>
  <c r="H392" i="16"/>
  <c r="B476" i="16" l="1"/>
  <c r="E478" i="16"/>
  <c r="I453" i="16" l="1"/>
  <c r="B464" i="16"/>
  <c r="I465" i="16"/>
  <c r="K64" i="19"/>
  <c r="L463" i="16"/>
  <c r="E466" i="16"/>
  <c r="B462" i="16"/>
  <c r="G64" i="19"/>
  <c r="H64" i="19" l="1"/>
  <c r="J64" i="19"/>
  <c r="I64" i="19"/>
  <c r="K463" i="16" l="1"/>
  <c r="B460" i="16" s="1"/>
  <c r="B463" i="16" s="1"/>
  <c r="J423" i="16"/>
  <c r="E976" i="16" l="1"/>
  <c r="E990" i="16"/>
  <c r="E988" i="16"/>
  <c r="E989" i="16"/>
  <c r="E975" i="16"/>
  <c r="E974" i="16"/>
  <c r="E961" i="16"/>
  <c r="E962" i="16"/>
  <c r="E951" i="16"/>
  <c r="L952" i="16" s="1"/>
  <c r="M952" i="16" s="1"/>
  <c r="E950" i="16"/>
  <c r="L951" i="16" s="1"/>
  <c r="M951" i="16" s="1"/>
  <c r="E949" i="16"/>
  <c r="E941" i="16"/>
  <c r="E939" i="16"/>
  <c r="E924" i="16"/>
  <c r="E937" i="16"/>
  <c r="E938" i="16"/>
  <c r="E925" i="16"/>
  <c r="E900" i="16"/>
  <c r="E899" i="16"/>
  <c r="E891" i="16"/>
  <c r="E889" i="16"/>
  <c r="E913" i="16"/>
  <c r="E877" i="16"/>
  <c r="E879" i="16"/>
  <c r="E888" i="16"/>
  <c r="E875" i="16"/>
  <c r="E887" i="16"/>
  <c r="E876" i="16"/>
  <c r="E865" i="16"/>
  <c r="E867" i="16"/>
  <c r="E864" i="16"/>
  <c r="E863" i="16"/>
  <c r="B461" i="16"/>
  <c r="E461" i="16" s="1"/>
  <c r="E851" i="16"/>
  <c r="E850" i="16"/>
  <c r="E849" i="16"/>
  <c r="E802" i="16"/>
  <c r="E803" i="16"/>
  <c r="E794" i="16"/>
  <c r="E792" i="16"/>
  <c r="E791" i="16"/>
  <c r="E790" i="16"/>
  <c r="E780" i="16"/>
  <c r="E778" i="16"/>
  <c r="E782" i="16"/>
  <c r="E779" i="16"/>
  <c r="E767" i="16"/>
  <c r="E746" i="16"/>
  <c r="E731" i="16"/>
  <c r="E743" i="16"/>
  <c r="E732" i="16"/>
  <c r="E734" i="16"/>
  <c r="E720" i="16"/>
  <c r="E721" i="16"/>
  <c r="E723" i="16"/>
  <c r="E758" i="16"/>
  <c r="E678" i="16"/>
  <c r="E755" i="16"/>
  <c r="E744" i="16"/>
  <c r="E679" i="16"/>
  <c r="E692" i="16"/>
  <c r="E704" i="16"/>
  <c r="E705" i="16"/>
  <c r="E680" i="16"/>
  <c r="E691" i="16"/>
  <c r="E693" i="16"/>
  <c r="E668" i="16"/>
  <c r="E666" i="16"/>
  <c r="E667" i="16"/>
  <c r="E658" i="16"/>
  <c r="E654" i="16"/>
  <c r="E10" i="16"/>
  <c r="E655" i="16"/>
  <c r="E643" i="16"/>
  <c r="E644" i="16"/>
  <c r="E642" i="16"/>
  <c r="E631" i="16"/>
  <c r="E630" i="16"/>
  <c r="E604" i="16"/>
  <c r="E602" i="16"/>
  <c r="E616" i="16"/>
  <c r="E614" i="16"/>
  <c r="E615" i="16"/>
  <c r="E603" i="16"/>
  <c r="E592" i="16"/>
  <c r="E577" i="16"/>
  <c r="E579" i="16"/>
  <c r="E555" i="16"/>
  <c r="E567" i="16"/>
  <c r="E590" i="16"/>
  <c r="E578" i="16"/>
  <c r="E553" i="16"/>
  <c r="E591" i="16"/>
  <c r="E565" i="16"/>
  <c r="E566" i="16"/>
  <c r="E554" i="16"/>
  <c r="E538" i="16"/>
  <c r="E539" i="16"/>
  <c r="E523" i="16"/>
  <c r="E511" i="16"/>
  <c r="E522" i="16"/>
  <c r="E512" i="16"/>
  <c r="E502" i="16"/>
  <c r="E501" i="16"/>
  <c r="E433" i="16"/>
  <c r="E500" i="16"/>
  <c r="E432" i="16"/>
  <c r="E484" i="16"/>
  <c r="E485" i="16"/>
  <c r="E486" i="16"/>
  <c r="E401" i="16"/>
  <c r="E474" i="16"/>
  <c r="E462" i="16"/>
  <c r="E460" i="16"/>
  <c r="E454" i="16"/>
  <c r="B450" i="16"/>
  <c r="E450" i="16" s="1"/>
  <c r="G60" i="19"/>
  <c r="L950" i="16" l="1"/>
  <c r="M950" i="16" s="1"/>
  <c r="E809" i="16"/>
  <c r="E811" i="16" s="1"/>
  <c r="E812" i="16" s="1"/>
  <c r="E647" i="16"/>
  <c r="E649" i="16" s="1"/>
  <c r="E650" i="16" s="1"/>
  <c r="E515" i="16"/>
  <c r="E517" i="16" s="1"/>
  <c r="E518" i="16" s="1"/>
  <c r="E635" i="16"/>
  <c r="E545" i="16"/>
  <c r="E547" i="16" s="1"/>
  <c r="E548" i="16" s="1"/>
  <c r="I60" i="19"/>
  <c r="L451" i="16" s="1"/>
  <c r="E529" i="16"/>
  <c r="E531" i="16" s="1"/>
  <c r="E532" i="16" s="1"/>
  <c r="E439" i="16"/>
  <c r="E441" i="16" s="1"/>
  <c r="E442" i="16" s="1"/>
  <c r="H60" i="19"/>
  <c r="J60" i="19" s="1"/>
  <c r="J424" i="16"/>
  <c r="N422" i="16"/>
  <c r="M422" i="16"/>
  <c r="L422" i="16"/>
  <c r="M425" i="16"/>
  <c r="L425" i="16"/>
  <c r="F647" i="16" l="1"/>
  <c r="F635" i="16"/>
  <c r="E637" i="16"/>
  <c r="E638" i="16" s="1"/>
  <c r="K451" i="16"/>
  <c r="B452" i="16" l="1"/>
  <c r="E452" i="16" s="1"/>
  <c r="B448" i="16"/>
  <c r="E448" i="16" s="1"/>
  <c r="B388" i="16"/>
  <c r="B451" i="16" l="1"/>
  <c r="B449" i="16"/>
  <c r="E449" i="16" s="1"/>
  <c r="J422" i="16"/>
  <c r="J425" i="16" s="1"/>
  <c r="B421" i="16"/>
  <c r="E426" i="16"/>
  <c r="B422" i="16" l="1"/>
  <c r="E422" i="16" s="1"/>
  <c r="E421" i="16"/>
  <c r="E487" i="16" l="1"/>
  <c r="E388" i="16"/>
  <c r="E415" i="16"/>
  <c r="B411" i="16"/>
  <c r="E411" i="16" s="1"/>
  <c r="G57" i="19"/>
  <c r="H57" i="19" l="1"/>
  <c r="J57" i="19" s="1"/>
  <c r="J412" i="16" s="1"/>
  <c r="I57" i="19"/>
  <c r="L412" i="16" s="1"/>
  <c r="L390" i="16"/>
  <c r="E389" i="16"/>
  <c r="L389" i="16"/>
  <c r="L388" i="16"/>
  <c r="L400" i="16"/>
  <c r="E403" i="16"/>
  <c r="B400" i="16"/>
  <c r="B397" i="16"/>
  <c r="B386" i="16" l="1"/>
  <c r="B387" i="16"/>
  <c r="B398" i="16"/>
  <c r="E398" i="16" s="1"/>
  <c r="E397" i="16"/>
  <c r="B413" i="16"/>
  <c r="E413" i="16" s="1"/>
  <c r="B409" i="16"/>
  <c r="E386" i="16"/>
  <c r="E387" i="16"/>
  <c r="J50" i="28"/>
  <c r="B77" i="28"/>
  <c r="C70" i="28"/>
  <c r="E391" i="16"/>
  <c r="B412" i="16" l="1"/>
  <c r="E409" i="16"/>
  <c r="B410" i="16"/>
  <c r="E410" i="16" s="1"/>
  <c r="B71" i="28"/>
  <c r="B72" i="28" s="1"/>
  <c r="B73" i="28" s="1"/>
  <c r="I54" i="28"/>
  <c r="J54" i="28" s="1"/>
  <c r="H54" i="28"/>
  <c r="I53" i="28"/>
  <c r="J53" i="28" s="1"/>
  <c r="H53" i="28"/>
  <c r="I52" i="28"/>
  <c r="J52" i="28" s="1"/>
  <c r="H52" i="28"/>
  <c r="I51" i="28"/>
  <c r="J51" i="28" s="1"/>
  <c r="H51" i="28"/>
  <c r="H48" i="28"/>
  <c r="H49" i="28"/>
  <c r="H47" i="28"/>
  <c r="N40" i="28" l="1"/>
  <c r="K27" i="28"/>
  <c r="K28" i="28"/>
  <c r="K29" i="28"/>
  <c r="K30" i="28"/>
  <c r="K31" i="28"/>
  <c r="K32" i="28"/>
  <c r="K33" i="28"/>
  <c r="K26" i="28"/>
  <c r="K40" i="28" l="1"/>
  <c r="B67" i="28"/>
  <c r="B376" i="16"/>
  <c r="E376" i="16" s="1"/>
  <c r="B63" i="28"/>
  <c r="B64" i="28" s="1"/>
  <c r="B66" i="28" s="1"/>
  <c r="E54" i="28"/>
  <c r="E53" i="28"/>
  <c r="E52" i="28"/>
  <c r="E51" i="28"/>
  <c r="E50" i="28"/>
  <c r="D47" i="28"/>
  <c r="I47" i="28" s="1"/>
  <c r="D48" i="28"/>
  <c r="I48" i="28" s="1"/>
  <c r="J48" i="28" s="1"/>
  <c r="D49" i="28"/>
  <c r="I49" i="28" s="1"/>
  <c r="J49" i="28" s="1"/>
  <c r="B377" i="16"/>
  <c r="B375" i="16"/>
  <c r="E375" i="16" s="1"/>
  <c r="E48" i="28" l="1"/>
  <c r="E47" i="28"/>
  <c r="E49" i="28"/>
  <c r="D55" i="28"/>
  <c r="J47" i="28"/>
  <c r="J55" i="28" s="1"/>
  <c r="J57" i="28" s="1"/>
  <c r="J58" i="28" s="1"/>
  <c r="I55" i="28"/>
  <c r="L19" i="28"/>
  <c r="B30" i="16"/>
  <c r="E30" i="16" s="1"/>
  <c r="B29" i="16"/>
  <c r="E29" i="16" s="1"/>
  <c r="E55" i="28" l="1"/>
  <c r="E57" i="28" s="1"/>
  <c r="E58" i="28" s="1"/>
  <c r="J22" i="28"/>
  <c r="E380" i="16"/>
  <c r="B378" i="16"/>
  <c r="L17" i="28"/>
  <c r="L16" i="28"/>
  <c r="L15" i="28"/>
  <c r="E369" i="16"/>
  <c r="B367" i="16"/>
  <c r="B366" i="16"/>
  <c r="B365" i="16"/>
  <c r="B363" i="16"/>
  <c r="B364" i="16" l="1"/>
  <c r="E364" i="16" s="1"/>
  <c r="E363" i="16"/>
  <c r="Q18" i="28"/>
  <c r="Q17" i="28"/>
  <c r="D345" i="16"/>
  <c r="C345" i="16"/>
  <c r="B345" i="16"/>
  <c r="I349" i="16"/>
  <c r="H349" i="16"/>
  <c r="G349" i="16"/>
  <c r="D334" i="16"/>
  <c r="I334" i="16" s="1"/>
  <c r="C334" i="16"/>
  <c r="H334" i="16" s="1"/>
  <c r="B334" i="16"/>
  <c r="G334" i="16" s="1"/>
  <c r="I338" i="16"/>
  <c r="H338" i="16"/>
  <c r="G338" i="16"/>
  <c r="G336" i="16"/>
  <c r="H336" i="16" s="1"/>
  <c r="I336" i="16" s="1"/>
  <c r="I335" i="16"/>
  <c r="H335" i="16"/>
  <c r="G335" i="16"/>
  <c r="I324" i="16"/>
  <c r="H324" i="16"/>
  <c r="G322" i="16"/>
  <c r="H322" i="16" s="1"/>
  <c r="I322" i="16" s="1"/>
  <c r="I321" i="16"/>
  <c r="H321" i="16"/>
  <c r="D320" i="16"/>
  <c r="I320" i="16" s="1"/>
  <c r="C320" i="16"/>
  <c r="H320" i="16" s="1"/>
  <c r="B320" i="16"/>
  <c r="G320" i="16" s="1"/>
  <c r="G321" i="16"/>
  <c r="D316" i="16"/>
  <c r="C316" i="16"/>
  <c r="B316" i="16"/>
  <c r="G316" i="16" s="1"/>
  <c r="G324" i="16"/>
  <c r="Q14" i="28"/>
  <c r="L12" i="28"/>
  <c r="L11" i="28"/>
  <c r="L14" i="28"/>
  <c r="L13" i="28"/>
  <c r="L10" i="28"/>
  <c r="E977" i="16" l="1"/>
  <c r="E963" i="16"/>
  <c r="E926" i="16"/>
  <c r="E853" i="16"/>
  <c r="E901" i="16"/>
  <c r="E681" i="16"/>
  <c r="E708" i="16"/>
  <c r="D318" i="16"/>
  <c r="I316" i="16"/>
  <c r="B346" i="16"/>
  <c r="G346" i="16" s="1"/>
  <c r="G345" i="16"/>
  <c r="C332" i="16"/>
  <c r="H330" i="16"/>
  <c r="D332" i="16"/>
  <c r="I330" i="16"/>
  <c r="D347" i="16"/>
  <c r="I345" i="16"/>
  <c r="B331" i="16"/>
  <c r="G330" i="16"/>
  <c r="C347" i="16"/>
  <c r="H345" i="16"/>
  <c r="E491" i="16"/>
  <c r="C318" i="16"/>
  <c r="H316" i="16"/>
  <c r="L22" i="28"/>
  <c r="Q19" i="28"/>
  <c r="Q22" i="28" s="1"/>
  <c r="D346" i="16"/>
  <c r="I346" i="16" s="1"/>
  <c r="C346" i="16"/>
  <c r="H346" i="16" s="1"/>
  <c r="B347" i="16"/>
  <c r="C331" i="16"/>
  <c r="D331" i="16"/>
  <c r="B332" i="16"/>
  <c r="D317" i="16"/>
  <c r="I317" i="16" s="1"/>
  <c r="C317" i="16"/>
  <c r="H317" i="16" s="1"/>
  <c r="B318" i="16"/>
  <c r="B317" i="16"/>
  <c r="E142" i="16"/>
  <c r="B139" i="16"/>
  <c r="B154" i="16" s="1"/>
  <c r="B155" i="16"/>
  <c r="B319" i="16" l="1"/>
  <c r="G319" i="16" s="1"/>
  <c r="G317" i="16"/>
  <c r="B333" i="16"/>
  <c r="G333" i="16" s="1"/>
  <c r="G331" i="16"/>
  <c r="D333" i="16"/>
  <c r="I333" i="16" s="1"/>
  <c r="I331" i="16"/>
  <c r="C333" i="16"/>
  <c r="H331" i="16"/>
  <c r="C319" i="16"/>
  <c r="H319" i="16" s="1"/>
  <c r="D319" i="16"/>
  <c r="I319" i="16" s="1"/>
  <c r="E12" i="28"/>
  <c r="C22" i="28"/>
  <c r="E11" i="28"/>
  <c r="E13" i="28"/>
  <c r="E14" i="28"/>
  <c r="E15" i="28"/>
  <c r="E16" i="28"/>
  <c r="E17" i="28"/>
  <c r="E18" i="28"/>
  <c r="E19" i="28"/>
  <c r="E20" i="28"/>
  <c r="E21" i="28"/>
  <c r="E10" i="28"/>
  <c r="L142" i="16"/>
  <c r="H333" i="16" l="1"/>
  <c r="E22" i="28"/>
  <c r="B308" i="16"/>
  <c r="H310" i="16"/>
  <c r="B304" i="16" s="1"/>
  <c r="E304" i="16" s="1"/>
  <c r="E310" i="16"/>
  <c r="B307" i="16"/>
  <c r="B306" i="16" l="1"/>
  <c r="B305" i="16"/>
  <c r="E305" i="16" s="1"/>
  <c r="E93" i="21"/>
  <c r="B295" i="16" l="1"/>
  <c r="E295" i="16" s="1"/>
  <c r="B294" i="16"/>
  <c r="B292" i="16"/>
  <c r="E292" i="16" s="1"/>
  <c r="E298" i="16"/>
  <c r="E399" i="16" l="1"/>
  <c r="E400" i="16"/>
  <c r="E307" i="16"/>
  <c r="E366" i="16"/>
  <c r="E378" i="16"/>
  <c r="B293" i="16"/>
  <c r="E293" i="16" s="1"/>
  <c r="E294" i="16"/>
  <c r="B282" i="16"/>
  <c r="E282" i="16" s="1"/>
  <c r="B279" i="16"/>
  <c r="E279" i="16" s="1"/>
  <c r="E286" i="16"/>
  <c r="B52" i="16"/>
  <c r="E52" i="16" s="1"/>
  <c r="E57" i="16"/>
  <c r="B281" i="16" l="1"/>
  <c r="B280" i="16"/>
  <c r="E280" i="16" s="1"/>
  <c r="B268" i="16" l="1"/>
  <c r="E268" i="16" s="1"/>
  <c r="K269" i="16"/>
  <c r="J270" i="16"/>
  <c r="E273" i="16" l="1"/>
  <c r="B271" i="16"/>
  <c r="E271" i="16" s="1"/>
  <c r="B260" i="16"/>
  <c r="K247" i="16"/>
  <c r="K258" i="16"/>
  <c r="E263" i="16"/>
  <c r="J259" i="16"/>
  <c r="J53" i="19"/>
  <c r="L53" i="19" s="1"/>
  <c r="C53" i="19"/>
  <c r="B257" i="16" l="1"/>
  <c r="B261" i="16"/>
  <c r="E261" i="16" s="1"/>
  <c r="K237" i="16"/>
  <c r="L226" i="16"/>
  <c r="E251" i="16"/>
  <c r="J248" i="16"/>
  <c r="B249" i="16" s="1"/>
  <c r="E249" i="16" s="1"/>
  <c r="E240" i="16"/>
  <c r="J238" i="16"/>
  <c r="B238" i="16" s="1"/>
  <c r="E238" i="16" s="1"/>
  <c r="E229" i="16"/>
  <c r="B227" i="16"/>
  <c r="E227" i="16" s="1"/>
  <c r="B259" i="16" l="1"/>
  <c r="E257" i="16"/>
  <c r="B258" i="16"/>
  <c r="E258" i="16" s="1"/>
  <c r="B269" i="16"/>
  <c r="E269" i="16" s="1"/>
  <c r="B270" i="16"/>
  <c r="B246" i="16"/>
  <c r="B235" i="16"/>
  <c r="B224" i="16"/>
  <c r="E217" i="16"/>
  <c r="B213" i="16"/>
  <c r="E213" i="16" s="1"/>
  <c r="B215" i="16"/>
  <c r="E215" i="16" s="1"/>
  <c r="B226" i="16" l="1"/>
  <c r="E224" i="16"/>
  <c r="B237" i="16"/>
  <c r="E235" i="16"/>
  <c r="B248" i="16"/>
  <c r="E246" i="16"/>
  <c r="B247" i="16"/>
  <c r="E247" i="16" s="1"/>
  <c r="B236" i="16"/>
  <c r="E236" i="16" s="1"/>
  <c r="B225" i="16"/>
  <c r="E225" i="16" s="1"/>
  <c r="B211" i="16"/>
  <c r="E211" i="16" s="1"/>
  <c r="L195" i="16"/>
  <c r="L193" i="16"/>
  <c r="L201" i="16"/>
  <c r="L198" i="16"/>
  <c r="L197" i="16"/>
  <c r="E199" i="16"/>
  <c r="L202" i="16"/>
  <c r="B195" i="16"/>
  <c r="E195" i="16" s="1"/>
  <c r="L192" i="16"/>
  <c r="L207" i="16"/>
  <c r="B197" i="16" s="1"/>
  <c r="L206" i="16"/>
  <c r="M205" i="16"/>
  <c r="M204" i="16"/>
  <c r="E201" i="16"/>
  <c r="M203" i="16"/>
  <c r="E198" i="16"/>
  <c r="L200" i="16"/>
  <c r="L199" i="16"/>
  <c r="E196" i="16"/>
  <c r="L196" i="16"/>
  <c r="L194" i="16"/>
  <c r="L191" i="16"/>
  <c r="B194" i="16" l="1"/>
  <c r="E194" i="16" s="1"/>
  <c r="B191" i="16"/>
  <c r="E191" i="16" s="1"/>
  <c r="B192" i="16"/>
  <c r="B190" i="16"/>
  <c r="E190" i="16" s="1"/>
  <c r="B214" i="16"/>
  <c r="B212" i="16"/>
  <c r="E212" i="16" s="1"/>
  <c r="E331" i="8"/>
  <c r="E325" i="8"/>
  <c r="C7" i="19"/>
  <c r="D7" i="19"/>
  <c r="E7" i="19"/>
  <c r="G7" i="19" s="1"/>
  <c r="C13" i="19"/>
  <c r="K13" i="19" s="1"/>
  <c r="D13" i="19"/>
  <c r="E13" i="19"/>
  <c r="G13" i="19" s="1"/>
  <c r="C21" i="19"/>
  <c r="D21" i="19"/>
  <c r="E21" i="19"/>
  <c r="G21" i="19" s="1"/>
  <c r="C26" i="19"/>
  <c r="D26" i="19"/>
  <c r="E26" i="19"/>
  <c r="G26" i="19" s="1"/>
  <c r="C29" i="19"/>
  <c r="D29" i="19"/>
  <c r="E29" i="19"/>
  <c r="G29" i="19" s="1"/>
  <c r="C32" i="19"/>
  <c r="D32" i="19"/>
  <c r="E32" i="19"/>
  <c r="G32" i="19" s="1"/>
  <c r="C35" i="19"/>
  <c r="D35" i="19"/>
  <c r="E35" i="19"/>
  <c r="G35" i="19" s="1"/>
  <c r="C38" i="19"/>
  <c r="D38" i="19"/>
  <c r="E38" i="19"/>
  <c r="G38" i="19" s="1"/>
  <c r="C41" i="19"/>
  <c r="D41" i="19"/>
  <c r="E41" i="19"/>
  <c r="G41" i="19" s="1"/>
  <c r="C46" i="19"/>
  <c r="D46" i="19"/>
  <c r="E46" i="19"/>
  <c r="C48" i="19"/>
  <c r="D48" i="19"/>
  <c r="E48" i="19"/>
  <c r="C50" i="19"/>
  <c r="D50" i="19"/>
  <c r="E50" i="19"/>
  <c r="E4" i="19"/>
  <c r="G4" i="19" s="1"/>
  <c r="D4" i="19"/>
  <c r="C4" i="19"/>
  <c r="K4" i="19" s="1"/>
  <c r="L915" i="16" l="1"/>
  <c r="L769" i="16"/>
  <c r="K32" i="19"/>
  <c r="K21" i="19"/>
  <c r="K35" i="19"/>
  <c r="K26" i="19"/>
  <c r="K38" i="19"/>
  <c r="K41" i="19"/>
  <c r="K29" i="19"/>
  <c r="K7" i="19"/>
  <c r="B193" i="16"/>
  <c r="E193" i="16" s="1"/>
  <c r="E192" i="16"/>
  <c r="J46" i="19"/>
  <c r="L46" i="19" s="1"/>
  <c r="J48" i="19"/>
  <c r="L48" i="19" s="1"/>
  <c r="J50" i="19"/>
  <c r="L50" i="19" s="1"/>
  <c r="F176" i="16"/>
  <c r="G185" i="16"/>
  <c r="E184" i="16"/>
  <c r="B182" i="16"/>
  <c r="B180" i="16"/>
  <c r="G173" i="16"/>
  <c r="K167" i="16"/>
  <c r="E171" i="16"/>
  <c r="J168" i="16"/>
  <c r="B169" i="16" s="1"/>
  <c r="E169" i="16" s="1"/>
  <c r="I41" i="19"/>
  <c r="H41" i="19"/>
  <c r="J41" i="19" s="1"/>
  <c r="I38" i="19"/>
  <c r="H38" i="19"/>
  <c r="L475" i="16" l="1"/>
  <c r="J38" i="19"/>
  <c r="J180" i="16" s="1"/>
  <c r="H185" i="16"/>
  <c r="K180" i="16"/>
  <c r="B166" i="16"/>
  <c r="E166" i="16" s="1"/>
  <c r="L148" i="16"/>
  <c r="B141" i="16" s="1"/>
  <c r="B156" i="16" s="1"/>
  <c r="L147" i="16"/>
  <c r="M145" i="16"/>
  <c r="E197" i="16" s="1"/>
  <c r="E144" i="16"/>
  <c r="E140" i="16"/>
  <c r="E139" i="16"/>
  <c r="M144" i="16"/>
  <c r="L137" i="16"/>
  <c r="L138" i="16"/>
  <c r="L139" i="16"/>
  <c r="L140" i="16"/>
  <c r="L141" i="16"/>
  <c r="L143" i="16"/>
  <c r="L144" i="16"/>
  <c r="L136" i="16"/>
  <c r="M143" i="16"/>
  <c r="K126" i="16"/>
  <c r="J127" i="16"/>
  <c r="B127" i="16" s="1"/>
  <c r="E127" i="16" s="1"/>
  <c r="I35" i="19"/>
  <c r="H35" i="19"/>
  <c r="J35" i="19" s="1"/>
  <c r="E129" i="16"/>
  <c r="B138" i="16" l="1"/>
  <c r="E138" i="16" s="1"/>
  <c r="B178" i="16"/>
  <c r="E178" i="16" s="1"/>
  <c r="B136" i="16"/>
  <c r="B153" i="16"/>
  <c r="B135" i="16"/>
  <c r="B179" i="16"/>
  <c r="E179" i="16" s="1"/>
  <c r="E141" i="16"/>
  <c r="B167" i="16"/>
  <c r="E167" i="16" s="1"/>
  <c r="B168" i="16"/>
  <c r="B124" i="16"/>
  <c r="H110" i="24"/>
  <c r="E103" i="16"/>
  <c r="E53" i="21"/>
  <c r="E54" i="21"/>
  <c r="E55" i="21"/>
  <c r="E56" i="21"/>
  <c r="E57" i="21"/>
  <c r="E52" i="21"/>
  <c r="E51" i="21"/>
  <c r="B181" i="16" l="1"/>
  <c r="E181" i="16" s="1"/>
  <c r="B101" i="16"/>
  <c r="E101" i="16" s="1"/>
  <c r="B126" i="16"/>
  <c r="E124" i="16"/>
  <c r="B150" i="16"/>
  <c r="E135" i="16"/>
  <c r="B151" i="16"/>
  <c r="E136" i="16"/>
  <c r="B137" i="16"/>
  <c r="F52" i="21"/>
  <c r="B98" i="16" s="1"/>
  <c r="E98" i="16" s="1"/>
  <c r="B100" i="16"/>
  <c r="E100" i="16" s="1"/>
  <c r="F57" i="21"/>
  <c r="E58" i="21"/>
  <c r="B102" i="16" s="1"/>
  <c r="E102" i="16" s="1"/>
  <c r="B99" i="16"/>
  <c r="E99" i="16" s="1"/>
  <c r="B125" i="16"/>
  <c r="E125" i="16" s="1"/>
  <c r="E76" i="16"/>
  <c r="E80" i="16"/>
  <c r="B152" i="16" l="1"/>
  <c r="E137" i="16"/>
  <c r="E324" i="8"/>
  <c r="E326" i="8"/>
  <c r="E327" i="8"/>
  <c r="E328" i="8"/>
  <c r="E329" i="8"/>
  <c r="E330" i="8"/>
  <c r="E332" i="8"/>
  <c r="E333" i="8"/>
  <c r="E334" i="8"/>
  <c r="E335" i="8"/>
  <c r="E336" i="8"/>
  <c r="E337" i="8"/>
  <c r="E338" i="8"/>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369" i="6"/>
  <c r="A370" i="6"/>
  <c r="A371" i="6"/>
  <c r="A372" i="6"/>
  <c r="A373" i="6"/>
  <c r="A374" i="6"/>
  <c r="A375" i="6"/>
  <c r="A376" i="6"/>
  <c r="A377" i="6"/>
  <c r="A378" i="6"/>
  <c r="A379" i="6"/>
  <c r="A380" i="6"/>
  <c r="A381" i="6"/>
  <c r="A382" i="6"/>
  <c r="A383" i="6"/>
  <c r="A384" i="6"/>
  <c r="A385" i="6"/>
  <c r="A386" i="6"/>
  <c r="A387" i="6"/>
  <c r="A247" i="6"/>
  <c r="B385" i="6"/>
  <c r="E385" i="6"/>
  <c r="F385" i="6"/>
  <c r="H385" i="6"/>
  <c r="I385" i="6"/>
  <c r="B386" i="6"/>
  <c r="E386" i="6"/>
  <c r="F386" i="6"/>
  <c r="H386" i="6"/>
  <c r="I386" i="6"/>
  <c r="B387" i="6"/>
  <c r="E387" i="6"/>
  <c r="F387" i="6"/>
  <c r="H387" i="6"/>
  <c r="I387" i="6"/>
  <c r="H216" i="13"/>
  <c r="C141" i="13"/>
  <c r="D141" i="13"/>
  <c r="C386" i="6" s="1"/>
  <c r="C142" i="13"/>
  <c r="D142" i="13"/>
  <c r="C387" i="6" s="1"/>
  <c r="L142" i="13"/>
  <c r="G387" i="6" s="1"/>
  <c r="L141" i="13"/>
  <c r="G386" i="6" s="1"/>
  <c r="L140" i="13"/>
  <c r="G385" i="6" s="1"/>
  <c r="C140" i="13"/>
  <c r="D140" i="13"/>
  <c r="C385" i="6" s="1"/>
  <c r="J130" i="24" l="1"/>
  <c r="J109" i="24"/>
  <c r="J96" i="24"/>
  <c r="J86" i="24"/>
  <c r="J75" i="24"/>
  <c r="B64" i="16"/>
  <c r="E64" i="16" s="1"/>
  <c r="E105" i="16" l="1"/>
  <c r="H43" i="21"/>
  <c r="I43" i="21" s="1"/>
  <c r="H44" i="21"/>
  <c r="I44" i="21" s="1"/>
  <c r="J44" i="21" s="1"/>
  <c r="H42" i="21"/>
  <c r="I42" i="21" s="1"/>
  <c r="H41" i="21"/>
  <c r="I41" i="21" s="1"/>
  <c r="H38" i="21"/>
  <c r="L38" i="21" s="1"/>
  <c r="H37" i="21"/>
  <c r="I37" i="21" s="1"/>
  <c r="K37" i="21"/>
  <c r="H36" i="21"/>
  <c r="J36" i="21" s="1"/>
  <c r="H35" i="21"/>
  <c r="J35" i="21" s="1"/>
  <c r="H34" i="21"/>
  <c r="L34" i="21" s="1"/>
  <c r="H33" i="21"/>
  <c r="J33" i="21" s="1"/>
  <c r="K36" i="21"/>
  <c r="H32" i="21"/>
  <c r="J32" i="21" s="1"/>
  <c r="H31" i="21"/>
  <c r="J31" i="21" s="1"/>
  <c r="H30" i="21"/>
  <c r="J30" i="21" s="1"/>
  <c r="H29" i="21"/>
  <c r="J29" i="21" s="1"/>
  <c r="L30" i="21" l="1"/>
  <c r="K38" i="21"/>
  <c r="J38" i="21"/>
  <c r="K32" i="21"/>
  <c r="I38" i="21"/>
  <c r="I33" i="21"/>
  <c r="L33" i="21"/>
  <c r="K29" i="21"/>
  <c r="L29" i="21"/>
  <c r="I30" i="21"/>
  <c r="K30" i="21"/>
  <c r="K33" i="21"/>
  <c r="L37" i="21"/>
  <c r="J43" i="21"/>
  <c r="L31" i="21"/>
  <c r="L32" i="21"/>
  <c r="L36" i="21"/>
  <c r="I32" i="21"/>
  <c r="I36" i="21"/>
  <c r="K31" i="21"/>
  <c r="I29" i="21"/>
  <c r="I31" i="21"/>
  <c r="J37" i="21"/>
  <c r="L35" i="21"/>
  <c r="K35" i="21"/>
  <c r="I35" i="21"/>
  <c r="I34" i="21"/>
  <c r="J34" i="21"/>
  <c r="K34" i="21"/>
  <c r="J39" i="21" l="1"/>
  <c r="K39" i="21"/>
  <c r="L39" i="21"/>
  <c r="I39" i="21"/>
  <c r="B384" i="6"/>
  <c r="E384" i="6"/>
  <c r="F384" i="6"/>
  <c r="H384" i="6"/>
  <c r="I384" i="6"/>
  <c r="B369" i="6"/>
  <c r="E369" i="6"/>
  <c r="F369" i="6"/>
  <c r="H369" i="6"/>
  <c r="I369" i="6"/>
  <c r="B370" i="6"/>
  <c r="E370" i="6"/>
  <c r="F370" i="6"/>
  <c r="H370" i="6"/>
  <c r="I370" i="6"/>
  <c r="B371" i="6"/>
  <c r="E371" i="6"/>
  <c r="F371" i="6"/>
  <c r="H371" i="6"/>
  <c r="I371" i="6"/>
  <c r="B372" i="6"/>
  <c r="E372" i="6"/>
  <c r="F372" i="6"/>
  <c r="H372" i="6"/>
  <c r="I372" i="6"/>
  <c r="B373" i="6"/>
  <c r="E373" i="6"/>
  <c r="F373" i="6"/>
  <c r="H373" i="6"/>
  <c r="I373" i="6"/>
  <c r="B374" i="6"/>
  <c r="E374" i="6"/>
  <c r="F374" i="6"/>
  <c r="H374" i="6"/>
  <c r="I374" i="6"/>
  <c r="B375" i="6"/>
  <c r="E375" i="6"/>
  <c r="F375" i="6"/>
  <c r="H375" i="6"/>
  <c r="I375" i="6"/>
  <c r="B376" i="6"/>
  <c r="E376" i="6"/>
  <c r="F376" i="6"/>
  <c r="H376" i="6"/>
  <c r="I376" i="6"/>
  <c r="B377" i="6"/>
  <c r="E377" i="6"/>
  <c r="F377" i="6"/>
  <c r="H377" i="6"/>
  <c r="I377" i="6"/>
  <c r="B378" i="6"/>
  <c r="E378" i="6"/>
  <c r="F378" i="6"/>
  <c r="H378" i="6"/>
  <c r="I378" i="6"/>
  <c r="B379" i="6"/>
  <c r="E379" i="6"/>
  <c r="F379" i="6"/>
  <c r="H379" i="6"/>
  <c r="I379" i="6"/>
  <c r="B380" i="6"/>
  <c r="E380" i="6"/>
  <c r="F380" i="6"/>
  <c r="H380" i="6"/>
  <c r="I380" i="6"/>
  <c r="B381" i="6"/>
  <c r="E381" i="6"/>
  <c r="F381" i="6"/>
  <c r="H381" i="6"/>
  <c r="I381" i="6"/>
  <c r="B382" i="6"/>
  <c r="E382" i="6"/>
  <c r="F382" i="6"/>
  <c r="H382" i="6"/>
  <c r="I382" i="6"/>
  <c r="B383" i="6"/>
  <c r="E383" i="6"/>
  <c r="F383" i="6"/>
  <c r="H383" i="6"/>
  <c r="I383" i="6"/>
  <c r="C136" i="13"/>
  <c r="D136" i="13"/>
  <c r="C381" i="6" s="1"/>
  <c r="C137" i="13"/>
  <c r="D137" i="13"/>
  <c r="C382" i="6" s="1"/>
  <c r="C138" i="13"/>
  <c r="D138" i="13"/>
  <c r="C383" i="6" s="1"/>
  <c r="C139" i="13"/>
  <c r="D139" i="13"/>
  <c r="C384" i="6" s="1"/>
  <c r="L139" i="13"/>
  <c r="G384" i="6" s="1"/>
  <c r="L138" i="13"/>
  <c r="G383" i="6" s="1"/>
  <c r="L137" i="13"/>
  <c r="G382" i="6" s="1"/>
  <c r="L136" i="13"/>
  <c r="G381" i="6" s="1"/>
  <c r="C125" i="13"/>
  <c r="D125" i="13"/>
  <c r="C370" i="6" s="1"/>
  <c r="C126" i="13"/>
  <c r="D126" i="13"/>
  <c r="C371" i="6" s="1"/>
  <c r="C127" i="13"/>
  <c r="D127" i="13"/>
  <c r="C372" i="6" s="1"/>
  <c r="C128" i="13"/>
  <c r="D128" i="13"/>
  <c r="C373" i="6" s="1"/>
  <c r="C129" i="13"/>
  <c r="D129" i="13"/>
  <c r="C374" i="6" s="1"/>
  <c r="C130" i="13"/>
  <c r="D130" i="13"/>
  <c r="C375" i="6" s="1"/>
  <c r="C131" i="13"/>
  <c r="D131" i="13"/>
  <c r="C376" i="6" s="1"/>
  <c r="C132" i="13"/>
  <c r="D132" i="13"/>
  <c r="C377" i="6" s="1"/>
  <c r="C133" i="13"/>
  <c r="D133" i="13"/>
  <c r="C378" i="6" s="1"/>
  <c r="C134" i="13"/>
  <c r="D134" i="13"/>
  <c r="C379" i="6" s="1"/>
  <c r="C135" i="13"/>
  <c r="D135" i="13"/>
  <c r="C380" i="6" s="1"/>
  <c r="L135" i="13"/>
  <c r="G380" i="6" s="1"/>
  <c r="L134" i="13"/>
  <c r="G379" i="6" s="1"/>
  <c r="L133" i="13"/>
  <c r="G378" i="6" s="1"/>
  <c r="L132" i="13"/>
  <c r="G377" i="6" s="1"/>
  <c r="L131" i="13"/>
  <c r="G376" i="6" s="1"/>
  <c r="L130" i="13"/>
  <c r="G375" i="6" s="1"/>
  <c r="L129" i="13"/>
  <c r="G374" i="6" s="1"/>
  <c r="L128" i="13"/>
  <c r="G373" i="6" s="1"/>
  <c r="L127" i="13"/>
  <c r="G372" i="6" s="1"/>
  <c r="L126" i="13"/>
  <c r="G371" i="6" s="1"/>
  <c r="L125" i="13"/>
  <c r="G370" i="6" s="1"/>
  <c r="L124" i="13"/>
  <c r="G369" i="6" s="1"/>
  <c r="C124" i="13"/>
  <c r="D124" i="13"/>
  <c r="C369" i="6" s="1"/>
  <c r="B359" i="6" l="1"/>
  <c r="E359" i="6"/>
  <c r="F359" i="6"/>
  <c r="H359" i="6"/>
  <c r="I359" i="6"/>
  <c r="B360" i="6"/>
  <c r="E360" i="6"/>
  <c r="F360" i="6"/>
  <c r="H360" i="6"/>
  <c r="I360" i="6"/>
  <c r="B361" i="6"/>
  <c r="E361" i="6"/>
  <c r="F361" i="6"/>
  <c r="H361" i="6"/>
  <c r="I361" i="6"/>
  <c r="B362" i="6"/>
  <c r="E362" i="6"/>
  <c r="F362" i="6"/>
  <c r="H362" i="6"/>
  <c r="I362" i="6"/>
  <c r="B363" i="6"/>
  <c r="E363" i="6"/>
  <c r="F363" i="6"/>
  <c r="H363" i="6"/>
  <c r="I363" i="6"/>
  <c r="B364" i="6"/>
  <c r="E364" i="6"/>
  <c r="F364" i="6"/>
  <c r="H364" i="6"/>
  <c r="I364" i="6"/>
  <c r="B365" i="6"/>
  <c r="E365" i="6"/>
  <c r="F365" i="6"/>
  <c r="H365" i="6"/>
  <c r="I365" i="6"/>
  <c r="B366" i="6"/>
  <c r="E366" i="6"/>
  <c r="F366" i="6"/>
  <c r="H366" i="6"/>
  <c r="I366" i="6"/>
  <c r="B367" i="6"/>
  <c r="E367" i="6"/>
  <c r="F367" i="6"/>
  <c r="H367" i="6"/>
  <c r="I367" i="6"/>
  <c r="B368" i="6"/>
  <c r="E368" i="6"/>
  <c r="F368" i="6"/>
  <c r="H368" i="6"/>
  <c r="I368" i="6"/>
  <c r="L123" i="13"/>
  <c r="G368" i="6" s="1"/>
  <c r="L122" i="13"/>
  <c r="G367" i="6" s="1"/>
  <c r="L121" i="13"/>
  <c r="G366" i="6" s="1"/>
  <c r="L120" i="13"/>
  <c r="G365" i="6" s="1"/>
  <c r="L119" i="13"/>
  <c r="G364" i="6" s="1"/>
  <c r="L118" i="13"/>
  <c r="G363" i="6" s="1"/>
  <c r="L117" i="13"/>
  <c r="G362" i="6" s="1"/>
  <c r="L116" i="13"/>
  <c r="G361" i="6" s="1"/>
  <c r="L115" i="13"/>
  <c r="G360" i="6" s="1"/>
  <c r="L114" i="13"/>
  <c r="G359" i="6" s="1"/>
  <c r="C121" i="13"/>
  <c r="D121" i="13"/>
  <c r="C366" i="6" s="1"/>
  <c r="C122" i="13"/>
  <c r="D122" i="13"/>
  <c r="C367" i="6" s="1"/>
  <c r="C123" i="13"/>
  <c r="D123" i="13"/>
  <c r="C368" i="6" s="1"/>
  <c r="C120" i="13"/>
  <c r="D120" i="13"/>
  <c r="C365" i="6" s="1"/>
  <c r="C119" i="13"/>
  <c r="D119" i="13"/>
  <c r="C364" i="6" s="1"/>
  <c r="D114" i="13"/>
  <c r="C359" i="6" s="1"/>
  <c r="C118" i="13"/>
  <c r="C117" i="13"/>
  <c r="C116" i="13"/>
  <c r="C115" i="13"/>
  <c r="C114" i="13"/>
  <c r="D118" i="13"/>
  <c r="C363" i="6" s="1"/>
  <c r="D117" i="13"/>
  <c r="C362" i="6" s="1"/>
  <c r="D116" i="13"/>
  <c r="C361" i="6" s="1"/>
  <c r="D115" i="13"/>
  <c r="C360" i="6" s="1"/>
  <c r="I32" i="19" l="1"/>
  <c r="H32" i="19"/>
  <c r="J32" i="19" s="1"/>
  <c r="I29" i="19"/>
  <c r="H29" i="19"/>
  <c r="J29" i="19" s="1"/>
  <c r="I21" i="24" l="1"/>
  <c r="I19" i="24" s="1"/>
  <c r="I11" i="24"/>
  <c r="I9" i="24" s="1"/>
  <c r="B88" i="16" l="1"/>
  <c r="E88" i="16" s="1"/>
  <c r="E92" i="16"/>
  <c r="I26" i="19"/>
  <c r="H26" i="19"/>
  <c r="J26" i="19" l="1"/>
  <c r="B90" i="16" s="1"/>
  <c r="E90" i="16" s="1"/>
  <c r="B86" i="16" l="1"/>
  <c r="B89" i="16" s="1"/>
  <c r="N12" i="20"/>
  <c r="N160" i="20" s="1"/>
  <c r="B87" i="16" l="1"/>
  <c r="E87" i="16" s="1"/>
  <c r="E86" i="16"/>
  <c r="E425" i="16" l="1"/>
  <c r="E427" i="16" s="1"/>
  <c r="E428" i="16" s="1"/>
  <c r="E402" i="16"/>
  <c r="E404" i="16" s="1"/>
  <c r="E405" i="16" s="1"/>
  <c r="E390" i="16"/>
  <c r="E392" i="16" s="1"/>
  <c r="E393" i="16" s="1"/>
  <c r="E200" i="16"/>
  <c r="E202" i="16" s="1"/>
  <c r="E203" i="16" s="1"/>
  <c r="F22" i="21"/>
  <c r="G22" i="21" s="1"/>
  <c r="F21" i="21"/>
  <c r="G21" i="21" s="1"/>
  <c r="F20" i="21"/>
  <c r="G20" i="21" s="1"/>
  <c r="F19" i="21"/>
  <c r="G19" i="21" s="1"/>
  <c r="F16" i="21"/>
  <c r="G16" i="21" s="1"/>
  <c r="F15" i="21"/>
  <c r="G15" i="21" s="1"/>
  <c r="F14" i="21"/>
  <c r="H14" i="21" s="1"/>
  <c r="F13" i="21"/>
  <c r="H13" i="21" s="1"/>
  <c r="F12" i="21"/>
  <c r="H12" i="21" s="1"/>
  <c r="F11" i="21"/>
  <c r="H11" i="21" s="1"/>
  <c r="F10" i="21"/>
  <c r="H10" i="21" s="1"/>
  <c r="F9" i="21"/>
  <c r="H9" i="21" s="1"/>
  <c r="F8" i="21"/>
  <c r="G8" i="21" s="1"/>
  <c r="F7" i="21"/>
  <c r="G7" i="21" s="1"/>
  <c r="F6" i="21"/>
  <c r="H6" i="21" s="1"/>
  <c r="F5" i="21"/>
  <c r="H5" i="21" s="1"/>
  <c r="F4" i="21"/>
  <c r="G4" i="21" s="1"/>
  <c r="F3" i="21"/>
  <c r="H3" i="21" s="1"/>
  <c r="E104" i="16" l="1"/>
  <c r="E106" i="16" s="1"/>
  <c r="I318" i="16"/>
  <c r="I323" i="16" s="1"/>
  <c r="I325" i="16" s="1"/>
  <c r="I326" i="16" s="1"/>
  <c r="H318" i="16"/>
  <c r="H323" i="16" s="1"/>
  <c r="H325" i="16" s="1"/>
  <c r="H326" i="16" s="1"/>
  <c r="E281" i="16"/>
  <c r="E285" i="16" s="1"/>
  <c r="E287" i="16" s="1"/>
  <c r="E288" i="16" s="1"/>
  <c r="G318" i="16"/>
  <c r="G323" i="16" s="1"/>
  <c r="G325" i="16" s="1"/>
  <c r="G326" i="16" s="1"/>
  <c r="E214" i="16"/>
  <c r="E216" i="16" s="1"/>
  <c r="E218" i="16" s="1"/>
  <c r="E219" i="16" s="1"/>
  <c r="H8" i="21"/>
  <c r="G3" i="21"/>
  <c r="G14" i="21"/>
  <c r="G6" i="21"/>
  <c r="H7" i="21"/>
  <c r="G23" i="21"/>
  <c r="H15" i="21"/>
  <c r="H16" i="21"/>
  <c r="H4" i="21"/>
  <c r="G9" i="21"/>
  <c r="G5" i="21"/>
  <c r="J326" i="16" l="1"/>
  <c r="F216" i="16"/>
  <c r="F104" i="16"/>
  <c r="G17" i="21"/>
  <c r="H17" i="21"/>
  <c r="F106" i="16"/>
  <c r="E107" i="16"/>
  <c r="I21" i="19" l="1"/>
  <c r="I13" i="19"/>
  <c r="I7" i="19"/>
  <c r="L474" i="16" s="1"/>
  <c r="I4" i="19"/>
  <c r="H21" i="19"/>
  <c r="J21" i="19" s="1"/>
  <c r="H13" i="19"/>
  <c r="J13" i="19" s="1"/>
  <c r="H7" i="19"/>
  <c r="J7" i="19" s="1"/>
  <c r="H4" i="19"/>
  <c r="J4" i="19" s="1"/>
  <c r="K474" i="16" l="1"/>
  <c r="K915" i="16"/>
  <c r="B912" i="16" s="1"/>
  <c r="E912" i="16" s="1"/>
  <c r="K475" i="16"/>
  <c r="I918" i="16"/>
  <c r="I919" i="16" s="1"/>
  <c r="B916" i="16" s="1"/>
  <c r="B472" i="16"/>
  <c r="B473" i="16" s="1"/>
  <c r="E473" i="16" s="1"/>
  <c r="B475" i="16"/>
  <c r="K50" i="16"/>
  <c r="K62" i="16"/>
  <c r="K51" i="16"/>
  <c r="K63" i="16"/>
  <c r="B66" i="16" s="1"/>
  <c r="E66" i="16" s="1"/>
  <c r="L51" i="16"/>
  <c r="L63" i="16"/>
  <c r="L62" i="16"/>
  <c r="L50" i="16"/>
  <c r="B55" i="16" s="1"/>
  <c r="E55" i="16" s="1"/>
  <c r="K65" i="16"/>
  <c r="K53" i="16"/>
  <c r="L65" i="16"/>
  <c r="L53" i="16"/>
  <c r="K64" i="16"/>
  <c r="K52" i="16"/>
  <c r="L64" i="16"/>
  <c r="L52" i="16"/>
  <c r="B115" i="16"/>
  <c r="E115" i="16" s="1"/>
  <c r="B114" i="16"/>
  <c r="B113" i="16"/>
  <c r="E113" i="16" s="1"/>
  <c r="B112" i="16"/>
  <c r="E112" i="16" s="1"/>
  <c r="B111" i="16"/>
  <c r="E111" i="16" s="1"/>
  <c r="E118" i="16"/>
  <c r="E116" i="16"/>
  <c r="E68" i="16"/>
  <c r="B6" i="17"/>
  <c r="G13" i="17"/>
  <c r="L13" i="17" s="1"/>
  <c r="H13" i="17"/>
  <c r="M13" i="17" s="1"/>
  <c r="G14" i="17"/>
  <c r="H14" i="17"/>
  <c r="M14" i="17" s="1"/>
  <c r="G15" i="17"/>
  <c r="L15" i="17" s="1"/>
  <c r="H15" i="17"/>
  <c r="M15" i="17" s="1"/>
  <c r="G16" i="17"/>
  <c r="H16" i="17"/>
  <c r="M16" i="17" s="1"/>
  <c r="G17" i="17"/>
  <c r="L17" i="17" s="1"/>
  <c r="H17" i="17"/>
  <c r="M17" i="17" s="1"/>
  <c r="G18" i="17"/>
  <c r="L18" i="17" s="1"/>
  <c r="H18" i="17"/>
  <c r="G19" i="17"/>
  <c r="L19" i="17" s="1"/>
  <c r="H19" i="17"/>
  <c r="G20" i="17"/>
  <c r="H20" i="17"/>
  <c r="M20" i="17" s="1"/>
  <c r="G21" i="17"/>
  <c r="L21" i="17" s="1"/>
  <c r="H21" i="17"/>
  <c r="M21" i="17" s="1"/>
  <c r="G22" i="17"/>
  <c r="H22" i="17"/>
  <c r="M22" i="17" s="1"/>
  <c r="G23" i="17"/>
  <c r="L23" i="17" s="1"/>
  <c r="H23" i="17"/>
  <c r="M23" i="17" s="1"/>
  <c r="G24" i="17"/>
  <c r="L24" i="17" s="1"/>
  <c r="H24" i="17"/>
  <c r="M24" i="17" s="1"/>
  <c r="G25" i="17"/>
  <c r="L25" i="17" s="1"/>
  <c r="H25" i="17"/>
  <c r="M25" i="17" s="1"/>
  <c r="G26" i="17"/>
  <c r="H26" i="17"/>
  <c r="M26" i="17" s="1"/>
  <c r="G27" i="17"/>
  <c r="L27" i="17" s="1"/>
  <c r="H27" i="17"/>
  <c r="M27" i="17" s="1"/>
  <c r="G28" i="17"/>
  <c r="H28" i="17"/>
  <c r="M28" i="17" s="1"/>
  <c r="G29" i="17"/>
  <c r="L29" i="17" s="1"/>
  <c r="H29" i="17"/>
  <c r="M29" i="17" s="1"/>
  <c r="G30" i="17"/>
  <c r="H30" i="17"/>
  <c r="M30" i="17" s="1"/>
  <c r="G31" i="17"/>
  <c r="L31" i="17" s="1"/>
  <c r="H31" i="17"/>
  <c r="M31" i="17" s="1"/>
  <c r="G32" i="17"/>
  <c r="H32" i="17"/>
  <c r="M32" i="17" s="1"/>
  <c r="G33" i="17"/>
  <c r="L33" i="17" s="1"/>
  <c r="H33" i="17"/>
  <c r="M33" i="17" s="1"/>
  <c r="G34" i="17"/>
  <c r="H34" i="17"/>
  <c r="M34" i="17" s="1"/>
  <c r="G35" i="17"/>
  <c r="L35" i="17" s="1"/>
  <c r="H35" i="17"/>
  <c r="M35" i="17" s="1"/>
  <c r="G36" i="17"/>
  <c r="H36" i="17"/>
  <c r="M36" i="17" s="1"/>
  <c r="G12" i="17"/>
  <c r="L12" i="17" s="1"/>
  <c r="H12" i="17"/>
  <c r="M12" i="17" s="1"/>
  <c r="H11" i="17"/>
  <c r="M11" i="17" s="1"/>
  <c r="G11" i="17"/>
  <c r="J11" i="17" s="1"/>
  <c r="I36" i="17"/>
  <c r="E45" i="16"/>
  <c r="B43" i="16"/>
  <c r="E43" i="16" s="1"/>
  <c r="B42" i="16"/>
  <c r="E42" i="16" s="1"/>
  <c r="B40" i="16"/>
  <c r="E40" i="16" s="1"/>
  <c r="B39" i="16"/>
  <c r="E39" i="16" s="1"/>
  <c r="B38" i="16"/>
  <c r="E38" i="16" s="1"/>
  <c r="I44" i="17"/>
  <c r="J45" i="17" s="1"/>
  <c r="I35" i="17"/>
  <c r="I34" i="17"/>
  <c r="I33" i="17"/>
  <c r="I32" i="17"/>
  <c r="I31" i="17"/>
  <c r="I30" i="17"/>
  <c r="I29" i="17"/>
  <c r="I28" i="17"/>
  <c r="I27" i="17"/>
  <c r="I26" i="17"/>
  <c r="I12" i="17"/>
  <c r="I13" i="17"/>
  <c r="I14" i="17"/>
  <c r="I15" i="17"/>
  <c r="I16" i="17"/>
  <c r="I17" i="17"/>
  <c r="I18" i="17"/>
  <c r="I19" i="17"/>
  <c r="I20" i="17"/>
  <c r="I21" i="17"/>
  <c r="I22" i="17"/>
  <c r="I23" i="17"/>
  <c r="I24" i="17"/>
  <c r="I25" i="17"/>
  <c r="I11" i="17"/>
  <c r="B4" i="17"/>
  <c r="B3" i="17"/>
  <c r="E33" i="16"/>
  <c r="E23" i="16"/>
  <c r="E12" i="16"/>
  <c r="B21" i="16"/>
  <c r="B7" i="16"/>
  <c r="B20" i="16"/>
  <c r="E20" i="16" s="1"/>
  <c r="B19" i="16"/>
  <c r="E19" i="16" s="1"/>
  <c r="B18" i="16"/>
  <c r="E18" i="16" s="1"/>
  <c r="E9" i="16"/>
  <c r="B4" i="16"/>
  <c r="E4" i="16" s="1"/>
  <c r="B5" i="16"/>
  <c r="E5" i="16" s="1"/>
  <c r="B6" i="16"/>
  <c r="E6" i="16" s="1"/>
  <c r="E8" i="16"/>
  <c r="E311" i="8"/>
  <c r="E312" i="8"/>
  <c r="E313" i="8"/>
  <c r="E314" i="8"/>
  <c r="E315" i="8"/>
  <c r="E316" i="8"/>
  <c r="E317" i="8"/>
  <c r="E318" i="8"/>
  <c r="E319" i="8"/>
  <c r="E320" i="8"/>
  <c r="E321" i="8"/>
  <c r="E322" i="8"/>
  <c r="E323" i="8"/>
  <c r="C98" i="13"/>
  <c r="C99" i="13"/>
  <c r="C100" i="13"/>
  <c r="C101" i="13"/>
  <c r="C102" i="13"/>
  <c r="C103" i="13"/>
  <c r="C104" i="13"/>
  <c r="C105" i="13"/>
  <c r="C106" i="13"/>
  <c r="C107" i="13"/>
  <c r="C108" i="13"/>
  <c r="C109" i="13"/>
  <c r="C110" i="13"/>
  <c r="C111" i="13"/>
  <c r="C112" i="13"/>
  <c r="C113" i="13"/>
  <c r="C97" i="13"/>
  <c r="C96"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2" i="13"/>
  <c r="B353" i="6"/>
  <c r="E353" i="6"/>
  <c r="F353" i="6"/>
  <c r="H353" i="6"/>
  <c r="I353" i="6"/>
  <c r="B354" i="6"/>
  <c r="E354" i="6"/>
  <c r="F354" i="6"/>
  <c r="H354" i="6"/>
  <c r="I354" i="6"/>
  <c r="B355" i="6"/>
  <c r="E355" i="6"/>
  <c r="F355" i="6"/>
  <c r="H355" i="6"/>
  <c r="I355" i="6"/>
  <c r="B356" i="6"/>
  <c r="E356" i="6"/>
  <c r="F356" i="6"/>
  <c r="H356" i="6"/>
  <c r="I356" i="6"/>
  <c r="B357" i="6"/>
  <c r="E357" i="6"/>
  <c r="F357" i="6"/>
  <c r="H357" i="6"/>
  <c r="I357" i="6"/>
  <c r="B358" i="6"/>
  <c r="E358" i="6"/>
  <c r="F358" i="6"/>
  <c r="H358" i="6"/>
  <c r="I358" i="6"/>
  <c r="D112" i="13"/>
  <c r="C357" i="6" s="1"/>
  <c r="D113" i="13"/>
  <c r="C358" i="6" s="1"/>
  <c r="L113" i="13"/>
  <c r="G358" i="6" s="1"/>
  <c r="L112" i="13"/>
  <c r="G357" i="6" s="1"/>
  <c r="L111" i="13"/>
  <c r="G356" i="6" s="1"/>
  <c r="L110" i="13"/>
  <c r="G355" i="6" s="1"/>
  <c r="D110" i="13"/>
  <c r="C355" i="6" s="1"/>
  <c r="D111" i="13"/>
  <c r="C356" i="6" s="1"/>
  <c r="L109" i="13"/>
  <c r="G354" i="6" s="1"/>
  <c r="D109" i="13"/>
  <c r="C354" i="6" s="1"/>
  <c r="L108" i="13"/>
  <c r="G353" i="6" s="1"/>
  <c r="D108" i="13"/>
  <c r="C353" i="6" s="1"/>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261" i="8"/>
  <c r="E262" i="8"/>
  <c r="E263" i="8"/>
  <c r="E264" i="8"/>
  <c r="E265" i="8"/>
  <c r="E266" i="8"/>
  <c r="E267" i="8"/>
  <c r="E268" i="8"/>
  <c r="E269" i="8"/>
  <c r="E270" i="8"/>
  <c r="E271" i="8"/>
  <c r="E272" i="8"/>
  <c r="E273" i="8"/>
  <c r="E274" i="8"/>
  <c r="E275" i="8"/>
  <c r="E276" i="8"/>
  <c r="E240" i="8"/>
  <c r="E241" i="8"/>
  <c r="E242" i="8"/>
  <c r="E243" i="8"/>
  <c r="E244" i="8"/>
  <c r="E245" i="8"/>
  <c r="E246" i="8"/>
  <c r="E247" i="8"/>
  <c r="E248" i="8"/>
  <c r="E249" i="8"/>
  <c r="E250" i="8"/>
  <c r="E251" i="8"/>
  <c r="E252" i="8"/>
  <c r="E253" i="8"/>
  <c r="E254" i="8"/>
  <c r="E255" i="8"/>
  <c r="E256" i="8"/>
  <c r="E257" i="8"/>
  <c r="E258" i="8"/>
  <c r="E259" i="8"/>
  <c r="E260" i="8"/>
  <c r="B348" i="6"/>
  <c r="E348" i="6"/>
  <c r="F348" i="6"/>
  <c r="H348" i="6"/>
  <c r="I348" i="6"/>
  <c r="B349" i="6"/>
  <c r="E349" i="6"/>
  <c r="F349" i="6"/>
  <c r="H349" i="6"/>
  <c r="I349" i="6"/>
  <c r="B350" i="6"/>
  <c r="E350" i="6"/>
  <c r="F350" i="6"/>
  <c r="H350" i="6"/>
  <c r="I350" i="6"/>
  <c r="B351" i="6"/>
  <c r="E351" i="6"/>
  <c r="F351" i="6"/>
  <c r="H351" i="6"/>
  <c r="I351" i="6"/>
  <c r="B352" i="6"/>
  <c r="E352" i="6"/>
  <c r="F352" i="6"/>
  <c r="H352" i="6"/>
  <c r="I352" i="6"/>
  <c r="D104" i="13"/>
  <c r="C349" i="6" s="1"/>
  <c r="D105" i="13"/>
  <c r="C350" i="6" s="1"/>
  <c r="D106" i="13"/>
  <c r="C351" i="6" s="1"/>
  <c r="D107" i="13"/>
  <c r="C352" i="6" s="1"/>
  <c r="L107" i="13"/>
  <c r="G352" i="6" s="1"/>
  <c r="L106" i="13"/>
  <c r="G351" i="6" s="1"/>
  <c r="L105" i="13"/>
  <c r="G350" i="6" s="1"/>
  <c r="L104" i="13"/>
  <c r="G349" i="6" s="1"/>
  <c r="L103" i="13"/>
  <c r="G348" i="6" s="1"/>
  <c r="D103" i="13"/>
  <c r="C348" i="6" s="1"/>
  <c r="B347" i="6"/>
  <c r="E347" i="6"/>
  <c r="F347" i="6"/>
  <c r="H347" i="6"/>
  <c r="I347" i="6"/>
  <c r="L102" i="13"/>
  <c r="G347" i="6" s="1"/>
  <c r="D102" i="13"/>
  <c r="C347" i="6" s="1"/>
  <c r="B342" i="6"/>
  <c r="E342" i="6"/>
  <c r="F342" i="6"/>
  <c r="H342" i="6"/>
  <c r="I342" i="6"/>
  <c r="B343" i="6"/>
  <c r="E343" i="6"/>
  <c r="F343" i="6"/>
  <c r="H343" i="6"/>
  <c r="I343" i="6"/>
  <c r="B344" i="6"/>
  <c r="E344" i="6"/>
  <c r="F344" i="6"/>
  <c r="H344" i="6"/>
  <c r="I344" i="6"/>
  <c r="B345" i="6"/>
  <c r="E345" i="6"/>
  <c r="F345" i="6"/>
  <c r="H345" i="6"/>
  <c r="I345" i="6"/>
  <c r="B346" i="6"/>
  <c r="E346" i="6"/>
  <c r="F346" i="6"/>
  <c r="H346" i="6"/>
  <c r="I346" i="6"/>
  <c r="D98" i="13"/>
  <c r="C343" i="6" s="1"/>
  <c r="D99" i="13"/>
  <c r="C344" i="6" s="1"/>
  <c r="D100" i="13"/>
  <c r="C345" i="6" s="1"/>
  <c r="D101" i="13"/>
  <c r="C346" i="6" s="1"/>
  <c r="L101" i="13"/>
  <c r="G346" i="6" s="1"/>
  <c r="L100" i="13"/>
  <c r="G345" i="6" s="1"/>
  <c r="L99" i="13"/>
  <c r="G344" i="6" s="1"/>
  <c r="L98" i="13"/>
  <c r="G343" i="6" s="1"/>
  <c r="L97" i="13"/>
  <c r="G342" i="6" s="1"/>
  <c r="D97" i="13"/>
  <c r="C342" i="6" s="1"/>
  <c r="E215" i="8"/>
  <c r="E216" i="8"/>
  <c r="E217" i="8"/>
  <c r="E218" i="8"/>
  <c r="E219" i="8"/>
  <c r="E220" i="8"/>
  <c r="E221" i="8"/>
  <c r="E222" i="8"/>
  <c r="E223" i="8"/>
  <c r="E224" i="8"/>
  <c r="E225" i="8"/>
  <c r="E226" i="8"/>
  <c r="E227" i="8"/>
  <c r="E228" i="8"/>
  <c r="E229" i="8"/>
  <c r="E230" i="8"/>
  <c r="E231" i="8"/>
  <c r="E232" i="8"/>
  <c r="E233" i="8"/>
  <c r="E234" i="8"/>
  <c r="E235" i="8"/>
  <c r="E236" i="8"/>
  <c r="E237" i="8"/>
  <c r="E238" i="8"/>
  <c r="E239" i="8"/>
  <c r="B336" i="6"/>
  <c r="E336" i="6"/>
  <c r="F336" i="6"/>
  <c r="H336" i="6"/>
  <c r="I336" i="6"/>
  <c r="B337" i="6"/>
  <c r="E337" i="6"/>
  <c r="F337" i="6"/>
  <c r="H337" i="6"/>
  <c r="I337" i="6"/>
  <c r="B338" i="6"/>
  <c r="E338" i="6"/>
  <c r="F338" i="6"/>
  <c r="H338" i="6"/>
  <c r="I338" i="6"/>
  <c r="B339" i="6"/>
  <c r="E339" i="6"/>
  <c r="F339" i="6"/>
  <c r="H339" i="6"/>
  <c r="I339" i="6"/>
  <c r="B340" i="6"/>
  <c r="E340" i="6"/>
  <c r="F340" i="6"/>
  <c r="H340" i="6"/>
  <c r="I340" i="6"/>
  <c r="B341" i="6"/>
  <c r="E341" i="6"/>
  <c r="F341" i="6"/>
  <c r="H341" i="6"/>
  <c r="I341" i="6"/>
  <c r="L88" i="13"/>
  <c r="G333" i="6" s="1"/>
  <c r="L89" i="13"/>
  <c r="G334" i="6" s="1"/>
  <c r="L90" i="13"/>
  <c r="G335" i="6" s="1"/>
  <c r="L91" i="13"/>
  <c r="G336" i="6" s="1"/>
  <c r="L92" i="13"/>
  <c r="G337" i="6" s="1"/>
  <c r="L93" i="13"/>
  <c r="G338" i="6" s="1"/>
  <c r="L94" i="13"/>
  <c r="G339" i="6" s="1"/>
  <c r="L95" i="13"/>
  <c r="G340" i="6" s="1"/>
  <c r="L96" i="13"/>
  <c r="G341" i="6" s="1"/>
  <c r="D94" i="13"/>
  <c r="C339" i="6" s="1"/>
  <c r="D95" i="13"/>
  <c r="C340" i="6" s="1"/>
  <c r="D96" i="13"/>
  <c r="C341" i="6" s="1"/>
  <c r="D92" i="13"/>
  <c r="C337" i="6" s="1"/>
  <c r="D93" i="13"/>
  <c r="C338" i="6" s="1"/>
  <c r="D91" i="13"/>
  <c r="C336" i="6" s="1"/>
  <c r="B325" i="6"/>
  <c r="E325" i="6"/>
  <c r="F325" i="6"/>
  <c r="H325" i="6"/>
  <c r="I325" i="6"/>
  <c r="B326" i="6"/>
  <c r="E326" i="6"/>
  <c r="F326" i="6"/>
  <c r="H326" i="6"/>
  <c r="I326" i="6"/>
  <c r="B327" i="6"/>
  <c r="E327" i="6"/>
  <c r="F327" i="6"/>
  <c r="H327" i="6"/>
  <c r="I327" i="6"/>
  <c r="B328" i="6"/>
  <c r="E328" i="6"/>
  <c r="F328" i="6"/>
  <c r="H328" i="6"/>
  <c r="I328" i="6"/>
  <c r="B329" i="6"/>
  <c r="E329" i="6"/>
  <c r="F329" i="6"/>
  <c r="H329" i="6"/>
  <c r="I329" i="6"/>
  <c r="B330" i="6"/>
  <c r="E330" i="6"/>
  <c r="F330" i="6"/>
  <c r="H330" i="6"/>
  <c r="I330" i="6"/>
  <c r="B331" i="6"/>
  <c r="E331" i="6"/>
  <c r="F331" i="6"/>
  <c r="H331" i="6"/>
  <c r="I331" i="6"/>
  <c r="B332" i="6"/>
  <c r="E332" i="6"/>
  <c r="F332" i="6"/>
  <c r="H332" i="6"/>
  <c r="I332" i="6"/>
  <c r="B333" i="6"/>
  <c r="E333" i="6"/>
  <c r="F333" i="6"/>
  <c r="H333" i="6"/>
  <c r="I333" i="6"/>
  <c r="B334" i="6"/>
  <c r="E334" i="6"/>
  <c r="F334" i="6"/>
  <c r="H334" i="6"/>
  <c r="I334" i="6"/>
  <c r="B335" i="6"/>
  <c r="E335" i="6"/>
  <c r="F335" i="6"/>
  <c r="H335" i="6"/>
  <c r="I335" i="6"/>
  <c r="L84" i="13"/>
  <c r="G329" i="6" s="1"/>
  <c r="L85" i="13"/>
  <c r="G330" i="6" s="1"/>
  <c r="L86" i="13"/>
  <c r="G331" i="6" s="1"/>
  <c r="L87" i="13"/>
  <c r="G332" i="6" s="1"/>
  <c r="D85" i="13"/>
  <c r="C330" i="6" s="1"/>
  <c r="D86" i="13"/>
  <c r="C331" i="6" s="1"/>
  <c r="D87" i="13"/>
  <c r="C332" i="6" s="1"/>
  <c r="D88" i="13"/>
  <c r="C333" i="6" s="1"/>
  <c r="D89" i="13"/>
  <c r="C334" i="6" s="1"/>
  <c r="D90" i="13"/>
  <c r="C335" i="6" s="1"/>
  <c r="D84" i="13"/>
  <c r="C329" i="6" s="1"/>
  <c r="L83" i="13"/>
  <c r="G328" i="6" s="1"/>
  <c r="L82" i="13"/>
  <c r="G327" i="6" s="1"/>
  <c r="D83" i="13"/>
  <c r="C328" i="6" s="1"/>
  <c r="D82" i="13"/>
  <c r="C327" i="6" s="1"/>
  <c r="L81" i="13"/>
  <c r="G326" i="6" s="1"/>
  <c r="D81" i="13"/>
  <c r="C326" i="6" s="1"/>
  <c r="L80" i="13"/>
  <c r="G325" i="6" s="1"/>
  <c r="D80" i="13"/>
  <c r="C325" i="6" s="1"/>
  <c r="E210" i="8"/>
  <c r="E211" i="8"/>
  <c r="E212" i="8"/>
  <c r="E213" i="8"/>
  <c r="E214" i="8"/>
  <c r="E200" i="8"/>
  <c r="E201" i="8"/>
  <c r="E202" i="8"/>
  <c r="E203" i="8"/>
  <c r="E204" i="8"/>
  <c r="E205" i="8"/>
  <c r="E206" i="8"/>
  <c r="E207" i="8"/>
  <c r="E208" i="8"/>
  <c r="E209"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168" i="8"/>
  <c r="E169" i="8"/>
  <c r="E170" i="8"/>
  <c r="B313" i="6"/>
  <c r="E313" i="6"/>
  <c r="F313" i="6"/>
  <c r="H313" i="6"/>
  <c r="I313" i="6"/>
  <c r="B314" i="6"/>
  <c r="E314" i="6"/>
  <c r="F314" i="6"/>
  <c r="H314" i="6"/>
  <c r="I314" i="6"/>
  <c r="B315" i="6"/>
  <c r="E315" i="6"/>
  <c r="F315" i="6"/>
  <c r="H315" i="6"/>
  <c r="I315" i="6"/>
  <c r="B316" i="6"/>
  <c r="E316" i="6"/>
  <c r="F316" i="6"/>
  <c r="H316" i="6"/>
  <c r="I316" i="6"/>
  <c r="B317" i="6"/>
  <c r="E317" i="6"/>
  <c r="F317" i="6"/>
  <c r="H317" i="6"/>
  <c r="I317" i="6"/>
  <c r="B318" i="6"/>
  <c r="E318" i="6"/>
  <c r="F318" i="6"/>
  <c r="H318" i="6"/>
  <c r="I318" i="6"/>
  <c r="B319" i="6"/>
  <c r="E319" i="6"/>
  <c r="F319" i="6"/>
  <c r="H319" i="6"/>
  <c r="I319" i="6"/>
  <c r="B320" i="6"/>
  <c r="E320" i="6"/>
  <c r="F320" i="6"/>
  <c r="H320" i="6"/>
  <c r="I320" i="6"/>
  <c r="B321" i="6"/>
  <c r="E321" i="6"/>
  <c r="F321" i="6"/>
  <c r="H321" i="6"/>
  <c r="I321" i="6"/>
  <c r="B322" i="6"/>
  <c r="E322" i="6"/>
  <c r="F322" i="6"/>
  <c r="H322" i="6"/>
  <c r="I322" i="6"/>
  <c r="B323" i="6"/>
  <c r="E323" i="6"/>
  <c r="F323" i="6"/>
  <c r="H323" i="6"/>
  <c r="I323" i="6"/>
  <c r="B324" i="6"/>
  <c r="E324" i="6"/>
  <c r="F324" i="6"/>
  <c r="H324" i="6"/>
  <c r="I324" i="6"/>
  <c r="D71" i="13"/>
  <c r="C316" i="6" s="1"/>
  <c r="L71" i="13"/>
  <c r="G316" i="6" s="1"/>
  <c r="D79" i="13"/>
  <c r="C324" i="6" s="1"/>
  <c r="D75" i="13"/>
  <c r="C320" i="6" s="1"/>
  <c r="D76" i="13"/>
  <c r="C321" i="6" s="1"/>
  <c r="D77" i="13"/>
  <c r="C322" i="6" s="1"/>
  <c r="D78" i="13"/>
  <c r="C323" i="6" s="1"/>
  <c r="L79" i="13"/>
  <c r="G324" i="6" s="1"/>
  <c r="L75" i="13"/>
  <c r="G320" i="6" s="1"/>
  <c r="L76" i="13"/>
  <c r="G321" i="6" s="1"/>
  <c r="L77" i="13"/>
  <c r="G322" i="6" s="1"/>
  <c r="L78" i="13"/>
  <c r="G323" i="6" s="1"/>
  <c r="D74" i="13"/>
  <c r="C319" i="6" s="1"/>
  <c r="D73" i="13"/>
  <c r="C318" i="6" s="1"/>
  <c r="L70" i="13"/>
  <c r="G315" i="6" s="1"/>
  <c r="D70" i="13"/>
  <c r="C315" i="6" s="1"/>
  <c r="L74" i="13"/>
  <c r="G319" i="6" s="1"/>
  <c r="L73" i="13"/>
  <c r="G318" i="6" s="1"/>
  <c r="L72" i="13"/>
  <c r="G317" i="6" s="1"/>
  <c r="D72" i="13"/>
  <c r="C317" i="6" s="1"/>
  <c r="E167" i="8"/>
  <c r="B309" i="6"/>
  <c r="E309" i="6"/>
  <c r="F309" i="6"/>
  <c r="H309" i="6"/>
  <c r="I309" i="6"/>
  <c r="B310" i="6"/>
  <c r="E310" i="6"/>
  <c r="F310" i="6"/>
  <c r="H310" i="6"/>
  <c r="I310" i="6"/>
  <c r="B311" i="6"/>
  <c r="E311" i="6"/>
  <c r="F311" i="6"/>
  <c r="H311" i="6"/>
  <c r="I311" i="6"/>
  <c r="B312" i="6"/>
  <c r="E312" i="6"/>
  <c r="F312" i="6"/>
  <c r="H312" i="6"/>
  <c r="I312" i="6"/>
  <c r="E166" i="8"/>
  <c r="E162" i="8"/>
  <c r="E163" i="8"/>
  <c r="E164" i="8"/>
  <c r="E165" i="8"/>
  <c r="E161" i="8"/>
  <c r="L64" i="13"/>
  <c r="G309" i="6" s="1"/>
  <c r="L65" i="13"/>
  <c r="G310" i="6" s="1"/>
  <c r="L66" i="13"/>
  <c r="G311" i="6" s="1"/>
  <c r="L67" i="13"/>
  <c r="G312" i="6" s="1"/>
  <c r="L68" i="13"/>
  <c r="G313" i="6" s="1"/>
  <c r="L69" i="13"/>
  <c r="G314" i="6" s="1"/>
  <c r="D66" i="13"/>
  <c r="C311" i="6" s="1"/>
  <c r="D67" i="13"/>
  <c r="C312" i="6" s="1"/>
  <c r="D68" i="13"/>
  <c r="C313" i="6" s="1"/>
  <c r="D69" i="13"/>
  <c r="C314" i="6" s="1"/>
  <c r="D65" i="13"/>
  <c r="C310" i="6" s="1"/>
  <c r="D64" i="13"/>
  <c r="C309" i="6" s="1"/>
  <c r="B292" i="6"/>
  <c r="E292" i="6"/>
  <c r="F292" i="6"/>
  <c r="H292" i="6"/>
  <c r="I292" i="6"/>
  <c r="B293" i="6"/>
  <c r="E293" i="6"/>
  <c r="F293" i="6"/>
  <c r="H293" i="6"/>
  <c r="I293" i="6"/>
  <c r="B294" i="6"/>
  <c r="E294" i="6"/>
  <c r="F294" i="6"/>
  <c r="H294" i="6"/>
  <c r="I294" i="6"/>
  <c r="B295" i="6"/>
  <c r="E295" i="6"/>
  <c r="F295" i="6"/>
  <c r="H295" i="6"/>
  <c r="I295" i="6"/>
  <c r="B296" i="6"/>
  <c r="E296" i="6"/>
  <c r="F296" i="6"/>
  <c r="H296" i="6"/>
  <c r="I296" i="6"/>
  <c r="B297" i="6"/>
  <c r="E297" i="6"/>
  <c r="F297" i="6"/>
  <c r="H297" i="6"/>
  <c r="I297" i="6"/>
  <c r="B298" i="6"/>
  <c r="E298" i="6"/>
  <c r="F298" i="6"/>
  <c r="H298" i="6"/>
  <c r="I298" i="6"/>
  <c r="B299" i="6"/>
  <c r="E299" i="6"/>
  <c r="F299" i="6"/>
  <c r="H299" i="6"/>
  <c r="I299" i="6"/>
  <c r="B300" i="6"/>
  <c r="E300" i="6"/>
  <c r="F300" i="6"/>
  <c r="H300" i="6"/>
  <c r="I300" i="6"/>
  <c r="B301" i="6"/>
  <c r="E301" i="6"/>
  <c r="F301" i="6"/>
  <c r="H301" i="6"/>
  <c r="I301" i="6"/>
  <c r="B302" i="6"/>
  <c r="E302" i="6"/>
  <c r="F302" i="6"/>
  <c r="H302" i="6"/>
  <c r="I302" i="6"/>
  <c r="B303" i="6"/>
  <c r="E303" i="6"/>
  <c r="F303" i="6"/>
  <c r="H303" i="6"/>
  <c r="I303" i="6"/>
  <c r="B304" i="6"/>
  <c r="E304" i="6"/>
  <c r="F304" i="6"/>
  <c r="H304" i="6"/>
  <c r="I304" i="6"/>
  <c r="B305" i="6"/>
  <c r="E305" i="6"/>
  <c r="F305" i="6"/>
  <c r="H305" i="6"/>
  <c r="I305" i="6"/>
  <c r="B306" i="6"/>
  <c r="E306" i="6"/>
  <c r="F306" i="6"/>
  <c r="H306" i="6"/>
  <c r="I306" i="6"/>
  <c r="B307" i="6"/>
  <c r="E307" i="6"/>
  <c r="F307" i="6"/>
  <c r="H307" i="6"/>
  <c r="I307" i="6"/>
  <c r="B308" i="6"/>
  <c r="E308" i="6"/>
  <c r="F308" i="6"/>
  <c r="H308" i="6"/>
  <c r="I308" i="6"/>
  <c r="L59" i="13"/>
  <c r="G304" i="6" s="1"/>
  <c r="D59" i="13"/>
  <c r="C304" i="6" s="1"/>
  <c r="L60" i="13"/>
  <c r="G305" i="6" s="1"/>
  <c r="L61" i="13"/>
  <c r="G306" i="6" s="1"/>
  <c r="L62" i="13"/>
  <c r="G307" i="6" s="1"/>
  <c r="L63" i="13"/>
  <c r="G308" i="6" s="1"/>
  <c r="D61" i="13"/>
  <c r="C306" i="6" s="1"/>
  <c r="D62" i="13"/>
  <c r="C307" i="6" s="1"/>
  <c r="D63" i="13"/>
  <c r="C308" i="6" s="1"/>
  <c r="D60" i="13"/>
  <c r="C305" i="6" s="1"/>
  <c r="E160" i="8"/>
  <c r="E159" i="8"/>
  <c r="E158" i="8"/>
  <c r="E154" i="8"/>
  <c r="E155" i="8"/>
  <c r="E156" i="8"/>
  <c r="E157" i="8"/>
  <c r="E153" i="8"/>
  <c r="I25" i="15"/>
  <c r="N9" i="15"/>
  <c r="L38" i="15"/>
  <c r="L39" i="15" s="1"/>
  <c r="D57" i="15"/>
  <c r="I2" i="15" s="1"/>
  <c r="I19" i="15"/>
  <c r="F4" i="15"/>
  <c r="I5" i="15" s="1"/>
  <c r="Q16" i="15"/>
  <c r="E152" i="8"/>
  <c r="D52" i="13"/>
  <c r="C297" i="6" s="1"/>
  <c r="D53" i="13"/>
  <c r="C298" i="6" s="1"/>
  <c r="D54" i="13"/>
  <c r="C299" i="6" s="1"/>
  <c r="D55" i="13"/>
  <c r="C300" i="6" s="1"/>
  <c r="D56" i="13"/>
  <c r="C301" i="6" s="1"/>
  <c r="D57" i="13"/>
  <c r="C302" i="6" s="1"/>
  <c r="D58" i="13"/>
  <c r="C303" i="6" s="1"/>
  <c r="L58" i="13"/>
  <c r="G303" i="6" s="1"/>
  <c r="L57" i="13"/>
  <c r="G302" i="6" s="1"/>
  <c r="L56" i="13"/>
  <c r="G301" i="6" s="1"/>
  <c r="L55" i="13"/>
  <c r="G300" i="6" s="1"/>
  <c r="L54" i="13"/>
  <c r="G299" i="6" s="1"/>
  <c r="L53" i="13"/>
  <c r="G298" i="6" s="1"/>
  <c r="L52" i="13"/>
  <c r="G297" i="6" s="1"/>
  <c r="L51" i="13"/>
  <c r="G296" i="6" s="1"/>
  <c r="D51" i="13"/>
  <c r="C296" i="6" s="1"/>
  <c r="E145" i="8"/>
  <c r="E146" i="8"/>
  <c r="E147" i="8"/>
  <c r="E148" i="8"/>
  <c r="E149" i="8"/>
  <c r="E150" i="8"/>
  <c r="E151" i="8"/>
  <c r="E137" i="8"/>
  <c r="E138" i="8"/>
  <c r="E139" i="8"/>
  <c r="E140" i="8"/>
  <c r="E141" i="8"/>
  <c r="E142" i="8"/>
  <c r="E143" i="8"/>
  <c r="E144" i="8"/>
  <c r="I136" i="8"/>
  <c r="L50" i="13"/>
  <c r="G295" i="6" s="1"/>
  <c r="D50" i="13"/>
  <c r="C295" i="6" s="1"/>
  <c r="L49" i="13"/>
  <c r="G294" i="6" s="1"/>
  <c r="D49" i="13"/>
  <c r="C294" i="6" s="1"/>
  <c r="B288" i="6"/>
  <c r="E288" i="6"/>
  <c r="F288" i="6"/>
  <c r="H288" i="6"/>
  <c r="I288" i="6"/>
  <c r="B289" i="6"/>
  <c r="E289" i="6"/>
  <c r="F289" i="6"/>
  <c r="H289" i="6"/>
  <c r="I289" i="6"/>
  <c r="B290" i="6"/>
  <c r="E290" i="6"/>
  <c r="F290" i="6"/>
  <c r="H290" i="6"/>
  <c r="I290" i="6"/>
  <c r="B291" i="6"/>
  <c r="E291" i="6"/>
  <c r="F291" i="6"/>
  <c r="H291" i="6"/>
  <c r="I291" i="6"/>
  <c r="D45" i="13"/>
  <c r="C290" i="6" s="1"/>
  <c r="D46" i="13"/>
  <c r="C291" i="6" s="1"/>
  <c r="D47" i="13"/>
  <c r="C292" i="6" s="1"/>
  <c r="D48" i="13"/>
  <c r="C293" i="6" s="1"/>
  <c r="L48" i="13"/>
  <c r="G293" i="6" s="1"/>
  <c r="L47" i="13"/>
  <c r="G292" i="6" s="1"/>
  <c r="L46" i="13"/>
  <c r="G291" i="6" s="1"/>
  <c r="L45" i="13"/>
  <c r="G290" i="6" s="1"/>
  <c r="D44" i="13"/>
  <c r="C289" i="6" s="1"/>
  <c r="L44" i="13"/>
  <c r="G289" i="6" s="1"/>
  <c r="L43" i="13"/>
  <c r="G288" i="6" s="1"/>
  <c r="D43" i="13"/>
  <c r="C288" i="6" s="1"/>
  <c r="H248" i="6"/>
  <c r="I248" i="6"/>
  <c r="H249" i="6"/>
  <c r="I249" i="6"/>
  <c r="H250" i="6"/>
  <c r="I250" i="6"/>
  <c r="H251" i="6"/>
  <c r="I251" i="6"/>
  <c r="H252" i="6"/>
  <c r="I252" i="6"/>
  <c r="H253" i="6"/>
  <c r="I253" i="6"/>
  <c r="H254" i="6"/>
  <c r="I254" i="6"/>
  <c r="H255" i="6"/>
  <c r="I255" i="6"/>
  <c r="H256" i="6"/>
  <c r="I256" i="6"/>
  <c r="H257" i="6"/>
  <c r="I257" i="6"/>
  <c r="H258" i="6"/>
  <c r="I258" i="6"/>
  <c r="H259" i="6"/>
  <c r="I259" i="6"/>
  <c r="H260" i="6"/>
  <c r="I260" i="6"/>
  <c r="H261" i="6"/>
  <c r="I261" i="6"/>
  <c r="H262" i="6"/>
  <c r="I262" i="6"/>
  <c r="H263" i="6"/>
  <c r="I263" i="6"/>
  <c r="H264" i="6"/>
  <c r="I264" i="6"/>
  <c r="H265" i="6"/>
  <c r="I265" i="6"/>
  <c r="H266" i="6"/>
  <c r="I266" i="6"/>
  <c r="H267" i="6"/>
  <c r="I267" i="6"/>
  <c r="H268" i="6"/>
  <c r="I268" i="6"/>
  <c r="H269" i="6"/>
  <c r="I269" i="6"/>
  <c r="H270" i="6"/>
  <c r="I270" i="6"/>
  <c r="H271" i="6"/>
  <c r="I271" i="6"/>
  <c r="H272" i="6"/>
  <c r="I272" i="6"/>
  <c r="H273" i="6"/>
  <c r="I273" i="6"/>
  <c r="H274" i="6"/>
  <c r="I274" i="6"/>
  <c r="H275" i="6"/>
  <c r="I275" i="6"/>
  <c r="H276" i="6"/>
  <c r="I276" i="6"/>
  <c r="H277" i="6"/>
  <c r="I277" i="6"/>
  <c r="H278" i="6"/>
  <c r="I278" i="6"/>
  <c r="H279" i="6"/>
  <c r="I279" i="6"/>
  <c r="H280" i="6"/>
  <c r="I280" i="6"/>
  <c r="H281" i="6"/>
  <c r="I281" i="6"/>
  <c r="H282" i="6"/>
  <c r="I282" i="6"/>
  <c r="H283" i="6"/>
  <c r="I283" i="6"/>
  <c r="H284" i="6"/>
  <c r="I284" i="6"/>
  <c r="H285" i="6"/>
  <c r="I285" i="6"/>
  <c r="H286" i="6"/>
  <c r="I286" i="6"/>
  <c r="H287" i="6"/>
  <c r="I287" i="6"/>
  <c r="B248" i="6"/>
  <c r="E248" i="6"/>
  <c r="F248" i="6"/>
  <c r="B249" i="6"/>
  <c r="E249" i="6"/>
  <c r="F249" i="6"/>
  <c r="B250" i="6"/>
  <c r="E250" i="6"/>
  <c r="F250" i="6"/>
  <c r="B251" i="6"/>
  <c r="E251" i="6"/>
  <c r="F251" i="6"/>
  <c r="B252" i="6"/>
  <c r="E252" i="6"/>
  <c r="F252" i="6"/>
  <c r="B253" i="6"/>
  <c r="E253" i="6"/>
  <c r="F253" i="6"/>
  <c r="B254" i="6"/>
  <c r="E254" i="6"/>
  <c r="F254" i="6"/>
  <c r="B255" i="6"/>
  <c r="E255" i="6"/>
  <c r="F255" i="6"/>
  <c r="B256" i="6"/>
  <c r="E256" i="6"/>
  <c r="F256" i="6"/>
  <c r="B257" i="6"/>
  <c r="E257" i="6"/>
  <c r="F257" i="6"/>
  <c r="B258" i="6"/>
  <c r="E258" i="6"/>
  <c r="F258" i="6"/>
  <c r="B259" i="6"/>
  <c r="E259" i="6"/>
  <c r="F259" i="6"/>
  <c r="B260" i="6"/>
  <c r="E260" i="6"/>
  <c r="F260" i="6"/>
  <c r="B261" i="6"/>
  <c r="E261" i="6"/>
  <c r="F261" i="6"/>
  <c r="B262" i="6"/>
  <c r="E262" i="6"/>
  <c r="F262" i="6"/>
  <c r="B263" i="6"/>
  <c r="E263" i="6"/>
  <c r="F263" i="6"/>
  <c r="B264" i="6"/>
  <c r="E264" i="6"/>
  <c r="F264" i="6"/>
  <c r="B265" i="6"/>
  <c r="E265" i="6"/>
  <c r="F265" i="6"/>
  <c r="B266" i="6"/>
  <c r="E266" i="6"/>
  <c r="F266" i="6"/>
  <c r="B267" i="6"/>
  <c r="E267" i="6"/>
  <c r="F267" i="6"/>
  <c r="B268" i="6"/>
  <c r="E268" i="6"/>
  <c r="F268" i="6"/>
  <c r="B269" i="6"/>
  <c r="E269" i="6"/>
  <c r="F269" i="6"/>
  <c r="B270" i="6"/>
  <c r="E270" i="6"/>
  <c r="F270" i="6"/>
  <c r="B271" i="6"/>
  <c r="E271" i="6"/>
  <c r="F271" i="6"/>
  <c r="B272" i="6"/>
  <c r="E272" i="6"/>
  <c r="F272" i="6"/>
  <c r="B273" i="6"/>
  <c r="E273" i="6"/>
  <c r="F273" i="6"/>
  <c r="B274" i="6"/>
  <c r="E274" i="6"/>
  <c r="F274" i="6"/>
  <c r="B275" i="6"/>
  <c r="E275" i="6"/>
  <c r="F275" i="6"/>
  <c r="B276" i="6"/>
  <c r="E276" i="6"/>
  <c r="F276" i="6"/>
  <c r="B277" i="6"/>
  <c r="E277" i="6"/>
  <c r="F277" i="6"/>
  <c r="B278" i="6"/>
  <c r="E278" i="6"/>
  <c r="F278" i="6"/>
  <c r="B279" i="6"/>
  <c r="E279" i="6"/>
  <c r="F279" i="6"/>
  <c r="B280" i="6"/>
  <c r="E280" i="6"/>
  <c r="F280" i="6"/>
  <c r="B281" i="6"/>
  <c r="E281" i="6"/>
  <c r="F281" i="6"/>
  <c r="B282" i="6"/>
  <c r="E282" i="6"/>
  <c r="F282" i="6"/>
  <c r="B283" i="6"/>
  <c r="E283" i="6"/>
  <c r="F283" i="6"/>
  <c r="B284" i="6"/>
  <c r="E284" i="6"/>
  <c r="F284" i="6"/>
  <c r="B285" i="6"/>
  <c r="E285" i="6"/>
  <c r="F285" i="6"/>
  <c r="B286" i="6"/>
  <c r="E286" i="6"/>
  <c r="F286" i="6"/>
  <c r="B287" i="6"/>
  <c r="E287" i="6"/>
  <c r="F287" i="6"/>
  <c r="L40" i="13"/>
  <c r="G285" i="6" s="1"/>
  <c r="L41" i="13"/>
  <c r="G286" i="6" s="1"/>
  <c r="L42" i="13"/>
  <c r="G287" i="6" s="1"/>
  <c r="D42" i="13"/>
  <c r="C287" i="6" s="1"/>
  <c r="D41" i="13"/>
  <c r="C286" i="6" s="1"/>
  <c r="L34" i="13"/>
  <c r="G279" i="6" s="1"/>
  <c r="L35" i="13"/>
  <c r="G280" i="6" s="1"/>
  <c r="L36" i="13"/>
  <c r="G281" i="6" s="1"/>
  <c r="L37" i="13"/>
  <c r="G282" i="6" s="1"/>
  <c r="L38" i="13"/>
  <c r="G283" i="6" s="1"/>
  <c r="L39" i="13"/>
  <c r="G284" i="6" s="1"/>
  <c r="D34" i="13"/>
  <c r="C279" i="6" s="1"/>
  <c r="D8" i="13"/>
  <c r="C253" i="6" s="1"/>
  <c r="L8" i="13"/>
  <c r="G253" i="6" s="1"/>
  <c r="R17" i="13"/>
  <c r="D40" i="13"/>
  <c r="C285" i="6" s="1"/>
  <c r="D36" i="13"/>
  <c r="C281" i="6" s="1"/>
  <c r="D37" i="13"/>
  <c r="C282" i="6" s="1"/>
  <c r="D38" i="13"/>
  <c r="C283" i="6" s="1"/>
  <c r="D39" i="13"/>
  <c r="C284" i="6" s="1"/>
  <c r="D35" i="13"/>
  <c r="C280" i="6" s="1"/>
  <c r="L27" i="13"/>
  <c r="G272" i="6" s="1"/>
  <c r="L28" i="13"/>
  <c r="G273" i="6" s="1"/>
  <c r="L29" i="13"/>
  <c r="G274" i="6" s="1"/>
  <c r="L30" i="13"/>
  <c r="G275" i="6" s="1"/>
  <c r="L31" i="13"/>
  <c r="G276" i="6" s="1"/>
  <c r="L32" i="13"/>
  <c r="G277" i="6" s="1"/>
  <c r="L33" i="13"/>
  <c r="G278" i="6" s="1"/>
  <c r="D30" i="13"/>
  <c r="C275" i="6" s="1"/>
  <c r="D31" i="13"/>
  <c r="C276" i="6" s="1"/>
  <c r="D32" i="13"/>
  <c r="C277" i="6" s="1"/>
  <c r="D33" i="13"/>
  <c r="C278" i="6" s="1"/>
  <c r="D29" i="13"/>
  <c r="C274" i="6" s="1"/>
  <c r="D28" i="13"/>
  <c r="C273" i="6" s="1"/>
  <c r="D27" i="13"/>
  <c r="C272" i="6" s="1"/>
  <c r="D26" i="13"/>
  <c r="C271" i="6" s="1"/>
  <c r="D25" i="13"/>
  <c r="C270" i="6" s="1"/>
  <c r="D24" i="13"/>
  <c r="C269" i="6" s="1"/>
  <c r="D21" i="13"/>
  <c r="C266" i="6" s="1"/>
  <c r="D22" i="13"/>
  <c r="C267" i="6" s="1"/>
  <c r="D23" i="13"/>
  <c r="C268" i="6" s="1"/>
  <c r="D20" i="13"/>
  <c r="C265" i="6" s="1"/>
  <c r="D15" i="13"/>
  <c r="C260" i="6" s="1"/>
  <c r="D16" i="13"/>
  <c r="C261" i="6" s="1"/>
  <c r="D17" i="13"/>
  <c r="C262" i="6" s="1"/>
  <c r="D18" i="13"/>
  <c r="C263" i="6" s="1"/>
  <c r="D19" i="13"/>
  <c r="C264" i="6" s="1"/>
  <c r="D14" i="13"/>
  <c r="C259" i="6" s="1"/>
  <c r="D13" i="13"/>
  <c r="C258" i="6" s="1"/>
  <c r="D10" i="13"/>
  <c r="C255" i="6" s="1"/>
  <c r="D11" i="13"/>
  <c r="C256" i="6" s="1"/>
  <c r="D12" i="13"/>
  <c r="C257" i="6" s="1"/>
  <c r="D9" i="13"/>
  <c r="C254" i="6" s="1"/>
  <c r="E122" i="8"/>
  <c r="E123" i="8"/>
  <c r="E124" i="8"/>
  <c r="E125" i="8"/>
  <c r="E126" i="8"/>
  <c r="E127" i="8"/>
  <c r="E128" i="8"/>
  <c r="E129" i="8"/>
  <c r="E130" i="8"/>
  <c r="E131" i="8"/>
  <c r="E132" i="8"/>
  <c r="E133" i="8"/>
  <c r="E134" i="8"/>
  <c r="E135" i="8"/>
  <c r="E136" i="8"/>
  <c r="E121" i="8"/>
  <c r="L3" i="13"/>
  <c r="G248" i="6" s="1"/>
  <c r="L4" i="13"/>
  <c r="G249" i="6" s="1"/>
  <c r="L5" i="13"/>
  <c r="G250" i="6" s="1"/>
  <c r="L6" i="13"/>
  <c r="G251" i="6" s="1"/>
  <c r="L7" i="13"/>
  <c r="G252" i="6" s="1"/>
  <c r="L9" i="13"/>
  <c r="G254" i="6" s="1"/>
  <c r="L10" i="13"/>
  <c r="G255" i="6" s="1"/>
  <c r="L11" i="13"/>
  <c r="G256" i="6" s="1"/>
  <c r="L12" i="13"/>
  <c r="G257" i="6" s="1"/>
  <c r="L13" i="13"/>
  <c r="G258" i="6" s="1"/>
  <c r="L14" i="13"/>
  <c r="G259" i="6" s="1"/>
  <c r="L15" i="13"/>
  <c r="G260" i="6" s="1"/>
  <c r="L16" i="13"/>
  <c r="G261" i="6" s="1"/>
  <c r="L17" i="13"/>
  <c r="G262" i="6" s="1"/>
  <c r="L18" i="13"/>
  <c r="G263" i="6" s="1"/>
  <c r="L19" i="13"/>
  <c r="G264" i="6" s="1"/>
  <c r="L20" i="13"/>
  <c r="G265" i="6" s="1"/>
  <c r="L21" i="13"/>
  <c r="G266" i="6" s="1"/>
  <c r="L22" i="13"/>
  <c r="G267" i="6" s="1"/>
  <c r="L23" i="13"/>
  <c r="G268" i="6" s="1"/>
  <c r="L24" i="13"/>
  <c r="G269" i="6" s="1"/>
  <c r="L25" i="13"/>
  <c r="G270" i="6" s="1"/>
  <c r="L26" i="13"/>
  <c r="G271" i="6" s="1"/>
  <c r="L2" i="13"/>
  <c r="G247" i="6" s="1"/>
  <c r="C22" i="3"/>
  <c r="I247" i="6"/>
  <c r="H247" i="6"/>
  <c r="F247" i="6"/>
  <c r="E247" i="6"/>
  <c r="B247" i="6"/>
  <c r="D7" i="13"/>
  <c r="C252" i="6" s="1"/>
  <c r="D6" i="13"/>
  <c r="C251" i="6" s="1"/>
  <c r="D3" i="13"/>
  <c r="C248" i="6" s="1"/>
  <c r="D4" i="13"/>
  <c r="C249" i="6" s="1"/>
  <c r="D5" i="13"/>
  <c r="C250" i="6" s="1"/>
  <c r="D2" i="13"/>
  <c r="C247" i="6" s="1"/>
  <c r="E120" i="8"/>
  <c r="G14" i="3"/>
  <c r="G13" i="3"/>
  <c r="B246" i="6"/>
  <c r="E246" i="6"/>
  <c r="F246" i="6"/>
  <c r="G246" i="6"/>
  <c r="H246" i="6"/>
  <c r="I246" i="6"/>
  <c r="E119" i="8"/>
  <c r="B164" i="1"/>
  <c r="C246" i="6" s="1"/>
  <c r="B240" i="6"/>
  <c r="E240" i="6"/>
  <c r="F240" i="6"/>
  <c r="G240" i="6"/>
  <c r="H240" i="6"/>
  <c r="I240" i="6"/>
  <c r="B241" i="6"/>
  <c r="E241" i="6"/>
  <c r="F241" i="6"/>
  <c r="G241" i="6"/>
  <c r="H241" i="6"/>
  <c r="I241" i="6"/>
  <c r="B242" i="6"/>
  <c r="E242" i="6"/>
  <c r="F242" i="6"/>
  <c r="G242" i="6"/>
  <c r="H242" i="6"/>
  <c r="I242" i="6"/>
  <c r="B243" i="6"/>
  <c r="E243" i="6"/>
  <c r="F243" i="6"/>
  <c r="G243" i="6"/>
  <c r="H243" i="6"/>
  <c r="I243" i="6"/>
  <c r="B244" i="6"/>
  <c r="E244" i="6"/>
  <c r="F244" i="6"/>
  <c r="G244" i="6"/>
  <c r="H244" i="6"/>
  <c r="I244" i="6"/>
  <c r="B245" i="6"/>
  <c r="E245" i="6"/>
  <c r="F245" i="6"/>
  <c r="G245" i="6"/>
  <c r="H245" i="6"/>
  <c r="I245" i="6"/>
  <c r="B159" i="1"/>
  <c r="C241" i="6" s="1"/>
  <c r="B160" i="1"/>
  <c r="C242" i="6" s="1"/>
  <c r="B161" i="1"/>
  <c r="C243" i="6" s="1"/>
  <c r="B162" i="1"/>
  <c r="C244" i="6" s="1"/>
  <c r="B163" i="1"/>
  <c r="C245" i="6" s="1"/>
  <c r="B158" i="1"/>
  <c r="C240" i="6" s="1"/>
  <c r="E117" i="8"/>
  <c r="E118" i="8"/>
  <c r="B229" i="6"/>
  <c r="E229" i="6"/>
  <c r="F229" i="6"/>
  <c r="G229" i="6"/>
  <c r="H229" i="6"/>
  <c r="I229" i="6"/>
  <c r="B230" i="6"/>
  <c r="E230" i="6"/>
  <c r="F230" i="6"/>
  <c r="G230" i="6"/>
  <c r="H230" i="6"/>
  <c r="I230" i="6"/>
  <c r="B231" i="6"/>
  <c r="E231" i="6"/>
  <c r="F231" i="6"/>
  <c r="G231" i="6"/>
  <c r="H231" i="6"/>
  <c r="I231" i="6"/>
  <c r="B232" i="6"/>
  <c r="E232" i="6"/>
  <c r="F232" i="6"/>
  <c r="G232" i="6"/>
  <c r="H232" i="6"/>
  <c r="I232" i="6"/>
  <c r="B233" i="6"/>
  <c r="E233" i="6"/>
  <c r="F233" i="6"/>
  <c r="G233" i="6"/>
  <c r="H233" i="6"/>
  <c r="I233" i="6"/>
  <c r="B234" i="6"/>
  <c r="E234" i="6"/>
  <c r="F234" i="6"/>
  <c r="G234" i="6"/>
  <c r="H234" i="6"/>
  <c r="I234" i="6"/>
  <c r="B235" i="6"/>
  <c r="E235" i="6"/>
  <c r="F235" i="6"/>
  <c r="G235" i="6"/>
  <c r="H235" i="6"/>
  <c r="I235" i="6"/>
  <c r="B236" i="6"/>
  <c r="E236" i="6"/>
  <c r="F236" i="6"/>
  <c r="G236" i="6"/>
  <c r="H236" i="6"/>
  <c r="I236" i="6"/>
  <c r="B237" i="6"/>
  <c r="E237" i="6"/>
  <c r="F237" i="6"/>
  <c r="G237" i="6"/>
  <c r="H237" i="6"/>
  <c r="I237" i="6"/>
  <c r="B238" i="6"/>
  <c r="E238" i="6"/>
  <c r="F238" i="6"/>
  <c r="G238" i="6"/>
  <c r="H238" i="6"/>
  <c r="I238" i="6"/>
  <c r="B239" i="6"/>
  <c r="E239" i="6"/>
  <c r="F239" i="6"/>
  <c r="G239" i="6"/>
  <c r="H239" i="6"/>
  <c r="I239" i="6"/>
  <c r="B148" i="1"/>
  <c r="C230" i="6" s="1"/>
  <c r="B149" i="1"/>
  <c r="C231" i="6" s="1"/>
  <c r="B150" i="1"/>
  <c r="C232" i="6" s="1"/>
  <c r="B151" i="1"/>
  <c r="C233" i="6" s="1"/>
  <c r="B152" i="1"/>
  <c r="C234" i="6" s="1"/>
  <c r="B153" i="1"/>
  <c r="C235" i="6" s="1"/>
  <c r="B154" i="1"/>
  <c r="C236" i="6" s="1"/>
  <c r="B155" i="1"/>
  <c r="C237" i="6" s="1"/>
  <c r="B156" i="1"/>
  <c r="C238" i="6" s="1"/>
  <c r="B157" i="1"/>
  <c r="C239" i="6" s="1"/>
  <c r="B147" i="1"/>
  <c r="C229" i="6" s="1"/>
  <c r="B228" i="6"/>
  <c r="E228" i="6"/>
  <c r="F228" i="6"/>
  <c r="G228" i="6"/>
  <c r="H228" i="6"/>
  <c r="I228" i="6"/>
  <c r="B146" i="1"/>
  <c r="C228" i="6" s="1"/>
  <c r="E105" i="8"/>
  <c r="E106" i="8"/>
  <c r="E107" i="8"/>
  <c r="E108" i="8"/>
  <c r="E109" i="8"/>
  <c r="E110" i="8"/>
  <c r="E111" i="8"/>
  <c r="E112" i="8"/>
  <c r="E113" i="8"/>
  <c r="E114" i="8"/>
  <c r="E115" i="8"/>
  <c r="E116" i="8"/>
  <c r="B225" i="6"/>
  <c r="E225" i="6"/>
  <c r="F225" i="6"/>
  <c r="G225" i="6"/>
  <c r="H225" i="6"/>
  <c r="I225" i="6"/>
  <c r="B226" i="6"/>
  <c r="E226" i="6"/>
  <c r="F226" i="6"/>
  <c r="G226" i="6"/>
  <c r="H226" i="6"/>
  <c r="I226" i="6"/>
  <c r="B227" i="6"/>
  <c r="E227" i="6"/>
  <c r="F227" i="6"/>
  <c r="G227" i="6"/>
  <c r="H227" i="6"/>
  <c r="I227" i="6"/>
  <c r="B144" i="1"/>
  <c r="C226" i="6" s="1"/>
  <c r="B145" i="1"/>
  <c r="C227" i="6" s="1"/>
  <c r="B224" i="6"/>
  <c r="E224" i="6"/>
  <c r="F224" i="6"/>
  <c r="G224" i="6"/>
  <c r="H224" i="6"/>
  <c r="I224" i="6"/>
  <c r="B223" i="6"/>
  <c r="E223" i="6"/>
  <c r="F223" i="6"/>
  <c r="G223" i="6"/>
  <c r="H223" i="6"/>
  <c r="I223" i="6"/>
  <c r="B141" i="1"/>
  <c r="C223" i="6" s="1"/>
  <c r="B142" i="1"/>
  <c r="C224" i="6" s="1"/>
  <c r="B143" i="1"/>
  <c r="C225" i="6" s="1"/>
  <c r="B218" i="6"/>
  <c r="E218" i="6"/>
  <c r="F218" i="6"/>
  <c r="G218" i="6"/>
  <c r="H218" i="6"/>
  <c r="I218" i="6"/>
  <c r="B219" i="6"/>
  <c r="E219" i="6"/>
  <c r="F219" i="6"/>
  <c r="G219" i="6"/>
  <c r="H219" i="6"/>
  <c r="I219" i="6"/>
  <c r="B220" i="6"/>
  <c r="E220" i="6"/>
  <c r="F220" i="6"/>
  <c r="G220" i="6"/>
  <c r="H220" i="6"/>
  <c r="I220" i="6"/>
  <c r="B221" i="6"/>
  <c r="E221" i="6"/>
  <c r="F221" i="6"/>
  <c r="G221" i="6"/>
  <c r="H221" i="6"/>
  <c r="I221" i="6"/>
  <c r="B222" i="6"/>
  <c r="E222" i="6"/>
  <c r="F222" i="6"/>
  <c r="G222" i="6"/>
  <c r="H222" i="6"/>
  <c r="I222" i="6"/>
  <c r="E99" i="8"/>
  <c r="E100" i="8"/>
  <c r="E101" i="8"/>
  <c r="E102" i="8"/>
  <c r="E103" i="8"/>
  <c r="E104" i="8"/>
  <c r="B213" i="6"/>
  <c r="E213" i="6"/>
  <c r="F213" i="6"/>
  <c r="G213" i="6"/>
  <c r="H213" i="6"/>
  <c r="I213" i="6"/>
  <c r="B214" i="6"/>
  <c r="E214" i="6"/>
  <c r="F214" i="6"/>
  <c r="G214" i="6"/>
  <c r="H214" i="6"/>
  <c r="I214" i="6"/>
  <c r="B215" i="6"/>
  <c r="E215" i="6"/>
  <c r="F215" i="6"/>
  <c r="G215" i="6"/>
  <c r="H215" i="6"/>
  <c r="I215" i="6"/>
  <c r="B216" i="6"/>
  <c r="E216" i="6"/>
  <c r="F216" i="6"/>
  <c r="G216" i="6"/>
  <c r="H216" i="6"/>
  <c r="I216" i="6"/>
  <c r="B217" i="6"/>
  <c r="E217" i="6"/>
  <c r="F217" i="6"/>
  <c r="G217" i="6"/>
  <c r="H217" i="6"/>
  <c r="I217" i="6"/>
  <c r="B137" i="1"/>
  <c r="C219" i="6" s="1"/>
  <c r="B138" i="1"/>
  <c r="C220" i="6" s="1"/>
  <c r="B139" i="1"/>
  <c r="C221" i="6" s="1"/>
  <c r="B140" i="1"/>
  <c r="C222" i="6" s="1"/>
  <c r="B132" i="1"/>
  <c r="C214" i="6" s="1"/>
  <c r="B133" i="1"/>
  <c r="C215" i="6" s="1"/>
  <c r="B212" i="6"/>
  <c r="E212" i="6"/>
  <c r="F212" i="6"/>
  <c r="G212" i="6"/>
  <c r="H212" i="6"/>
  <c r="I212" i="6"/>
  <c r="I88" i="8"/>
  <c r="E89" i="8"/>
  <c r="E90" i="8"/>
  <c r="E91" i="8"/>
  <c r="E92" i="8"/>
  <c r="E93" i="8"/>
  <c r="E94" i="8"/>
  <c r="E95" i="8"/>
  <c r="E96" i="8"/>
  <c r="E97" i="8"/>
  <c r="E98" i="8"/>
  <c r="E88" i="8"/>
  <c r="E87" i="8"/>
  <c r="E86" i="8"/>
  <c r="E85" i="8"/>
  <c r="B211" i="6"/>
  <c r="E211" i="6"/>
  <c r="F211" i="6"/>
  <c r="G211" i="6"/>
  <c r="H211" i="6"/>
  <c r="I211" i="6"/>
  <c r="B205" i="6"/>
  <c r="E205" i="6"/>
  <c r="F205" i="6"/>
  <c r="G205" i="6"/>
  <c r="H205" i="6"/>
  <c r="I205" i="6"/>
  <c r="B206" i="6"/>
  <c r="E206" i="6"/>
  <c r="F206" i="6"/>
  <c r="G206" i="6"/>
  <c r="H206" i="6"/>
  <c r="I206" i="6"/>
  <c r="B207" i="6"/>
  <c r="E207" i="6"/>
  <c r="F207" i="6"/>
  <c r="G207" i="6"/>
  <c r="H207" i="6"/>
  <c r="I207" i="6"/>
  <c r="B208" i="6"/>
  <c r="E208" i="6"/>
  <c r="F208" i="6"/>
  <c r="G208" i="6"/>
  <c r="H208" i="6"/>
  <c r="I208" i="6"/>
  <c r="B209" i="6"/>
  <c r="E209" i="6"/>
  <c r="F209" i="6"/>
  <c r="G209" i="6"/>
  <c r="H209" i="6"/>
  <c r="I209" i="6"/>
  <c r="B210" i="6"/>
  <c r="E210" i="6"/>
  <c r="F210" i="6"/>
  <c r="G210" i="6"/>
  <c r="H210" i="6"/>
  <c r="I210" i="6"/>
  <c r="B129" i="1"/>
  <c r="C211" i="6" s="1"/>
  <c r="B128" i="1"/>
  <c r="C210" i="6" s="1"/>
  <c r="B127" i="1"/>
  <c r="C209" i="6" s="1"/>
  <c r="B126" i="1"/>
  <c r="C208" i="6" s="1"/>
  <c r="E84" i="8"/>
  <c r="B203" i="6"/>
  <c r="E203" i="6"/>
  <c r="F203" i="6"/>
  <c r="G203" i="6"/>
  <c r="H203" i="6"/>
  <c r="I203" i="6"/>
  <c r="B204" i="6"/>
  <c r="E204" i="6"/>
  <c r="F204" i="6"/>
  <c r="G204" i="6"/>
  <c r="H204" i="6"/>
  <c r="I204" i="6"/>
  <c r="B123" i="1"/>
  <c r="C205" i="6" s="1"/>
  <c r="B124" i="1"/>
  <c r="C206" i="6" s="1"/>
  <c r="B125" i="1"/>
  <c r="C207" i="6" s="1"/>
  <c r="B130" i="1"/>
  <c r="C212" i="6" s="1"/>
  <c r="B131" i="1"/>
  <c r="C213" i="6" s="1"/>
  <c r="B134" i="1"/>
  <c r="C216" i="6" s="1"/>
  <c r="B135" i="1"/>
  <c r="C217" i="6" s="1"/>
  <c r="B136" i="1"/>
  <c r="C218" i="6" s="1"/>
  <c r="R16" i="7"/>
  <c r="R17" i="7" s="1"/>
  <c r="G11" i="3"/>
  <c r="G12" i="3"/>
  <c r="B160" i="6"/>
  <c r="E160" i="6"/>
  <c r="F160" i="6"/>
  <c r="G160" i="6"/>
  <c r="H160" i="6"/>
  <c r="I160" i="6"/>
  <c r="B161" i="6"/>
  <c r="E161" i="6"/>
  <c r="F161" i="6"/>
  <c r="G161" i="6"/>
  <c r="H161" i="6"/>
  <c r="I161" i="6"/>
  <c r="B162" i="6"/>
  <c r="E162" i="6"/>
  <c r="F162" i="6"/>
  <c r="G162" i="6"/>
  <c r="H162" i="6"/>
  <c r="I162" i="6"/>
  <c r="B163" i="6"/>
  <c r="E163" i="6"/>
  <c r="F163" i="6"/>
  <c r="G163" i="6"/>
  <c r="H163" i="6"/>
  <c r="I163" i="6"/>
  <c r="B164" i="6"/>
  <c r="E164" i="6"/>
  <c r="F164" i="6"/>
  <c r="G164" i="6"/>
  <c r="H164" i="6"/>
  <c r="I164" i="6"/>
  <c r="B165" i="6"/>
  <c r="E165" i="6"/>
  <c r="F165" i="6"/>
  <c r="G165" i="6"/>
  <c r="H165" i="6"/>
  <c r="I165" i="6"/>
  <c r="B166" i="6"/>
  <c r="E166" i="6"/>
  <c r="F166" i="6"/>
  <c r="G166" i="6"/>
  <c r="H166" i="6"/>
  <c r="I166" i="6"/>
  <c r="B167" i="6"/>
  <c r="E167" i="6"/>
  <c r="F167" i="6"/>
  <c r="G167" i="6"/>
  <c r="H167" i="6"/>
  <c r="I167" i="6"/>
  <c r="B168" i="6"/>
  <c r="E168" i="6"/>
  <c r="F168" i="6"/>
  <c r="G168" i="6"/>
  <c r="H168" i="6"/>
  <c r="I168" i="6"/>
  <c r="B169" i="6"/>
  <c r="E169" i="6"/>
  <c r="F169" i="6"/>
  <c r="G169" i="6"/>
  <c r="H169" i="6"/>
  <c r="I169" i="6"/>
  <c r="B170" i="6"/>
  <c r="E170" i="6"/>
  <c r="F170" i="6"/>
  <c r="G170" i="6"/>
  <c r="H170" i="6"/>
  <c r="I170" i="6"/>
  <c r="B171" i="6"/>
  <c r="E171" i="6"/>
  <c r="F171" i="6"/>
  <c r="G171" i="6"/>
  <c r="H171" i="6"/>
  <c r="I171" i="6"/>
  <c r="B172" i="6"/>
  <c r="E172" i="6"/>
  <c r="F172" i="6"/>
  <c r="G172" i="6"/>
  <c r="H172" i="6"/>
  <c r="I172" i="6"/>
  <c r="B173" i="6"/>
  <c r="E173" i="6"/>
  <c r="F173" i="6"/>
  <c r="G173" i="6"/>
  <c r="H173" i="6"/>
  <c r="I173" i="6"/>
  <c r="B174" i="6"/>
  <c r="E174" i="6"/>
  <c r="F174" i="6"/>
  <c r="G174" i="6"/>
  <c r="H174" i="6"/>
  <c r="I174" i="6"/>
  <c r="B175" i="6"/>
  <c r="E175" i="6"/>
  <c r="F175" i="6"/>
  <c r="G175" i="6"/>
  <c r="H175" i="6"/>
  <c r="I175" i="6"/>
  <c r="B176" i="6"/>
  <c r="E176" i="6"/>
  <c r="F176" i="6"/>
  <c r="G176" i="6"/>
  <c r="H176" i="6"/>
  <c r="I176" i="6"/>
  <c r="B177" i="6"/>
  <c r="E177" i="6"/>
  <c r="F177" i="6"/>
  <c r="G177" i="6"/>
  <c r="H177" i="6"/>
  <c r="I177" i="6"/>
  <c r="B178" i="6"/>
  <c r="E178" i="6"/>
  <c r="F178" i="6"/>
  <c r="G178" i="6"/>
  <c r="H178" i="6"/>
  <c r="I178" i="6"/>
  <c r="B179" i="6"/>
  <c r="E179" i="6"/>
  <c r="F179" i="6"/>
  <c r="G179" i="6"/>
  <c r="H179" i="6"/>
  <c r="I179" i="6"/>
  <c r="B180" i="6"/>
  <c r="E180" i="6"/>
  <c r="F180" i="6"/>
  <c r="G180" i="6"/>
  <c r="H180" i="6"/>
  <c r="I180" i="6"/>
  <c r="B181" i="6"/>
  <c r="E181" i="6"/>
  <c r="F181" i="6"/>
  <c r="G181" i="6"/>
  <c r="H181" i="6"/>
  <c r="I181" i="6"/>
  <c r="B182" i="6"/>
  <c r="E182" i="6"/>
  <c r="F182" i="6"/>
  <c r="G182" i="6"/>
  <c r="H182" i="6"/>
  <c r="I182" i="6"/>
  <c r="B183" i="6"/>
  <c r="E183" i="6"/>
  <c r="F183" i="6"/>
  <c r="G183" i="6"/>
  <c r="H183" i="6"/>
  <c r="I183" i="6"/>
  <c r="B184" i="6"/>
  <c r="E184" i="6"/>
  <c r="F184" i="6"/>
  <c r="G184" i="6"/>
  <c r="H184" i="6"/>
  <c r="I184" i="6"/>
  <c r="B185" i="6"/>
  <c r="E185" i="6"/>
  <c r="F185" i="6"/>
  <c r="G185" i="6"/>
  <c r="H185" i="6"/>
  <c r="I185" i="6"/>
  <c r="B186" i="6"/>
  <c r="E186" i="6"/>
  <c r="F186" i="6"/>
  <c r="G186" i="6"/>
  <c r="H186" i="6"/>
  <c r="I186" i="6"/>
  <c r="B187" i="6"/>
  <c r="E187" i="6"/>
  <c r="F187" i="6"/>
  <c r="G187" i="6"/>
  <c r="H187" i="6"/>
  <c r="I187" i="6"/>
  <c r="B188" i="6"/>
  <c r="E188" i="6"/>
  <c r="F188" i="6"/>
  <c r="G188" i="6"/>
  <c r="H188" i="6"/>
  <c r="I188" i="6"/>
  <c r="B189" i="6"/>
  <c r="E189" i="6"/>
  <c r="F189" i="6"/>
  <c r="G189" i="6"/>
  <c r="H189" i="6"/>
  <c r="I189" i="6"/>
  <c r="B190" i="6"/>
  <c r="E190" i="6"/>
  <c r="F190" i="6"/>
  <c r="G190" i="6"/>
  <c r="H190" i="6"/>
  <c r="I190" i="6"/>
  <c r="B191" i="6"/>
  <c r="E191" i="6"/>
  <c r="F191" i="6"/>
  <c r="G191" i="6"/>
  <c r="H191" i="6"/>
  <c r="I191" i="6"/>
  <c r="B192" i="6"/>
  <c r="E192" i="6"/>
  <c r="F192" i="6"/>
  <c r="G192" i="6"/>
  <c r="H192" i="6"/>
  <c r="I192" i="6"/>
  <c r="B193" i="6"/>
  <c r="E193" i="6"/>
  <c r="F193" i="6"/>
  <c r="G193" i="6"/>
  <c r="H193" i="6"/>
  <c r="I193" i="6"/>
  <c r="B194" i="6"/>
  <c r="E194" i="6"/>
  <c r="F194" i="6"/>
  <c r="G194" i="6"/>
  <c r="H194" i="6"/>
  <c r="I194" i="6"/>
  <c r="B195" i="6"/>
  <c r="E195" i="6"/>
  <c r="F195" i="6"/>
  <c r="G195" i="6"/>
  <c r="H195" i="6"/>
  <c r="I195" i="6"/>
  <c r="B196" i="6"/>
  <c r="E196" i="6"/>
  <c r="F196" i="6"/>
  <c r="G196" i="6"/>
  <c r="H196" i="6"/>
  <c r="I196" i="6"/>
  <c r="B197" i="6"/>
  <c r="E197" i="6"/>
  <c r="F197" i="6"/>
  <c r="G197" i="6"/>
  <c r="H197" i="6"/>
  <c r="I197" i="6"/>
  <c r="B198" i="6"/>
  <c r="E198" i="6"/>
  <c r="F198" i="6"/>
  <c r="G198" i="6"/>
  <c r="H198" i="6"/>
  <c r="I198" i="6"/>
  <c r="B199" i="6"/>
  <c r="E199" i="6"/>
  <c r="F199" i="6"/>
  <c r="G199" i="6"/>
  <c r="H199" i="6"/>
  <c r="I199" i="6"/>
  <c r="B200" i="6"/>
  <c r="E200" i="6"/>
  <c r="F200" i="6"/>
  <c r="G200" i="6"/>
  <c r="H200" i="6"/>
  <c r="I200" i="6"/>
  <c r="B201" i="6"/>
  <c r="E201" i="6"/>
  <c r="F201" i="6"/>
  <c r="G201" i="6"/>
  <c r="H201" i="6"/>
  <c r="I201" i="6"/>
  <c r="B202" i="6"/>
  <c r="E202" i="6"/>
  <c r="F202" i="6"/>
  <c r="G202" i="6"/>
  <c r="H202" i="6"/>
  <c r="I202" i="6"/>
  <c r="B121" i="1"/>
  <c r="C203" i="6" s="1"/>
  <c r="B122" i="1"/>
  <c r="C204" i="6" s="1"/>
  <c r="B102" i="1"/>
  <c r="C184" i="6" s="1"/>
  <c r="B103" i="1"/>
  <c r="C185" i="6" s="1"/>
  <c r="B104" i="1"/>
  <c r="C186" i="6" s="1"/>
  <c r="B105" i="1"/>
  <c r="C187" i="6" s="1"/>
  <c r="B106" i="1"/>
  <c r="C188" i="6" s="1"/>
  <c r="B107" i="1"/>
  <c r="C189" i="6" s="1"/>
  <c r="B108" i="1"/>
  <c r="C190" i="6" s="1"/>
  <c r="B109" i="1"/>
  <c r="C191" i="6" s="1"/>
  <c r="B110" i="1"/>
  <c r="C192" i="6" s="1"/>
  <c r="B111" i="1"/>
  <c r="C193" i="6" s="1"/>
  <c r="B112" i="1"/>
  <c r="C194" i="6" s="1"/>
  <c r="B113" i="1"/>
  <c r="C195" i="6" s="1"/>
  <c r="B114" i="1"/>
  <c r="C196" i="6" s="1"/>
  <c r="B115" i="1"/>
  <c r="C197" i="6" s="1"/>
  <c r="B116" i="1"/>
  <c r="C198" i="6" s="1"/>
  <c r="B117" i="1"/>
  <c r="C199" i="6" s="1"/>
  <c r="B118" i="1"/>
  <c r="C200" i="6" s="1"/>
  <c r="B101" i="1"/>
  <c r="C183" i="6" s="1"/>
  <c r="B120" i="1"/>
  <c r="C202" i="6" s="1"/>
  <c r="B119" i="1"/>
  <c r="C201" i="6" s="1"/>
  <c r="B100" i="1"/>
  <c r="C182" i="6" s="1"/>
  <c r="B99" i="1"/>
  <c r="C181" i="6" s="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E83" i="8"/>
  <c r="E82" i="8"/>
  <c r="E81" i="8"/>
  <c r="E77" i="8"/>
  <c r="E78" i="8"/>
  <c r="E79" i="8"/>
  <c r="E80" i="8"/>
  <c r="E76" i="8"/>
  <c r="E73" i="8"/>
  <c r="E74" i="8"/>
  <c r="E75" i="8"/>
  <c r="E72" i="8"/>
  <c r="E67" i="8"/>
  <c r="E68" i="8"/>
  <c r="E69" i="8"/>
  <c r="E70" i="8"/>
  <c r="E71" i="8"/>
  <c r="E65" i="8"/>
  <c r="B95" i="1"/>
  <c r="C177" i="6" s="1"/>
  <c r="B96" i="1"/>
  <c r="C178" i="6" s="1"/>
  <c r="B97" i="1"/>
  <c r="C179" i="6" s="1"/>
  <c r="B98" i="1"/>
  <c r="C180" i="6" s="1"/>
  <c r="B79" i="1"/>
  <c r="C161" i="6" s="1"/>
  <c r="B80" i="1"/>
  <c r="C162" i="6" s="1"/>
  <c r="B81" i="1"/>
  <c r="C163" i="6" s="1"/>
  <c r="B82" i="1"/>
  <c r="C164" i="6" s="1"/>
  <c r="B83" i="1"/>
  <c r="C165" i="6" s="1"/>
  <c r="B84" i="1"/>
  <c r="C166" i="6" s="1"/>
  <c r="B85" i="1"/>
  <c r="C167" i="6" s="1"/>
  <c r="B86" i="1"/>
  <c r="C168" i="6" s="1"/>
  <c r="B87" i="1"/>
  <c r="C169" i="6" s="1"/>
  <c r="B88" i="1"/>
  <c r="C170" i="6" s="1"/>
  <c r="B89" i="1"/>
  <c r="C171" i="6" s="1"/>
  <c r="B90" i="1"/>
  <c r="C172" i="6" s="1"/>
  <c r="B91" i="1"/>
  <c r="C173" i="6" s="1"/>
  <c r="B92" i="1"/>
  <c r="C174" i="6" s="1"/>
  <c r="B93" i="1"/>
  <c r="C175" i="6" s="1"/>
  <c r="B94" i="1"/>
  <c r="C176" i="6" s="1"/>
  <c r="B78" i="1"/>
  <c r="C160" i="6" s="1"/>
  <c r="E61" i="8"/>
  <c r="E62" i="8"/>
  <c r="E63" i="8"/>
  <c r="E64" i="8"/>
  <c r="E66" i="8"/>
  <c r="G57" i="8"/>
  <c r="E59" i="8"/>
  <c r="E60" i="8"/>
  <c r="E52" i="8"/>
  <c r="E53" i="8"/>
  <c r="E54" i="8"/>
  <c r="E55" i="8"/>
  <c r="E56" i="8"/>
  <c r="E57" i="8"/>
  <c r="E58" i="8"/>
  <c r="G10" i="3"/>
  <c r="G9" i="3"/>
  <c r="G8" i="3"/>
  <c r="G7" i="3"/>
  <c r="G5" i="3"/>
  <c r="G4" i="3"/>
  <c r="G3" i="3"/>
  <c r="E41" i="8"/>
  <c r="E42" i="8"/>
  <c r="E43" i="8"/>
  <c r="E44" i="8"/>
  <c r="E45" i="8"/>
  <c r="E46" i="8"/>
  <c r="E47" i="8"/>
  <c r="E48" i="8"/>
  <c r="E49" i="8"/>
  <c r="E50" i="8"/>
  <c r="E51" i="8"/>
  <c r="E33" i="8"/>
  <c r="E34" i="8"/>
  <c r="E35" i="8"/>
  <c r="E36" i="8"/>
  <c r="E37" i="8"/>
  <c r="E38" i="8"/>
  <c r="E39" i="8"/>
  <c r="E40" i="8"/>
  <c r="B155" i="6"/>
  <c r="E155" i="6"/>
  <c r="F155" i="6"/>
  <c r="G155" i="6"/>
  <c r="H155" i="6"/>
  <c r="I155" i="6"/>
  <c r="B156" i="6"/>
  <c r="E156" i="6"/>
  <c r="F156" i="6"/>
  <c r="G156" i="6"/>
  <c r="H156" i="6"/>
  <c r="I156" i="6"/>
  <c r="B157" i="6"/>
  <c r="E157" i="6"/>
  <c r="F157" i="6"/>
  <c r="G157" i="6"/>
  <c r="H157" i="6"/>
  <c r="I157" i="6"/>
  <c r="B158" i="6"/>
  <c r="E158" i="6"/>
  <c r="F158" i="6"/>
  <c r="G158" i="6"/>
  <c r="H158" i="6"/>
  <c r="I158" i="6"/>
  <c r="B159" i="6"/>
  <c r="E159" i="6"/>
  <c r="F159" i="6"/>
  <c r="G159" i="6"/>
  <c r="H159" i="6"/>
  <c r="I159" i="6"/>
  <c r="B74" i="1"/>
  <c r="C156" i="6" s="1"/>
  <c r="B73" i="1"/>
  <c r="C155" i="6" s="1"/>
  <c r="B77" i="1"/>
  <c r="C159" i="6" s="1"/>
  <c r="B76" i="1"/>
  <c r="C158" i="6" s="1"/>
  <c r="B75" i="1"/>
  <c r="C157" i="6" s="1"/>
  <c r="B72" i="1"/>
  <c r="C154" i="6" s="1"/>
  <c r="B71" i="1"/>
  <c r="C153" i="6" s="1"/>
  <c r="B177" i="1"/>
  <c r="B178" i="1"/>
  <c r="B179" i="1"/>
  <c r="F180" i="1"/>
  <c r="B150" i="6"/>
  <c r="E150" i="6"/>
  <c r="F150" i="6"/>
  <c r="G150" i="6"/>
  <c r="H150" i="6"/>
  <c r="I150" i="6"/>
  <c r="B151" i="6"/>
  <c r="E151" i="6"/>
  <c r="F151" i="6"/>
  <c r="G151" i="6"/>
  <c r="H151" i="6"/>
  <c r="I151" i="6"/>
  <c r="B152" i="6"/>
  <c r="E152" i="6"/>
  <c r="F152" i="6"/>
  <c r="G152" i="6"/>
  <c r="H152" i="6"/>
  <c r="I152" i="6"/>
  <c r="B153" i="6"/>
  <c r="E153" i="6"/>
  <c r="F153" i="6"/>
  <c r="G153" i="6"/>
  <c r="H153" i="6"/>
  <c r="I153" i="6"/>
  <c r="B154" i="6"/>
  <c r="E154" i="6"/>
  <c r="F154" i="6"/>
  <c r="G154" i="6"/>
  <c r="H154" i="6"/>
  <c r="I154" i="6"/>
  <c r="B176" i="1"/>
  <c r="E23" i="8"/>
  <c r="E24" i="8"/>
  <c r="E25" i="8"/>
  <c r="E26" i="8"/>
  <c r="E27" i="8"/>
  <c r="E28" i="8"/>
  <c r="E29" i="8"/>
  <c r="E30" i="8"/>
  <c r="E31" i="8"/>
  <c r="E32" i="8"/>
  <c r="B64" i="1"/>
  <c r="C146" i="6" s="1"/>
  <c r="B65" i="1"/>
  <c r="C147" i="6" s="1"/>
  <c r="B66" i="1"/>
  <c r="C148" i="6" s="1"/>
  <c r="B67" i="1"/>
  <c r="C149" i="6" s="1"/>
  <c r="B68" i="1"/>
  <c r="C150" i="6" s="1"/>
  <c r="B69" i="1"/>
  <c r="C151" i="6" s="1"/>
  <c r="B70" i="1"/>
  <c r="C152" i="6" s="1"/>
  <c r="B63" i="1"/>
  <c r="C145" i="6" s="1"/>
  <c r="B125" i="6"/>
  <c r="E125" i="6"/>
  <c r="F125" i="6"/>
  <c r="G125" i="6"/>
  <c r="H125" i="6"/>
  <c r="I125" i="6"/>
  <c r="B126" i="6"/>
  <c r="E126" i="6"/>
  <c r="F126" i="6"/>
  <c r="G126" i="6"/>
  <c r="H126" i="6"/>
  <c r="I126" i="6"/>
  <c r="B127" i="6"/>
  <c r="E127" i="6"/>
  <c r="F127" i="6"/>
  <c r="G127" i="6"/>
  <c r="H127" i="6"/>
  <c r="I127" i="6"/>
  <c r="B128" i="6"/>
  <c r="E128" i="6"/>
  <c r="F128" i="6"/>
  <c r="G128" i="6"/>
  <c r="H128" i="6"/>
  <c r="I128" i="6"/>
  <c r="B129" i="6"/>
  <c r="E129" i="6"/>
  <c r="F129" i="6"/>
  <c r="G129" i="6"/>
  <c r="H129" i="6"/>
  <c r="I129" i="6"/>
  <c r="B130" i="6"/>
  <c r="E130" i="6"/>
  <c r="F130" i="6"/>
  <c r="G130" i="6"/>
  <c r="H130" i="6"/>
  <c r="I130" i="6"/>
  <c r="B131" i="6"/>
  <c r="E131" i="6"/>
  <c r="F131" i="6"/>
  <c r="G131" i="6"/>
  <c r="H131" i="6"/>
  <c r="I131" i="6"/>
  <c r="B132" i="6"/>
  <c r="E132" i="6"/>
  <c r="F132" i="6"/>
  <c r="G132" i="6"/>
  <c r="H132" i="6"/>
  <c r="I132" i="6"/>
  <c r="B133" i="6"/>
  <c r="E133" i="6"/>
  <c r="F133" i="6"/>
  <c r="G133" i="6"/>
  <c r="H133" i="6"/>
  <c r="I133" i="6"/>
  <c r="B134" i="6"/>
  <c r="E134" i="6"/>
  <c r="F134" i="6"/>
  <c r="G134" i="6"/>
  <c r="H134" i="6"/>
  <c r="I134" i="6"/>
  <c r="B135" i="6"/>
  <c r="E135" i="6"/>
  <c r="F135" i="6"/>
  <c r="G135" i="6"/>
  <c r="H135" i="6"/>
  <c r="I135" i="6"/>
  <c r="B136" i="6"/>
  <c r="E136" i="6"/>
  <c r="F136" i="6"/>
  <c r="G136" i="6"/>
  <c r="H136" i="6"/>
  <c r="I136" i="6"/>
  <c r="B137" i="6"/>
  <c r="E137" i="6"/>
  <c r="F137" i="6"/>
  <c r="G137" i="6"/>
  <c r="H137" i="6"/>
  <c r="I137" i="6"/>
  <c r="B138" i="6"/>
  <c r="E138" i="6"/>
  <c r="F138" i="6"/>
  <c r="G138" i="6"/>
  <c r="H138" i="6"/>
  <c r="I138" i="6"/>
  <c r="B139" i="6"/>
  <c r="E139" i="6"/>
  <c r="F139" i="6"/>
  <c r="G139" i="6"/>
  <c r="H139" i="6"/>
  <c r="I139" i="6"/>
  <c r="B140" i="6"/>
  <c r="E140" i="6"/>
  <c r="F140" i="6"/>
  <c r="G140" i="6"/>
  <c r="H140" i="6"/>
  <c r="I140" i="6"/>
  <c r="B141" i="6"/>
  <c r="E141" i="6"/>
  <c r="F141" i="6"/>
  <c r="G141" i="6"/>
  <c r="H141" i="6"/>
  <c r="I141" i="6"/>
  <c r="B142" i="6"/>
  <c r="E142" i="6"/>
  <c r="F142" i="6"/>
  <c r="G142" i="6"/>
  <c r="H142" i="6"/>
  <c r="I142" i="6"/>
  <c r="B143" i="6"/>
  <c r="E143" i="6"/>
  <c r="F143" i="6"/>
  <c r="G143" i="6"/>
  <c r="H143" i="6"/>
  <c r="I143" i="6"/>
  <c r="B144" i="6"/>
  <c r="E144" i="6"/>
  <c r="F144" i="6"/>
  <c r="G144" i="6"/>
  <c r="H144" i="6"/>
  <c r="I144" i="6"/>
  <c r="B145" i="6"/>
  <c r="E145" i="6"/>
  <c r="F145" i="6"/>
  <c r="G145" i="6"/>
  <c r="H145" i="6"/>
  <c r="I145" i="6"/>
  <c r="B146" i="6"/>
  <c r="E146" i="6"/>
  <c r="F146" i="6"/>
  <c r="G146" i="6"/>
  <c r="H146" i="6"/>
  <c r="I146" i="6"/>
  <c r="B147" i="6"/>
  <c r="E147" i="6"/>
  <c r="F147" i="6"/>
  <c r="G147" i="6"/>
  <c r="H147" i="6"/>
  <c r="I147" i="6"/>
  <c r="B148" i="6"/>
  <c r="E148" i="6"/>
  <c r="F148" i="6"/>
  <c r="G148" i="6"/>
  <c r="H148" i="6"/>
  <c r="I148" i="6"/>
  <c r="B149" i="6"/>
  <c r="E149" i="6"/>
  <c r="F149" i="6"/>
  <c r="G149" i="6"/>
  <c r="H149" i="6"/>
  <c r="I149" i="6"/>
  <c r="B49" i="1"/>
  <c r="C131" i="6" s="1"/>
  <c r="B48" i="1"/>
  <c r="C130" i="6" s="1"/>
  <c r="F173" i="1"/>
  <c r="B58" i="1"/>
  <c r="C140" i="6" s="1"/>
  <c r="B59" i="1"/>
  <c r="C141" i="6" s="1"/>
  <c r="B60" i="1"/>
  <c r="C142" i="6" s="1"/>
  <c r="B61" i="1"/>
  <c r="C143" i="6" s="1"/>
  <c r="B62" i="1"/>
  <c r="C144" i="6" s="1"/>
  <c r="B54" i="1"/>
  <c r="C136" i="6" s="1"/>
  <c r="B55" i="1"/>
  <c r="C137" i="6" s="1"/>
  <c r="B56" i="1"/>
  <c r="C138" i="6" s="1"/>
  <c r="B57" i="1"/>
  <c r="C139" i="6" s="1"/>
  <c r="B53" i="1"/>
  <c r="C135" i="6" s="1"/>
  <c r="B52" i="1"/>
  <c r="C134" i="6" s="1"/>
  <c r="B51" i="1"/>
  <c r="C133" i="6" s="1"/>
  <c r="B50" i="1"/>
  <c r="C132" i="6" s="1"/>
  <c r="B47" i="1"/>
  <c r="C129" i="6" s="1"/>
  <c r="E18" i="8"/>
  <c r="E19" i="8"/>
  <c r="E20" i="8"/>
  <c r="E21" i="8"/>
  <c r="E22" i="8"/>
  <c r="E14" i="8"/>
  <c r="E15" i="8"/>
  <c r="E16" i="8"/>
  <c r="E17" i="8"/>
  <c r="E4" i="8"/>
  <c r="E5" i="8"/>
  <c r="E6" i="8"/>
  <c r="E7" i="8"/>
  <c r="E8" i="8"/>
  <c r="E9" i="8"/>
  <c r="E10" i="8"/>
  <c r="E11" i="8"/>
  <c r="E12" i="8"/>
  <c r="E13" i="8"/>
  <c r="E3" i="8"/>
  <c r="B85" i="6"/>
  <c r="E85" i="6"/>
  <c r="F85" i="6"/>
  <c r="G85" i="6"/>
  <c r="H85" i="6"/>
  <c r="I85" i="6"/>
  <c r="B86" i="6"/>
  <c r="E86" i="6"/>
  <c r="F86" i="6"/>
  <c r="G86" i="6"/>
  <c r="H86" i="6"/>
  <c r="I86" i="6"/>
  <c r="B87" i="6"/>
  <c r="E87" i="6"/>
  <c r="F87" i="6"/>
  <c r="G87" i="6"/>
  <c r="H87" i="6"/>
  <c r="I87" i="6"/>
  <c r="B88" i="6"/>
  <c r="E88" i="6"/>
  <c r="F88" i="6"/>
  <c r="G88" i="6"/>
  <c r="H88" i="6"/>
  <c r="I88" i="6"/>
  <c r="B89" i="6"/>
  <c r="E89" i="6"/>
  <c r="F89" i="6"/>
  <c r="G89" i="6"/>
  <c r="H89" i="6"/>
  <c r="I89" i="6"/>
  <c r="B90" i="6"/>
  <c r="E90" i="6"/>
  <c r="F90" i="6"/>
  <c r="G90" i="6"/>
  <c r="H90" i="6"/>
  <c r="I90" i="6"/>
  <c r="B91" i="6"/>
  <c r="E91" i="6"/>
  <c r="F91" i="6"/>
  <c r="G91" i="6"/>
  <c r="H91" i="6"/>
  <c r="I91" i="6"/>
  <c r="B92" i="6"/>
  <c r="E92" i="6"/>
  <c r="F92" i="6"/>
  <c r="G92" i="6"/>
  <c r="H92" i="6"/>
  <c r="I92" i="6"/>
  <c r="B93" i="6"/>
  <c r="E93" i="6"/>
  <c r="F93" i="6"/>
  <c r="G93" i="6"/>
  <c r="H93" i="6"/>
  <c r="I93" i="6"/>
  <c r="B94" i="6"/>
  <c r="E94" i="6"/>
  <c r="F94" i="6"/>
  <c r="G94" i="6"/>
  <c r="H94" i="6"/>
  <c r="I94" i="6"/>
  <c r="B95" i="6"/>
  <c r="E95" i="6"/>
  <c r="F95" i="6"/>
  <c r="G95" i="6"/>
  <c r="H95" i="6"/>
  <c r="I95" i="6"/>
  <c r="B96" i="6"/>
  <c r="E96" i="6"/>
  <c r="F96" i="6"/>
  <c r="G96" i="6"/>
  <c r="H96" i="6"/>
  <c r="I96" i="6"/>
  <c r="B97" i="6"/>
  <c r="E97" i="6"/>
  <c r="F97" i="6"/>
  <c r="G97" i="6"/>
  <c r="H97" i="6"/>
  <c r="I97" i="6"/>
  <c r="B98" i="6"/>
  <c r="E98" i="6"/>
  <c r="F98" i="6"/>
  <c r="G98" i="6"/>
  <c r="H98" i="6"/>
  <c r="I98" i="6"/>
  <c r="B99" i="6"/>
  <c r="E99" i="6"/>
  <c r="F99" i="6"/>
  <c r="G99" i="6"/>
  <c r="H99" i="6"/>
  <c r="I99" i="6"/>
  <c r="B100" i="6"/>
  <c r="E100" i="6"/>
  <c r="F100" i="6"/>
  <c r="G100" i="6"/>
  <c r="H100" i="6"/>
  <c r="I100" i="6"/>
  <c r="B101" i="6"/>
  <c r="E101" i="6"/>
  <c r="F101" i="6"/>
  <c r="G101" i="6"/>
  <c r="H101" i="6"/>
  <c r="I101" i="6"/>
  <c r="B102" i="6"/>
  <c r="E102" i="6"/>
  <c r="F102" i="6"/>
  <c r="G102" i="6"/>
  <c r="H102" i="6"/>
  <c r="I102" i="6"/>
  <c r="B103" i="6"/>
  <c r="E103" i="6"/>
  <c r="F103" i="6"/>
  <c r="G103" i="6"/>
  <c r="H103" i="6"/>
  <c r="I103" i="6"/>
  <c r="B104" i="6"/>
  <c r="E104" i="6"/>
  <c r="F104" i="6"/>
  <c r="G104" i="6"/>
  <c r="H104" i="6"/>
  <c r="I104" i="6"/>
  <c r="B105" i="6"/>
  <c r="E105" i="6"/>
  <c r="F105" i="6"/>
  <c r="G105" i="6"/>
  <c r="H105" i="6"/>
  <c r="I105" i="6"/>
  <c r="B106" i="6"/>
  <c r="E106" i="6"/>
  <c r="F106" i="6"/>
  <c r="G106" i="6"/>
  <c r="H106" i="6"/>
  <c r="I106" i="6"/>
  <c r="B107" i="6"/>
  <c r="E107" i="6"/>
  <c r="F107" i="6"/>
  <c r="G107" i="6"/>
  <c r="H107" i="6"/>
  <c r="I107" i="6"/>
  <c r="B108" i="6"/>
  <c r="E108" i="6"/>
  <c r="F108" i="6"/>
  <c r="G108" i="6"/>
  <c r="H108" i="6"/>
  <c r="I108" i="6"/>
  <c r="B109" i="6"/>
  <c r="E109" i="6"/>
  <c r="F109" i="6"/>
  <c r="G109" i="6"/>
  <c r="H109" i="6"/>
  <c r="I109" i="6"/>
  <c r="B110" i="6"/>
  <c r="E110" i="6"/>
  <c r="F110" i="6"/>
  <c r="G110" i="6"/>
  <c r="H110" i="6"/>
  <c r="I110" i="6"/>
  <c r="B111" i="6"/>
  <c r="E111" i="6"/>
  <c r="F111" i="6"/>
  <c r="G111" i="6"/>
  <c r="H111" i="6"/>
  <c r="I111" i="6"/>
  <c r="B112" i="6"/>
  <c r="E112" i="6"/>
  <c r="F112" i="6"/>
  <c r="G112" i="6"/>
  <c r="H112" i="6"/>
  <c r="I112" i="6"/>
  <c r="B113" i="6"/>
  <c r="E113" i="6"/>
  <c r="F113" i="6"/>
  <c r="G113" i="6"/>
  <c r="H113" i="6"/>
  <c r="I113" i="6"/>
  <c r="B114" i="6"/>
  <c r="E114" i="6"/>
  <c r="F114" i="6"/>
  <c r="G114" i="6"/>
  <c r="H114" i="6"/>
  <c r="I114" i="6"/>
  <c r="B115" i="6"/>
  <c r="E115" i="6"/>
  <c r="F115" i="6"/>
  <c r="G115" i="6"/>
  <c r="H115" i="6"/>
  <c r="I115" i="6"/>
  <c r="B116" i="6"/>
  <c r="E116" i="6"/>
  <c r="F116" i="6"/>
  <c r="G116" i="6"/>
  <c r="H116" i="6"/>
  <c r="I116" i="6"/>
  <c r="B117" i="6"/>
  <c r="E117" i="6"/>
  <c r="F117" i="6"/>
  <c r="G117" i="6"/>
  <c r="H117" i="6"/>
  <c r="I117" i="6"/>
  <c r="B118" i="6"/>
  <c r="E118" i="6"/>
  <c r="F118" i="6"/>
  <c r="G118" i="6"/>
  <c r="H118" i="6"/>
  <c r="I118" i="6"/>
  <c r="B119" i="6"/>
  <c r="E119" i="6"/>
  <c r="F119" i="6"/>
  <c r="G119" i="6"/>
  <c r="H119" i="6"/>
  <c r="I119" i="6"/>
  <c r="B120" i="6"/>
  <c r="E120" i="6"/>
  <c r="F120" i="6"/>
  <c r="G120" i="6"/>
  <c r="H120" i="6"/>
  <c r="I120" i="6"/>
  <c r="B121" i="6"/>
  <c r="E121" i="6"/>
  <c r="F121" i="6"/>
  <c r="G121" i="6"/>
  <c r="H121" i="6"/>
  <c r="I121" i="6"/>
  <c r="B122" i="6"/>
  <c r="E122" i="6"/>
  <c r="F122" i="6"/>
  <c r="G122" i="6"/>
  <c r="H122" i="6"/>
  <c r="I122" i="6"/>
  <c r="B123" i="6"/>
  <c r="E123" i="6"/>
  <c r="F123" i="6"/>
  <c r="G123" i="6"/>
  <c r="H123" i="6"/>
  <c r="I123" i="6"/>
  <c r="B124" i="6"/>
  <c r="E124" i="6"/>
  <c r="F124" i="6"/>
  <c r="G124" i="6"/>
  <c r="H124" i="6"/>
  <c r="I124" i="6"/>
  <c r="I84" i="6"/>
  <c r="H84" i="6"/>
  <c r="G84" i="6"/>
  <c r="F84" i="6"/>
  <c r="E84" i="6"/>
  <c r="B84" i="6"/>
  <c r="B44" i="1"/>
  <c r="C126" i="6" s="1"/>
  <c r="B43" i="1"/>
  <c r="C125" i="6" s="1"/>
  <c r="B46" i="1"/>
  <c r="C128" i="6" s="1"/>
  <c r="B45" i="1"/>
  <c r="C127" i="6" s="1"/>
  <c r="B29" i="1"/>
  <c r="C111" i="6" s="1"/>
  <c r="B30" i="1"/>
  <c r="C112" i="6" s="1"/>
  <c r="B27" i="1"/>
  <c r="C109" i="6" s="1"/>
  <c r="B22" i="1"/>
  <c r="C104" i="6" s="1"/>
  <c r="B23" i="1"/>
  <c r="C105" i="6" s="1"/>
  <c r="B14" i="1"/>
  <c r="C96" i="6" s="1"/>
  <c r="B16" i="1"/>
  <c r="C98" i="6" s="1"/>
  <c r="B42" i="1"/>
  <c r="C124" i="6" s="1"/>
  <c r="B41" i="1"/>
  <c r="C123" i="6" s="1"/>
  <c r="B40" i="1"/>
  <c r="C122" i="6" s="1"/>
  <c r="B39" i="1"/>
  <c r="C121" i="6" s="1"/>
  <c r="B38" i="1"/>
  <c r="C120" i="6" s="1"/>
  <c r="B37" i="1"/>
  <c r="C119" i="6" s="1"/>
  <c r="B36" i="1"/>
  <c r="C118" i="6" s="1"/>
  <c r="B35" i="1"/>
  <c r="C117" i="6" s="1"/>
  <c r="B34" i="1"/>
  <c r="C116" i="6" s="1"/>
  <c r="B33" i="1"/>
  <c r="C115" i="6" s="1"/>
  <c r="I8" i="8"/>
  <c r="I7" i="8"/>
  <c r="I6" i="8"/>
  <c r="I5" i="8"/>
  <c r="I4" i="8"/>
  <c r="B32" i="1"/>
  <c r="C114" i="6" s="1"/>
  <c r="B31" i="1"/>
  <c r="C113" i="6" s="1"/>
  <c r="N8" i="7"/>
  <c r="B28" i="1"/>
  <c r="C110" i="6" s="1"/>
  <c r="B26" i="1"/>
  <c r="C108" i="6" s="1"/>
  <c r="B25" i="1"/>
  <c r="C107" i="6" s="1"/>
  <c r="B19" i="1"/>
  <c r="C101" i="6" s="1"/>
  <c r="B24" i="1"/>
  <c r="C106" i="6" s="1"/>
  <c r="B21" i="1"/>
  <c r="C103" i="6" s="1"/>
  <c r="B20" i="1"/>
  <c r="C102" i="6" s="1"/>
  <c r="B18" i="1"/>
  <c r="C100" i="6" s="1"/>
  <c r="B15" i="1"/>
  <c r="C97" i="6" s="1"/>
  <c r="B17" i="1"/>
  <c r="C99" i="6" s="1"/>
  <c r="G6" i="3"/>
  <c r="B71" i="2"/>
  <c r="C71" i="2"/>
  <c r="B78" i="2"/>
  <c r="C78"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2" i="2"/>
  <c r="C73" i="2"/>
  <c r="C74" i="2"/>
  <c r="C75" i="2"/>
  <c r="C76" i="2"/>
  <c r="C77" i="2"/>
  <c r="C79" i="2"/>
  <c r="C80" i="2"/>
  <c r="C81" i="2"/>
  <c r="C82" i="2"/>
  <c r="C83" i="2"/>
  <c r="C84" i="2"/>
  <c r="C36" i="2"/>
  <c r="C3" i="2"/>
  <c r="B15" i="2"/>
  <c r="B12" i="2"/>
  <c r="B13" i="2"/>
  <c r="B10" i="2"/>
  <c r="B11" i="2"/>
  <c r="B9" i="2"/>
  <c r="B8" i="2"/>
  <c r="B5" i="2"/>
  <c r="B6" i="2"/>
  <c r="B4" i="2"/>
  <c r="B14" i="2"/>
  <c r="B32" i="2"/>
  <c r="B30" i="2"/>
  <c r="B31" i="2"/>
  <c r="B28" i="2"/>
  <c r="B29" i="2"/>
  <c r="B25" i="2"/>
  <c r="B26" i="2"/>
  <c r="B27" i="2"/>
  <c r="B23" i="2"/>
  <c r="B24" i="2"/>
  <c r="B22" i="2"/>
  <c r="B20" i="2"/>
  <c r="B21" i="2"/>
  <c r="B16" i="2"/>
  <c r="B17" i="2"/>
  <c r="B18" i="2"/>
  <c r="B51" i="2"/>
  <c r="B52" i="2"/>
  <c r="B46" i="2"/>
  <c r="B47" i="2"/>
  <c r="B48" i="2"/>
  <c r="B45" i="2"/>
  <c r="B43" i="2"/>
  <c r="B41" i="2"/>
  <c r="B42" i="2"/>
  <c r="B44" i="2"/>
  <c r="B40" i="2"/>
  <c r="B39" i="2"/>
  <c r="B38" i="2"/>
  <c r="B35" i="2"/>
  <c r="B33" i="2"/>
  <c r="B34" i="2"/>
  <c r="B37" i="2"/>
  <c r="B3" i="2"/>
  <c r="B73" i="2"/>
  <c r="B66" i="2"/>
  <c r="B65" i="2"/>
  <c r="B62" i="2"/>
  <c r="B63" i="2"/>
  <c r="B64" i="2"/>
  <c r="B59" i="2"/>
  <c r="B60" i="2"/>
  <c r="B57" i="2"/>
  <c r="B58" i="2"/>
  <c r="B55" i="2"/>
  <c r="B49" i="2"/>
  <c r="B53" i="2"/>
  <c r="B50" i="2"/>
  <c r="B7" i="2"/>
  <c r="B19" i="2"/>
  <c r="B83" i="2"/>
  <c r="B84" i="2"/>
  <c r="B80" i="2"/>
  <c r="B72" i="2"/>
  <c r="B69" i="2"/>
  <c r="B70" i="2"/>
  <c r="B67" i="2"/>
  <c r="B68" i="2"/>
  <c r="B61" i="2"/>
  <c r="B56" i="2"/>
  <c r="B54" i="2"/>
  <c r="F68" i="2"/>
  <c r="B82" i="2"/>
  <c r="B74" i="2"/>
  <c r="B76" i="2"/>
  <c r="B75" i="2"/>
  <c r="B77" i="2"/>
  <c r="B81" i="2"/>
  <c r="B36" i="2"/>
  <c r="B79" i="2"/>
  <c r="B3" i="1"/>
  <c r="C85" i="6" s="1"/>
  <c r="B4" i="1"/>
  <c r="C86" i="6" s="1"/>
  <c r="B5" i="1"/>
  <c r="C87" i="6" s="1"/>
  <c r="B6" i="1"/>
  <c r="C88" i="6" s="1"/>
  <c r="B7" i="1"/>
  <c r="C89" i="6" s="1"/>
  <c r="B8" i="1"/>
  <c r="C90" i="6" s="1"/>
  <c r="B9" i="1"/>
  <c r="C91" i="6" s="1"/>
  <c r="B10" i="1"/>
  <c r="C92" i="6" s="1"/>
  <c r="B11" i="1"/>
  <c r="C93" i="6" s="1"/>
  <c r="B12" i="1"/>
  <c r="C94" i="6" s="1"/>
  <c r="B13" i="1"/>
  <c r="C95" i="6" s="1"/>
  <c r="B2" i="1"/>
  <c r="C84" i="6" s="1"/>
  <c r="E992" i="16" l="1"/>
  <c r="E991" i="16"/>
  <c r="J15" i="17"/>
  <c r="E472" i="16"/>
  <c r="J18" i="17"/>
  <c r="E981" i="16"/>
  <c r="E964" i="16"/>
  <c r="E967" i="16" s="1"/>
  <c r="E952" i="16"/>
  <c r="E954" i="16" s="1"/>
  <c r="E956" i="16" s="1"/>
  <c r="E957" i="16" s="1"/>
  <c r="E940" i="16"/>
  <c r="E942" i="16" s="1"/>
  <c r="E944" i="16" s="1"/>
  <c r="E945" i="16" s="1"/>
  <c r="E927" i="16"/>
  <c r="E930" i="16" s="1"/>
  <c r="E902" i="16"/>
  <c r="E905" i="16" s="1"/>
  <c r="E915" i="16"/>
  <c r="E917" i="16" s="1"/>
  <c r="E919" i="16" s="1"/>
  <c r="E920" i="16" s="1"/>
  <c r="E878" i="16"/>
  <c r="E880" i="16" s="1"/>
  <c r="E882" i="16" s="1"/>
  <c r="E883" i="16" s="1"/>
  <c r="E890" i="16"/>
  <c r="E892" i="16" s="1"/>
  <c r="E894" i="16" s="1"/>
  <c r="E895" i="16" s="1"/>
  <c r="E866" i="16"/>
  <c r="E868" i="16" s="1"/>
  <c r="E870" i="16" s="1"/>
  <c r="E871" i="16" s="1"/>
  <c r="E793" i="16"/>
  <c r="E795" i="16" s="1"/>
  <c r="E797" i="16" s="1"/>
  <c r="E798" i="16" s="1"/>
  <c r="E852" i="16"/>
  <c r="E855" i="16" s="1"/>
  <c r="E857" i="16" s="1"/>
  <c r="E858" i="16" s="1"/>
  <c r="E7" i="16"/>
  <c r="B62" i="16"/>
  <c r="B63" i="16" s="1"/>
  <c r="E63" i="16" s="1"/>
  <c r="E781" i="16"/>
  <c r="E783" i="16" s="1"/>
  <c r="E769" i="16"/>
  <c r="E771" i="16" s="1"/>
  <c r="E773" i="16" s="1"/>
  <c r="E774" i="16" s="1"/>
  <c r="E757" i="16"/>
  <c r="E759" i="16" s="1"/>
  <c r="E695" i="16"/>
  <c r="E696" i="16" s="1"/>
  <c r="E722" i="16"/>
  <c r="E724" i="16" s="1"/>
  <c r="E726" i="16" s="1"/>
  <c r="E727" i="16" s="1"/>
  <c r="E733" i="16"/>
  <c r="E735" i="16" s="1"/>
  <c r="E737" i="16" s="1"/>
  <c r="E738" i="16" s="1"/>
  <c r="E745" i="16"/>
  <c r="E747" i="16" s="1"/>
  <c r="E749" i="16" s="1"/>
  <c r="E750" i="16" s="1"/>
  <c r="E707" i="16"/>
  <c r="E709" i="16" s="1"/>
  <c r="E682" i="16"/>
  <c r="E683" i="16" s="1"/>
  <c r="B74" i="16"/>
  <c r="B78" i="16"/>
  <c r="E78" i="16" s="1"/>
  <c r="E670" i="16"/>
  <c r="E669" i="16"/>
  <c r="E657" i="16"/>
  <c r="E656" i="16"/>
  <c r="G332" i="16"/>
  <c r="G337" i="16" s="1"/>
  <c r="G339" i="16" s="1"/>
  <c r="G340" i="16" s="1"/>
  <c r="G341" i="16" s="1"/>
  <c r="I332" i="16"/>
  <c r="I337" i="16" s="1"/>
  <c r="I339" i="16" s="1"/>
  <c r="I340" i="16" s="1"/>
  <c r="I341" i="16" s="1"/>
  <c r="H332" i="16"/>
  <c r="H337" i="16" s="1"/>
  <c r="H339" i="16" s="1"/>
  <c r="H340" i="16" s="1"/>
  <c r="H341" i="16" s="1"/>
  <c r="E114" i="16"/>
  <c r="E503" i="16"/>
  <c r="E504" i="16" s="1"/>
  <c r="E506" i="16" s="1"/>
  <c r="E507" i="16" s="1"/>
  <c r="E606" i="16"/>
  <c r="E617" i="16"/>
  <c r="E619" i="16" s="1"/>
  <c r="E621" i="16" s="1"/>
  <c r="E622" i="16" s="1"/>
  <c r="E605" i="16"/>
  <c r="E594" i="16"/>
  <c r="E581" i="16"/>
  <c r="E557" i="16"/>
  <c r="E580" i="16"/>
  <c r="E569" i="16"/>
  <c r="E593" i="16"/>
  <c r="E556" i="16"/>
  <c r="E558" i="16" s="1"/>
  <c r="E568" i="16"/>
  <c r="J29" i="17"/>
  <c r="E488" i="16"/>
  <c r="E490" i="16"/>
  <c r="E489" i="16"/>
  <c r="E476" i="16"/>
  <c r="E464" i="16"/>
  <c r="E475" i="16"/>
  <c r="E463" i="16"/>
  <c r="E451" i="16"/>
  <c r="E453" i="16" s="1"/>
  <c r="E412" i="16"/>
  <c r="E414" i="16" s="1"/>
  <c r="E377" i="16"/>
  <c r="E379" i="16" s="1"/>
  <c r="E381" i="16" s="1"/>
  <c r="E382" i="16" s="1"/>
  <c r="E365" i="16"/>
  <c r="E368" i="16" s="1"/>
  <c r="E370" i="16" s="1"/>
  <c r="E371" i="16" s="1"/>
  <c r="G347" i="16"/>
  <c r="G348" i="16" s="1"/>
  <c r="G350" i="16" s="1"/>
  <c r="G351" i="16" s="1"/>
  <c r="G352" i="16" s="1"/>
  <c r="I347" i="16"/>
  <c r="I348" i="16" s="1"/>
  <c r="I350" i="16" s="1"/>
  <c r="I351" i="16" s="1"/>
  <c r="I352" i="16" s="1"/>
  <c r="H347" i="16"/>
  <c r="H348" i="16" s="1"/>
  <c r="H350" i="16" s="1"/>
  <c r="H351" i="16" s="1"/>
  <c r="H352" i="16" s="1"/>
  <c r="E306" i="16"/>
  <c r="E309" i="16" s="1"/>
  <c r="E311" i="16" s="1"/>
  <c r="E312" i="16" s="1"/>
  <c r="E260" i="16"/>
  <c r="E259" i="16"/>
  <c r="E270" i="16"/>
  <c r="E272" i="16" s="1"/>
  <c r="E274" i="16" s="1"/>
  <c r="E275" i="16" s="1"/>
  <c r="E237" i="16"/>
  <c r="E239" i="16" s="1"/>
  <c r="E241" i="16" s="1"/>
  <c r="E242" i="16" s="1"/>
  <c r="E248" i="16"/>
  <c r="E250" i="16" s="1"/>
  <c r="E252" i="16" s="1"/>
  <c r="E253" i="16" s="1"/>
  <c r="E226" i="16"/>
  <c r="E228" i="16" s="1"/>
  <c r="E230" i="16" s="1"/>
  <c r="E231" i="16" s="1"/>
  <c r="E180" i="16"/>
  <c r="E143" i="16"/>
  <c r="E145" i="16" s="1"/>
  <c r="E146" i="16" s="1"/>
  <c r="E168" i="16"/>
  <c r="E170" i="16" s="1"/>
  <c r="E126" i="16"/>
  <c r="E128" i="16" s="1"/>
  <c r="E130" i="16" s="1"/>
  <c r="E131" i="16" s="1"/>
  <c r="E89" i="16"/>
  <c r="E91" i="16" s="1"/>
  <c r="E93" i="16" s="1"/>
  <c r="E21" i="16"/>
  <c r="E31" i="16"/>
  <c r="I26" i="15"/>
  <c r="I1" i="15" s="1"/>
  <c r="I3" i="15" s="1"/>
  <c r="I6" i="15" s="1"/>
  <c r="J8" i="15" s="1"/>
  <c r="J25" i="17"/>
  <c r="J17" i="17"/>
  <c r="J27" i="17"/>
  <c r="J35" i="17"/>
  <c r="N12" i="17"/>
  <c r="J23" i="17"/>
  <c r="J13" i="17"/>
  <c r="J33" i="17"/>
  <c r="J12" i="17"/>
  <c r="J31" i="17"/>
  <c r="B54" i="16"/>
  <c r="E54" i="16" s="1"/>
  <c r="B50" i="16"/>
  <c r="E50" i="16" s="1"/>
  <c r="E297" i="16"/>
  <c r="E299" i="16" s="1"/>
  <c r="M18" i="17"/>
  <c r="N18" i="17" s="1"/>
  <c r="J34" i="17"/>
  <c r="J30" i="17"/>
  <c r="J26" i="17"/>
  <c r="N24" i="17"/>
  <c r="J22" i="17"/>
  <c r="J14" i="17"/>
  <c r="L11" i="17"/>
  <c r="N11" i="17" s="1"/>
  <c r="J21" i="17"/>
  <c r="J19" i="17"/>
  <c r="N33" i="17"/>
  <c r="N29" i="17"/>
  <c r="N21" i="17"/>
  <c r="N13" i="17"/>
  <c r="J36" i="17"/>
  <c r="L36" i="17"/>
  <c r="N36" i="17" s="1"/>
  <c r="L28" i="17"/>
  <c r="N28" i="17" s="1"/>
  <c r="J28" i="17"/>
  <c r="N27" i="17"/>
  <c r="N35" i="17"/>
  <c r="L34" i="17"/>
  <c r="N34" i="17" s="1"/>
  <c r="I39" i="17"/>
  <c r="N25" i="17"/>
  <c r="N17" i="17"/>
  <c r="L14" i="17"/>
  <c r="N14" i="17" s="1"/>
  <c r="L22" i="17"/>
  <c r="N22" i="17" s="1"/>
  <c r="L30" i="17"/>
  <c r="N30" i="17" s="1"/>
  <c r="L32" i="17"/>
  <c r="N32" i="17" s="1"/>
  <c r="J32" i="17"/>
  <c r="J20" i="17"/>
  <c r="L20" i="17"/>
  <c r="N20" i="17" s="1"/>
  <c r="L16" i="17"/>
  <c r="N16" i="17" s="1"/>
  <c r="J16" i="17"/>
  <c r="L26" i="17"/>
  <c r="N26" i="17" s="1"/>
  <c r="L216" i="13"/>
  <c r="J24" i="17"/>
  <c r="N15" i="17"/>
  <c r="N23" i="17"/>
  <c r="N31" i="17"/>
  <c r="M19" i="17"/>
  <c r="N19" i="17" s="1"/>
  <c r="B41" i="16"/>
  <c r="E41" i="16" s="1"/>
  <c r="E993" i="16" l="1"/>
  <c r="F993" i="16" s="1"/>
  <c r="E300" i="16"/>
  <c r="F300" i="16"/>
  <c r="E969" i="16"/>
  <c r="E970" i="16" s="1"/>
  <c r="F967" i="16"/>
  <c r="E659" i="16"/>
  <c r="E661" i="16" s="1"/>
  <c r="E662" i="16" s="1"/>
  <c r="E932" i="16"/>
  <c r="E933" i="16" s="1"/>
  <c r="F930" i="16"/>
  <c r="E983" i="16"/>
  <c r="E984" i="16" s="1"/>
  <c r="F981" i="16"/>
  <c r="F905" i="16"/>
  <c r="E907" i="16"/>
  <c r="E908" i="16" s="1"/>
  <c r="F795" i="16"/>
  <c r="E62" i="16"/>
  <c r="B65" i="16"/>
  <c r="E65" i="16" s="1"/>
  <c r="E671" i="16"/>
  <c r="F671" i="16" s="1"/>
  <c r="F683" i="16"/>
  <c r="E685" i="16"/>
  <c r="E686" i="16" s="1"/>
  <c r="F783" i="16"/>
  <c r="E785" i="16"/>
  <c r="E786" i="16" s="1"/>
  <c r="E761" i="16"/>
  <c r="E762" i="16" s="1"/>
  <c r="F759" i="16"/>
  <c r="F709" i="16"/>
  <c r="E711" i="16"/>
  <c r="E712" i="16" s="1"/>
  <c r="E698" i="16"/>
  <c r="E699" i="16" s="1"/>
  <c r="F696" i="16"/>
  <c r="E595" i="16"/>
  <c r="E597" i="16" s="1"/>
  <c r="E598" i="16" s="1"/>
  <c r="E673" i="16"/>
  <c r="E674" i="16" s="1"/>
  <c r="E570" i="16"/>
  <c r="F570" i="16" s="1"/>
  <c r="E560" i="16"/>
  <c r="E561" i="16" s="1"/>
  <c r="F558" i="16"/>
  <c r="E582" i="16"/>
  <c r="E607" i="16"/>
  <c r="E493" i="16"/>
  <c r="F489" i="16" s="1"/>
  <c r="F415" i="16"/>
  <c r="E416" i="16"/>
  <c r="E417" i="16" s="1"/>
  <c r="E477" i="16"/>
  <c r="F454" i="16"/>
  <c r="E455" i="16"/>
  <c r="E465" i="16"/>
  <c r="B75" i="16"/>
  <c r="E75" i="16" s="1"/>
  <c r="E74" i="16"/>
  <c r="B53" i="16"/>
  <c r="E53" i="16" s="1"/>
  <c r="B51" i="16"/>
  <c r="E51" i="16" s="1"/>
  <c r="J39" i="17"/>
  <c r="J41" i="17" s="1"/>
  <c r="B77" i="16"/>
  <c r="E77" i="16" s="1"/>
  <c r="E262" i="16"/>
  <c r="E264" i="16" s="1"/>
  <c r="E265" i="16" s="1"/>
  <c r="N39" i="17"/>
  <c r="E172" i="16"/>
  <c r="E173" i="16" s="1"/>
  <c r="F170" i="16"/>
  <c r="E183" i="16"/>
  <c r="E94" i="16"/>
  <c r="E44" i="16"/>
  <c r="E46" i="16" s="1"/>
  <c r="E22" i="16"/>
  <c r="E11" i="16"/>
  <c r="E117" i="16"/>
  <c r="E32" i="16"/>
  <c r="E995" i="16" l="1"/>
  <c r="E996" i="16" s="1"/>
  <c r="E67" i="16"/>
  <c r="E69" i="16" s="1"/>
  <c r="E70" i="16" s="1"/>
  <c r="F595" i="16"/>
  <c r="E572" i="16"/>
  <c r="E573" i="16" s="1"/>
  <c r="E495" i="16"/>
  <c r="E496" i="16" s="1"/>
  <c r="F417" i="16"/>
  <c r="E609" i="16"/>
  <c r="E610" i="16" s="1"/>
  <c r="F607" i="16"/>
  <c r="E584" i="16"/>
  <c r="E585" i="16" s="1"/>
  <c r="F582" i="16"/>
  <c r="F477" i="16"/>
  <c r="E479" i="16"/>
  <c r="E480" i="16" s="1"/>
  <c r="E456" i="16"/>
  <c r="F456" i="16"/>
  <c r="E467" i="16"/>
  <c r="F466" i="16"/>
  <c r="E56" i="16"/>
  <c r="F22" i="16"/>
  <c r="E24" i="16"/>
  <c r="E25" i="16" s="1"/>
  <c r="E79" i="16"/>
  <c r="E81" i="16" s="1"/>
  <c r="E82" i="16" s="1"/>
  <c r="E185" i="16"/>
  <c r="E186" i="16" s="1"/>
  <c r="F183" i="16"/>
  <c r="F44" i="16"/>
  <c r="F11" i="16"/>
  <c r="E13" i="16"/>
  <c r="E14" i="16" s="1"/>
  <c r="F32" i="16"/>
  <c r="E34" i="16"/>
  <c r="E35" i="16" s="1"/>
  <c r="F117" i="16"/>
  <c r="E119" i="16"/>
  <c r="F67" i="16" l="1"/>
  <c r="E468" i="16"/>
  <c r="F468" i="16"/>
  <c r="F55" i="16"/>
  <c r="E58" i="16"/>
  <c r="E59" i="16" s="1"/>
</calcChain>
</file>

<file path=xl/sharedStrings.xml><?xml version="1.0" encoding="utf-8"?>
<sst xmlns="http://schemas.openxmlformats.org/spreadsheetml/2006/main" count="17164" uniqueCount="4095">
  <si>
    <t>Date</t>
  </si>
  <si>
    <t>Exp</t>
  </si>
  <si>
    <t>Amount</t>
  </si>
  <si>
    <t>Type</t>
  </si>
  <si>
    <t>Medicine</t>
  </si>
  <si>
    <t>Cash</t>
  </si>
  <si>
    <t>Card</t>
  </si>
  <si>
    <t>Procedure</t>
  </si>
  <si>
    <t>Hysteroscopy</t>
  </si>
  <si>
    <t>Blood test</t>
  </si>
  <si>
    <t>Payment type</t>
  </si>
  <si>
    <t>Consult</t>
  </si>
  <si>
    <t>DH</t>
  </si>
  <si>
    <t>Me</t>
  </si>
  <si>
    <t>SA</t>
  </si>
  <si>
    <t>Scan</t>
  </si>
  <si>
    <t>Registration</t>
  </si>
  <si>
    <t>Sum of Amount</t>
  </si>
  <si>
    <t>Grand Total</t>
  </si>
  <si>
    <t>Month</t>
  </si>
  <si>
    <t>Jan</t>
  </si>
  <si>
    <t>Feb</t>
  </si>
  <si>
    <t>Mar</t>
  </si>
  <si>
    <t>Apr</t>
  </si>
  <si>
    <t>May</t>
  </si>
  <si>
    <t>Jun</t>
  </si>
  <si>
    <t>Jul</t>
  </si>
  <si>
    <t>Aug</t>
  </si>
  <si>
    <t>Sep</t>
  </si>
  <si>
    <t>Oct</t>
  </si>
  <si>
    <t>Nov</t>
  </si>
  <si>
    <t>Dec</t>
  </si>
  <si>
    <t>Comment</t>
  </si>
  <si>
    <t>Injection</t>
  </si>
  <si>
    <t>UP test</t>
  </si>
  <si>
    <t>FET</t>
  </si>
  <si>
    <t>FET medicine</t>
  </si>
  <si>
    <t>IUI</t>
  </si>
  <si>
    <t>Koragon 5000</t>
  </si>
  <si>
    <t>HCG</t>
  </si>
  <si>
    <t>Sifasi 10000</t>
  </si>
  <si>
    <t>HCG 5000</t>
  </si>
  <si>
    <t>ULHS</t>
  </si>
  <si>
    <t>Pregnil 5000</t>
  </si>
  <si>
    <t>Year</t>
  </si>
  <si>
    <t>2011 Total</t>
  </si>
  <si>
    <t>2012 Total</t>
  </si>
  <si>
    <t>IVF</t>
  </si>
  <si>
    <t>Amma</t>
  </si>
  <si>
    <t>LIC</t>
  </si>
  <si>
    <t>Achan</t>
  </si>
  <si>
    <t>Online</t>
  </si>
  <si>
    <t>Cyst aspiration</t>
  </si>
  <si>
    <t>Source</t>
  </si>
  <si>
    <t>GIFT</t>
  </si>
  <si>
    <t>Manipal</t>
  </si>
  <si>
    <t>Original Exp</t>
  </si>
  <si>
    <t>Progesterone</t>
  </si>
  <si>
    <t>GIFT Total</t>
  </si>
  <si>
    <t>Manipal Total</t>
  </si>
  <si>
    <t>From Medicine House</t>
  </si>
  <si>
    <t>Additional comment</t>
  </si>
  <si>
    <t>From Fame Balaji</t>
  </si>
  <si>
    <t>IVF cycle</t>
  </si>
  <si>
    <t>Cycle started 11 pm</t>
  </si>
  <si>
    <t>Auto</t>
  </si>
  <si>
    <t>Gonal F 225</t>
  </si>
  <si>
    <t>Went for first scan after doogesh left for work. 3 follicles in right &amp; 8 in left. Did mock transfer also. Flow less. Bina &amp; Manju dr said cycle can start tmrw</t>
  </si>
  <si>
    <t>Injection 225 daily</t>
  </si>
  <si>
    <t>IVF Medicine</t>
  </si>
  <si>
    <t>27 Feb to 19 Mar</t>
  </si>
  <si>
    <t>Details</t>
  </si>
  <si>
    <t>Low flow (1 in day)</t>
  </si>
  <si>
    <t>Gonal F 300. Pending dose</t>
  </si>
  <si>
    <t>First scan. Gud response in left ovary (abt 8 or 9). Not so much in right (1 or 2). Did pre anaestesia check for both of us.</t>
  </si>
  <si>
    <t>Gonal F 225. Ovurelix 0.25</t>
  </si>
  <si>
    <t>2 Injections on stomach</t>
  </si>
  <si>
    <t>One injection on stomach</t>
  </si>
  <si>
    <t>Complete blood count</t>
  </si>
  <si>
    <t>Estradiol (package)</t>
  </si>
  <si>
    <t>Part of pre anaestesia check</t>
  </si>
  <si>
    <t>(All)</t>
  </si>
  <si>
    <t>IVF Medicine Total</t>
  </si>
  <si>
    <t>IVF Blood test</t>
  </si>
  <si>
    <t>IVF Registration</t>
  </si>
  <si>
    <t>Location</t>
  </si>
  <si>
    <t>Stomach</t>
  </si>
  <si>
    <t>Stomach/ hip</t>
  </si>
  <si>
    <t>(blank)</t>
  </si>
  <si>
    <t>IVF Blood test Total</t>
  </si>
  <si>
    <t>IVF Registration Total</t>
  </si>
  <si>
    <t>Vasan</t>
  </si>
  <si>
    <t>Bina</t>
  </si>
  <si>
    <t>Manju</t>
  </si>
  <si>
    <t>Biochemistry</t>
  </si>
  <si>
    <t>Temp cryo freezing and DFI for a month</t>
  </si>
  <si>
    <t>DFI</t>
  </si>
  <si>
    <t>Medicine count</t>
  </si>
  <si>
    <t xml:space="preserve">Cytolog 200 mcg tablet </t>
  </si>
  <si>
    <t xml:space="preserve">Azithral 500 mg tablet </t>
  </si>
  <si>
    <t xml:space="preserve">Ovurelix 0.25 mg </t>
  </si>
  <si>
    <t xml:space="preserve">Syringe </t>
  </si>
  <si>
    <t xml:space="preserve">Persinal-HP 75 IU </t>
  </si>
  <si>
    <t xml:space="preserve">Gonal F 300 IU </t>
  </si>
  <si>
    <t xml:space="preserve">Wysolone 5 mg disp tablet </t>
  </si>
  <si>
    <t xml:space="preserve">Metrogyl 400 mg tablet </t>
  </si>
  <si>
    <t xml:space="preserve">Maxoza-L sachet </t>
  </si>
  <si>
    <t xml:space="preserve">Paternia tablet </t>
  </si>
  <si>
    <t xml:space="preserve">Primolut-N 5 mg tablet </t>
  </si>
  <si>
    <t xml:space="preserve">Novelon 5 mg </t>
  </si>
  <si>
    <t xml:space="preserve">Penegra 25 mg </t>
  </si>
  <si>
    <t>Values</t>
  </si>
  <si>
    <t>Sum of Medicine count</t>
  </si>
  <si>
    <t>Novelon guliga. Pill</t>
  </si>
  <si>
    <t>Sunday</t>
  </si>
  <si>
    <t>Monday</t>
  </si>
  <si>
    <t>Tuesday</t>
  </si>
  <si>
    <t>Wednesday</t>
  </si>
  <si>
    <t>Thursday</t>
  </si>
  <si>
    <t>Friday</t>
  </si>
  <si>
    <t>Saturday</t>
  </si>
  <si>
    <t>Second scan. Blood test for Estradiol - 1540 pg/mL (included in IVF package) and progesterone - 0.57 ng/ml. 3 injections. Persinal on hip painful.</t>
  </si>
  <si>
    <t>3 injections. Persinal on hip painful.</t>
  </si>
  <si>
    <t>Weekday</t>
  </si>
  <si>
    <t>Day 1</t>
  </si>
  <si>
    <t>Day 2</t>
  </si>
  <si>
    <t>Day 3</t>
  </si>
  <si>
    <t>Day 4</t>
  </si>
  <si>
    <t>Day 5</t>
  </si>
  <si>
    <t>Day 6</t>
  </si>
  <si>
    <t>Day 7</t>
  </si>
  <si>
    <t>Day 8</t>
  </si>
  <si>
    <t>Day 9</t>
  </si>
  <si>
    <t>Day 10</t>
  </si>
  <si>
    <t>Day 11</t>
  </si>
  <si>
    <t>Progesterone levels during the menstrual cycle1</t>
  </si>
  <si>
    <t>Days 1-14:</t>
  </si>
  <si>
    <t>Days 15-28:</t>
  </si>
  <si>
    <t>2-25 ng/mL or 6.4-79.5 nmol/L</t>
  </si>
  <si>
    <t>Progesterone levels during pregnancy1</t>
  </si>
  <si>
    <t>10-44 ng/mL or 32.6-140 nmol/L</t>
  </si>
  <si>
    <t>2nd trimester:</t>
  </si>
  <si>
    <t>19.5-82.5 ng/mL or 62-262 nmol/L</t>
  </si>
  <si>
    <t>3rd trimester:</t>
  </si>
  <si>
    <t>65-290 ng/mL or 206.7-728 nmol/L</t>
  </si>
  <si>
    <t>1st trimester:</t>
  </si>
  <si>
    <t>Less than 1 nanogram per milliliter (ng/mL) or 0.5 - 2.3 nanomoles per liter (nmol/L)</t>
  </si>
  <si>
    <t>Gonal F 150. Ovurelix 0.25. Persinal 75</t>
  </si>
  <si>
    <t>Day 12</t>
  </si>
  <si>
    <t>Ovitrelle 250 mg at 10.45 pm</t>
  </si>
  <si>
    <t>Injection at night.</t>
  </si>
  <si>
    <t>Day 13</t>
  </si>
  <si>
    <t>Day 14</t>
  </si>
  <si>
    <t>Day 15</t>
  </si>
  <si>
    <t>Day 16</t>
  </si>
  <si>
    <t>Day 17</t>
  </si>
  <si>
    <t>Day 18</t>
  </si>
  <si>
    <t>Day 19</t>
  </si>
  <si>
    <t>Day 20</t>
  </si>
  <si>
    <t>Gestone 100 mg</t>
  </si>
  <si>
    <t>Hip</t>
  </si>
  <si>
    <t>Ovitrelle 250 mcg</t>
  </si>
  <si>
    <t>IVF TESA</t>
  </si>
  <si>
    <t>Proxyon tablet</t>
  </si>
  <si>
    <t>Oframax 1 gm 6500 IU</t>
  </si>
  <si>
    <t>Ciplox 500 mg tablet</t>
  </si>
  <si>
    <t>IVF Egg retrieval</t>
  </si>
  <si>
    <t>Tiniden 800 mg</t>
  </si>
  <si>
    <t>Progynova 2 mg tablet</t>
  </si>
  <si>
    <t>Dolo 650 mg</t>
  </si>
  <si>
    <t>Susten 400 mg capsule</t>
  </si>
  <si>
    <t>IVF Egg retrieval Total</t>
  </si>
  <si>
    <t>TESA</t>
  </si>
  <si>
    <t>Gonal F 75. Ovurelix 0.25. Persinal 75.</t>
  </si>
  <si>
    <t>Third scan. Blood test for Estradiol - 2455 pg/mL (included in IVF package) and progesterone - 0.89 ng/ml. Went back in afternoon at 12.30 pm after receipt of test results for injection.</t>
  </si>
  <si>
    <t>Injection at 10.30 am from GG Hospital. Very painful. Left bruise. Sharan called in evening; said tranfer on Monday. To be there by 8.30 am. Take Gestone and Susten along.</t>
  </si>
  <si>
    <t>Egg retrieval. With Sandeep. Doogesh did Tesa which was confirmed at 8. His over by 9.30am. Mine over by 11.30 am. Issue with transfer to deluxe room only at 2.30 pm. 5 follicles of which 4 good. Got Gestone injection after procedure. Left hospital at 4 pm. Started Progynova from afternoon dose</t>
  </si>
  <si>
    <t>Injection at 10.30 am from Manipal Hospital.</t>
  </si>
  <si>
    <t>IVF Embryo transfer</t>
  </si>
  <si>
    <t>Embryo transfer. There at 8.30 am. Transfer on full bladder. Injections as well as Susten 400 mg. Transfer over by 11.15 am. Moved to room by 11.45 and left by 4.15 pm</t>
  </si>
  <si>
    <t>Gestone 100 mg. Susten 400 mg. Fertigyn-HP 2000 IU</t>
  </si>
  <si>
    <t>Fertigyn-HP 2000 IU</t>
  </si>
  <si>
    <t>Duphaston 10 mg tablet</t>
  </si>
  <si>
    <t>ASA 50 mg tablet</t>
  </si>
  <si>
    <t>MCBM-69 tablet</t>
  </si>
  <si>
    <t>Delayed release aspirin</t>
  </si>
  <si>
    <t>Folic acid</t>
  </si>
  <si>
    <t>IVF Embryo transfer Total</t>
  </si>
  <si>
    <t>Day 21</t>
  </si>
  <si>
    <t>Day 22</t>
  </si>
  <si>
    <t>Day 23</t>
  </si>
  <si>
    <t>Day 24</t>
  </si>
  <si>
    <t>Day 25</t>
  </si>
  <si>
    <t>Day 26</t>
  </si>
  <si>
    <t>Day 27</t>
  </si>
  <si>
    <t>Day 28</t>
  </si>
  <si>
    <t>Day 29</t>
  </si>
  <si>
    <t>Day 30</t>
  </si>
  <si>
    <t>Gestone 100 mg. Fertigyn-HP 2000 IU</t>
  </si>
  <si>
    <t xml:space="preserve">Gestone 100 mg. </t>
  </si>
  <si>
    <t>IVF 8th floor deluxe</t>
  </si>
  <si>
    <t>Free</t>
  </si>
  <si>
    <t>Part of package</t>
  </si>
  <si>
    <t>Admission charges</t>
  </si>
  <si>
    <t>Bed charges</t>
  </si>
  <si>
    <t>Luxury tax</t>
  </si>
  <si>
    <t>Service nursing charges</t>
  </si>
  <si>
    <t>Injection at 10.30 am from Manipal Hospital. Went to IVF. Asked Manju abt cramps. She said its normal and to drink lots of water.</t>
  </si>
  <si>
    <t>Augmentin 625 mg</t>
  </si>
  <si>
    <t>Voveran 100 mg</t>
  </si>
  <si>
    <t>Injections at 11.30 am from Manipal Hospital from injection room. Charged 70 per injection</t>
  </si>
  <si>
    <t>No Ratna. Marymma mopped and washed dishes</t>
  </si>
  <si>
    <t>Maryma mopped ocz ratna not well</t>
  </si>
  <si>
    <t>Bought Doogesh painkiller and antibiotic.</t>
  </si>
  <si>
    <t>Injection at 10.30 am from Manipal Hospital from injection room</t>
  </si>
  <si>
    <t>15 days</t>
  </si>
  <si>
    <t>10 days</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</si>
  <si>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</si>
  <si>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</si>
  <si>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</si>
  <si>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</si>
  <si>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</si>
  <si>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</si>
  <si>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</si>
  <si>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</si>
  <si>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</si>
  <si>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</si>
  <si>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</si>
  <si>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</si>
  <si>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</si>
  <si>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</si>
  <si>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</si>
  <si>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</si>
  <si>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</si>
  <si>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</si>
  <si>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</si>
  <si>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Ammamma</t>
  </si>
  <si>
    <t>Day 50</t>
  </si>
  <si>
    <t>Day 51</t>
  </si>
  <si>
    <t>Day 52</t>
  </si>
  <si>
    <t>Day 53</t>
  </si>
  <si>
    <t>Day 54</t>
  </si>
  <si>
    <t>Day 55</t>
  </si>
  <si>
    <t>Day 56</t>
  </si>
  <si>
    <t>B HCG blood test at 7.30 am. HCG at 136.7 :D</t>
  </si>
  <si>
    <t>B HCG blood test at 7.30 am. HCG at 371. Met Bina</t>
  </si>
  <si>
    <t>B HCG blood test at 7.30 am. HCG at 1028.</t>
  </si>
  <si>
    <t>B HCG blood test at 7.30 am. HCG at 2138.</t>
  </si>
  <si>
    <t>Scan at 11 am. Nothing on scan. Amma came</t>
  </si>
  <si>
    <t>Scan with Supriya. Ectopic confirmed. Admitted. First methotextrate inj</t>
  </si>
  <si>
    <t>Second methotextrate inj</t>
  </si>
  <si>
    <t>Third methotextrate inj</t>
  </si>
  <si>
    <t>Fourth methotextrate inj into stomach.</t>
  </si>
  <si>
    <t>Went to Trichur with Amma</t>
  </si>
  <si>
    <t>Back in Bangalore</t>
  </si>
  <si>
    <t>Bleeding stopped</t>
  </si>
  <si>
    <t>Laproscopy. Bleeding started. Put catheter. Peeing so slow after procedure. Every hour for 20 min. Ok by sat morning.</t>
  </si>
  <si>
    <t>Discharged. Gave me bath on Sat morning. Home by 12.30pm!</t>
  </si>
  <si>
    <t>Account Branch :AIRPORT ROAD</t>
  </si>
  <si>
    <t>MS.     GAYATHRI VIJAYARAGHAVAN</t>
  </si>
  <si>
    <t>Address :GOLDEN TOWER</t>
  </si>
  <si>
    <t>FLAT NO 202 NO 151 SUNNY GALENA</t>
  </si>
  <si>
    <t>AIRPORT ROAD</t>
  </si>
  <si>
    <t>4TH MAIN DEFENCE COLONY</t>
  </si>
  <si>
    <t>KODIHALI,</t>
  </si>
  <si>
    <t>INDIRA NAGAR</t>
  </si>
  <si>
    <t>City :BANGALORE 560017</t>
  </si>
  <si>
    <t>BANGALORE 560038</t>
  </si>
  <si>
    <t>State :KARNATAKA</t>
  </si>
  <si>
    <t>KARNATAKA India</t>
  </si>
  <si>
    <t>Phone no. :India</t>
  </si>
  <si>
    <t>Email :gayathri_v_1@rediffmail.com</t>
  </si>
  <si>
    <t>JOINT HOLDERS :</t>
  </si>
  <si>
    <t>OD Limit :0.00   Currency :INR</t>
  </si>
  <si>
    <t>Cust ID :21316783</t>
  </si>
  <si>
    <t>Nomination  :  Not Registered</t>
  </si>
  <si>
    <t>Account No :00751610037069     OTHER</t>
  </si>
  <si>
    <t>Statement From  :  01/04/2012         To  :  31/03/2013</t>
  </si>
  <si>
    <t>A/C Open Date :27/02/2007</t>
  </si>
  <si>
    <t>Account Status :Regular</t>
  </si>
  <si>
    <t>RTGS/NEFT IFSC :HDFC0000075   MICR :560240005</t>
  </si>
  <si>
    <t>Narration</t>
  </si>
  <si>
    <t>Chq./Ref.No.</t>
  </si>
  <si>
    <t>Value Dt</t>
  </si>
  <si>
    <t>Withdrawal Amt.</t>
  </si>
  <si>
    <t>Deposit Amt.</t>
  </si>
  <si>
    <t>Closing Balance</t>
  </si>
  <si>
    <t>ATM BILLPAY-MOBILE-9900724457</t>
  </si>
  <si>
    <t>0000000000007513</t>
  </si>
  <si>
    <t>ATW-4386242503541819   -100 FT RD BR2</t>
  </si>
  <si>
    <t>0000000000007514</t>
  </si>
  <si>
    <t>Chq Paid-MICR INW CL-DEWRA</t>
  </si>
  <si>
    <t>0000000000484604</t>
  </si>
  <si>
    <t>Chq Paid-MICR INW CL-GAKRA APARTMNET OWN</t>
  </si>
  <si>
    <t>0000000000484605</t>
  </si>
  <si>
    <t>POS 4386242503541819    GIFT FERTILITY P</t>
  </si>
  <si>
    <t>0000000000000426</t>
  </si>
  <si>
    <t>0000000000008186</t>
  </si>
  <si>
    <t>0000000000000443</t>
  </si>
  <si>
    <t>ATW-4386242503541819   -100 FT RD BR</t>
  </si>
  <si>
    <t>0000000000007053</t>
  </si>
  <si>
    <t>JPMCSALARYFORTHEMONTHOFAPRIL2012XXXXXXXX</t>
  </si>
  <si>
    <t>0000206692701026</t>
  </si>
  <si>
    <t>NWD-4386242503541819   -BANGALORE</t>
  </si>
  <si>
    <t>0000000000005784</t>
  </si>
  <si>
    <t>POS 4386242503541819    M K RETAIL COMPA</t>
  </si>
  <si>
    <t>0000211908313861</t>
  </si>
  <si>
    <t>0000000000003230</t>
  </si>
  <si>
    <t>0000000000000552</t>
  </si>
  <si>
    <t>POS 4386242503541819    STYLE STITCH DEB</t>
  </si>
  <si>
    <t>0000213306050480</t>
  </si>
  <si>
    <t>MHDF2736390258/IBIBO.COM</t>
  </si>
  <si>
    <t>0000000512142154</t>
  </si>
  <si>
    <t>00571000117228-TPT-Amma</t>
  </si>
  <si>
    <t>00000610334871A1</t>
  </si>
  <si>
    <t>0000000000003261</t>
  </si>
  <si>
    <t>00000645136271A1</t>
  </si>
  <si>
    <t>Chq Paid-MICR INW CL-D K WATERS</t>
  </si>
  <si>
    <t>0000000000484606</t>
  </si>
  <si>
    <t>0000000000000024</t>
  </si>
  <si>
    <t>JPMCSALARYFORTHEMONTHOFMAY2012XXXXXXXXXX</t>
  </si>
  <si>
    <t>0000214404701016</t>
  </si>
  <si>
    <t>0000000000001670</t>
  </si>
  <si>
    <t>0000000000003852</t>
  </si>
  <si>
    <t>0000000000000137</t>
  </si>
  <si>
    <t>POS 4386242503541819    STREISAND DEBIT</t>
  </si>
  <si>
    <t>0000216207010867</t>
  </si>
  <si>
    <t>POS 4386242503541819    PANTALOON. POS D</t>
  </si>
  <si>
    <t>0000000000008377</t>
  </si>
  <si>
    <t>POS 4386242503541819    FRESH N FRESH DE</t>
  </si>
  <si>
    <t>0000216207637156</t>
  </si>
  <si>
    <t>NEFT DR-0075F12163000755-Rakesh ICICI</t>
  </si>
  <si>
    <t>00000ICIC0000047</t>
  </si>
  <si>
    <t>0611201216041675147/ONLINE PREPAID REFIL</t>
  </si>
  <si>
    <t>0000000611160545</t>
  </si>
  <si>
    <t>NEFT DR-0075F12167000172-Rakesh ICICI</t>
  </si>
  <si>
    <t>MHDF2755054430/BOOKMYSHOW COM</t>
  </si>
  <si>
    <t>0000000615222412</t>
  </si>
  <si>
    <t>POS 4386242503541819    HEALTH &amp; GLOW GA</t>
  </si>
  <si>
    <t>0000216808390414</t>
  </si>
  <si>
    <t>0000000000008730</t>
  </si>
  <si>
    <t>0000000000008732</t>
  </si>
  <si>
    <t>POS 4386242503541819    WOOD STOC POS DE</t>
  </si>
  <si>
    <t>0000000000000714</t>
  </si>
  <si>
    <t>POS 4386242503541819    NEW FROSTYS COLD</t>
  </si>
  <si>
    <t>0000217013090154</t>
  </si>
  <si>
    <t>POS 4386242503541819    M.K.RETAIL COMPA</t>
  </si>
  <si>
    <t>0000217013192251</t>
  </si>
  <si>
    <t>POS 4386242503541819    M K ASSOCIATES P</t>
  </si>
  <si>
    <t>0000000000007506</t>
  </si>
  <si>
    <t>0000000000008264</t>
  </si>
  <si>
    <t>0000000000000272</t>
  </si>
  <si>
    <t>44780206/TECH MAKE MY TRIP</t>
  </si>
  <si>
    <t>0000000627150426</t>
  </si>
  <si>
    <t>JPMCSALARYFORTHEMONTHOFJUNE2012XXXXXXXXX</t>
  </si>
  <si>
    <t>0000222155601009</t>
  </si>
  <si>
    <t>0000000000000292</t>
  </si>
  <si>
    <t>01331140009332-TPT-Bday lunch</t>
  </si>
  <si>
    <t>00000790639353A1</t>
  </si>
  <si>
    <t>CCA12GKYL578/Avenues India Ltd</t>
  </si>
  <si>
    <t>0000000709155238</t>
  </si>
  <si>
    <t>Chq Paid MICR INW CL GALENA APARTMENT OW</t>
  </si>
  <si>
    <t>0000000000484607</t>
  </si>
  <si>
    <t>POS 4386242503541819    SUBWAY - S M VIS</t>
  </si>
  <si>
    <t>0000220108050190</t>
  </si>
  <si>
    <t>CCA12GLIE290/Avenues India Ltd</t>
  </si>
  <si>
    <t>0000000721132314</t>
  </si>
  <si>
    <t>CCA12GLMD886/Avenues India Ltd</t>
  </si>
  <si>
    <t>0000000726140707</t>
  </si>
  <si>
    <t>JPMCSALARYFORTHEMONTHOFJULY2012XXXXXXXXX</t>
  </si>
  <si>
    <t>0000229573800986</t>
  </si>
  <si>
    <t>CCA12GLQC476/Avenues India Ltd</t>
  </si>
  <si>
    <t>0000000731133014</t>
  </si>
  <si>
    <t>ATW-4386242503541819   -J P MORGAN</t>
  </si>
  <si>
    <t>0000000000007543</t>
  </si>
  <si>
    <t>01331140009332-TPT-Bday shoes! :)</t>
  </si>
  <si>
    <t>00000915639738A1</t>
  </si>
  <si>
    <t>ATW-4386242503541819   -THIPPASANDRA</t>
  </si>
  <si>
    <t>0000000000003714</t>
  </si>
  <si>
    <t>MHDF2784437332/BOOKMYSHOW COM</t>
  </si>
  <si>
    <t>0000000805142300</t>
  </si>
  <si>
    <t>POS 4386242503541819    CLAIRE FOODS AND</t>
  </si>
  <si>
    <t>0000222008125398</t>
  </si>
  <si>
    <t>POS 4386242503541819    CROSSWORD BOOKST</t>
  </si>
  <si>
    <t>0000222106390273</t>
  </si>
  <si>
    <t>01331140009332-TPT-Amex thakkara</t>
  </si>
  <si>
    <t>00000957901927A1</t>
  </si>
  <si>
    <t>JPMCSALARYFORTHEMONTHOFAUGUST2012XXXXXXX</t>
  </si>
  <si>
    <t>0000237491600976</t>
  </si>
  <si>
    <t>POS 4386242503541819    NAMDHARI AGRO FR</t>
  </si>
  <si>
    <t>0000224316782480</t>
  </si>
  <si>
    <t>POS 4386242503541819    MAHINDRA RETAIL</t>
  </si>
  <si>
    <t>0000000000000782</t>
  </si>
  <si>
    <t>0000224912848034</t>
  </si>
  <si>
    <t>0000000000010661</t>
  </si>
  <si>
    <t>0000000000010662</t>
  </si>
  <si>
    <t>0000225611989555</t>
  </si>
  <si>
    <t>POS 4386242503541819    FAB INDIA OVERSE</t>
  </si>
  <si>
    <t>0000225711550575</t>
  </si>
  <si>
    <t>POS 4386242503541819    RELIANCE TRENDS,</t>
  </si>
  <si>
    <t>0000000000000869</t>
  </si>
  <si>
    <t>0000226810902697</t>
  </si>
  <si>
    <t>POS 4386242503541819    NEW COTTON DESIG</t>
  </si>
  <si>
    <t>0000227014000252</t>
  </si>
  <si>
    <t>0000227415000280</t>
  </si>
  <si>
    <t>0000000000001470</t>
  </si>
  <si>
    <t>Credit Interest Capitalized</t>
  </si>
  <si>
    <t>000000000000000</t>
  </si>
  <si>
    <t>POS 4386242503541819    LOTUS DIAGNOSTIC</t>
  </si>
  <si>
    <t>0000227509070219</t>
  </si>
  <si>
    <t>POS 4386242503541819    MYSORE SAREE UDY</t>
  </si>
  <si>
    <t>0000227707118772</t>
  </si>
  <si>
    <t>0000227707119290</t>
  </si>
  <si>
    <t>0000000000000665</t>
  </si>
  <si>
    <t>0000000000011723</t>
  </si>
  <si>
    <t>0000229008580296</t>
  </si>
  <si>
    <t>Chq Paid-MICR CTS-BANGALORE</t>
  </si>
  <si>
    <t>0000000000484609</t>
  </si>
  <si>
    <t>EAW-4386242503541819   - BANGLAORE</t>
  </si>
  <si>
    <t>0000230607367893</t>
  </si>
  <si>
    <t>2111005037 JP MORGAN PF Settlement Credi</t>
  </si>
  <si>
    <t>0000233307210185</t>
  </si>
  <si>
    <t>0000000000013584</t>
  </si>
  <si>
    <t>0000000000013769</t>
  </si>
  <si>
    <t>0000000000007716</t>
  </si>
  <si>
    <t>POS 4386242503541819    LIFE STYLE. POS</t>
  </si>
  <si>
    <t>0000000000015403</t>
  </si>
  <si>
    <t>FD Booked Through Net-00754470571851</t>
  </si>
  <si>
    <t>NEFT DR-0075F12347000303-Rakesh ICICI</t>
  </si>
  <si>
    <t>0000000000001085</t>
  </si>
  <si>
    <t>NEFT Cr-ICIC0SF0002-RAKESH UNNIKRISHNAN-</t>
  </si>
  <si>
    <t>0000000388414454</t>
  </si>
  <si>
    <t>Gayathri Vijayaraghavan-388414454</t>
  </si>
  <si>
    <t>00571000117228  -TPT-Flat loan interest</t>
  </si>
  <si>
    <t>00000530765556A1</t>
  </si>
  <si>
    <t>00571000117228  -TPT-Maintenence Q1 2013</t>
  </si>
  <si>
    <t>00000566185718A1</t>
  </si>
  <si>
    <t>ATW-4386242503541819-100 FT RD BR2</t>
  </si>
  <si>
    <t>0000000000007850</t>
  </si>
  <si>
    <t>00571000117228  -TPT-Blr</t>
  </si>
  <si>
    <t>00000573631576A1</t>
  </si>
  <si>
    <t>Chq Paid-MICR CTS-RI-GALENA APARTMENT OW</t>
  </si>
  <si>
    <t>0000000000484610</t>
  </si>
  <si>
    <t>NEFT Cr-SBIN0000552-EMPLOYEE PROVIDENT F</t>
  </si>
  <si>
    <t>SBINH13079011131</t>
  </si>
  <si>
    <t>UND ORGANIZATIO-GAYATHRI VIJAYARAGHAVAN-</t>
  </si>
  <si>
    <t>Credit Interest Capitalised</t>
  </si>
  <si>
    <t>POS 4386242503541819 MANIPAL HEALTH E PO</t>
  </si>
  <si>
    <t>0000309302090035</t>
  </si>
  <si>
    <t>S DEBIT</t>
  </si>
  <si>
    <t>POS 4386242503541819 KFC DODSAL-CMH R PO</t>
  </si>
  <si>
    <t>0000309308260412</t>
  </si>
  <si>
    <t>POS 4386242503541819 MANIPAL HOSPITAL PO</t>
  </si>
  <si>
    <t>0000309316350816</t>
  </si>
  <si>
    <t>CASH DEP MYSORE,KARNA</t>
  </si>
  <si>
    <t>NEFT Dr-ICIC0000047-Rakesh ICICI-NETBANK</t>
  </si>
  <si>
    <t>, MUM-0777109130646947</t>
  </si>
  <si>
    <t>Chq Paid-MICR INW CL-GALENA APARTMENT OW</t>
  </si>
  <si>
    <t>0000000000000001</t>
  </si>
  <si>
    <t>I/W Chq Ret-DRAWER SIGNATURE DIFFERS</t>
  </si>
  <si>
    <t>0000000000484611</t>
  </si>
  <si>
    <t>IB FUNDS TRANSFER CR-00571000117228</t>
  </si>
  <si>
    <t>POS 4386242503541819 GOKALDAS INTIMAT PO</t>
  </si>
  <si>
    <t>0000316714794782</t>
  </si>
  <si>
    <t>CCA13FTBC291/Avenues India Ltd</t>
  </si>
  <si>
    <t>0000000617191351</t>
  </si>
  <si>
    <t>NEFT Cr-UTBI0IMR839-GALENA APARTMENT OWN</t>
  </si>
  <si>
    <t>UTBIN13169727506</t>
  </si>
  <si>
    <t>ERS ASSOCIATIO-GAYATHRINVIJAYARAGHAVAN-U</t>
  </si>
  <si>
    <t>TBIN13169727506</t>
  </si>
  <si>
    <t>30737722/PayUBIGTREEEntertain</t>
  </si>
  <si>
    <t>0000000623201350</t>
  </si>
  <si>
    <t>NEFT Dr-SBTR0000321-Anoop Ahammed A M-NE</t>
  </si>
  <si>
    <t>TBANK, MUM-0777175133914984</t>
  </si>
  <si>
    <t>TBANK, MUM-0777176134017273</t>
  </si>
  <si>
    <t>CCA13FTFK956/Avenues India Ltd</t>
  </si>
  <si>
    <t>0000000628162420</t>
  </si>
  <si>
    <t>POS 4386242503541819 MADURA GARMENTS POS</t>
  </si>
  <si>
    <t>0000000000000993</t>
  </si>
  <si>
    <t>DEBIT</t>
  </si>
  <si>
    <t>POS 4386242503541819 FAME BALAJI POS DEB</t>
  </si>
  <si>
    <t>0000318708799219</t>
  </si>
  <si>
    <t>IT</t>
  </si>
  <si>
    <t>POS 4386242503541819 TRENT LIMITED POS D</t>
  </si>
  <si>
    <t>0000319012600852</t>
  </si>
  <si>
    <t>EBIT</t>
  </si>
  <si>
    <t>POS 4386242503541819 PLASTIC &amp; LEATHE PO</t>
  </si>
  <si>
    <t>0000000000000302</t>
  </si>
  <si>
    <t>POS 4386242503541819 M K RETAIL COMPA PO</t>
  </si>
  <si>
    <t>0000320113889852</t>
  </si>
  <si>
    <t>Dr Count</t>
  </si>
  <si>
    <t>Cr Count</t>
  </si>
  <si>
    <t>IVFS Blood test</t>
  </si>
  <si>
    <t>IVFS Medicine</t>
  </si>
  <si>
    <t>Lotus</t>
  </si>
  <si>
    <t>Axon</t>
  </si>
  <si>
    <t>IVFS Scan</t>
  </si>
  <si>
    <t>Ultrasound</t>
  </si>
  <si>
    <t>Scan detailed (TVS &amp; TAS)</t>
  </si>
  <si>
    <t>Doppler and Ultrasound</t>
  </si>
  <si>
    <t>Brufen 400 mg</t>
  </si>
  <si>
    <t>Levoflox 750 mg</t>
  </si>
  <si>
    <t>Beta HCG</t>
  </si>
  <si>
    <t>Random blood sugar</t>
  </si>
  <si>
    <t>Haemoglobin</t>
  </si>
  <si>
    <t>OBG Follow up - Dr Gayathri</t>
  </si>
  <si>
    <t>Doxy1 L-DR Forte 100 mg</t>
  </si>
  <si>
    <t>Biovorin 15 mg</t>
  </si>
  <si>
    <t>Ectopic medicine</t>
  </si>
  <si>
    <t>Rantac 150 mg</t>
  </si>
  <si>
    <t>Methofast 15 mg</t>
  </si>
  <si>
    <t>Folitrax 50 mg</t>
  </si>
  <si>
    <t>Doxinate tablet</t>
  </si>
  <si>
    <t>Tritaxin 1 gm</t>
  </si>
  <si>
    <t>Needle disposable</t>
  </si>
  <si>
    <t>Gloves disposable</t>
  </si>
  <si>
    <t>Migranil</t>
  </si>
  <si>
    <t>Saradon</t>
  </si>
  <si>
    <t>Sterile water for IV</t>
  </si>
  <si>
    <t>Uro bag</t>
  </si>
  <si>
    <t>Tegaderm</t>
  </si>
  <si>
    <t>RL 500 ml Ecoflac solution</t>
  </si>
  <si>
    <t>Perinorm 10 mg</t>
  </si>
  <si>
    <t>IV set</t>
  </si>
  <si>
    <t>Foley catheter</t>
  </si>
  <si>
    <t>Cannula 20g</t>
  </si>
  <si>
    <t>Amonic 1.2 gm</t>
  </si>
  <si>
    <t>Metris 500 mg</t>
  </si>
  <si>
    <t>Justin 100 mg suppositories</t>
  </si>
  <si>
    <t>DNS 500 ml Ecoflac solution</t>
  </si>
  <si>
    <t>Combiflam tablet</t>
  </si>
  <si>
    <t>Chikmagalur</t>
  </si>
  <si>
    <t>GC at 4pm In Calicut from 14th to 17th July.</t>
  </si>
  <si>
    <t>Parents here till 13th July</t>
  </si>
  <si>
    <t>GC</t>
  </si>
  <si>
    <t>Hussain came</t>
  </si>
  <si>
    <t>Parents here for wedding till 13th Aug</t>
  </si>
  <si>
    <t>GC at 10pm. Kadal smthng Mathutty Mammootty movie</t>
  </si>
  <si>
    <t>Met Bina at 10.30 am</t>
  </si>
  <si>
    <t>SA at Lotus. Singapore kinda confirmed!!!!! Whoo hoo!!!</t>
  </si>
  <si>
    <t>Ectopic Pregnancy</t>
  </si>
  <si>
    <t>11 May to 18 May</t>
  </si>
  <si>
    <t>Clinical Management Fee - Dr Gayathri</t>
  </si>
  <si>
    <t>Clinical Management Fee - Dr Manjunath</t>
  </si>
  <si>
    <t>Medical Equipment</t>
  </si>
  <si>
    <t>Blood bank</t>
  </si>
  <si>
    <t>Haematology</t>
  </si>
  <si>
    <t>Histopathology</t>
  </si>
  <si>
    <t>Procedures</t>
  </si>
  <si>
    <t>Theatre charges</t>
  </si>
  <si>
    <t>Surgeon fee</t>
  </si>
  <si>
    <t>Anasthetists fee</t>
  </si>
  <si>
    <t>Surgical support fees</t>
  </si>
  <si>
    <t>Miscellaneous</t>
  </si>
  <si>
    <t>Pharmacy drugs</t>
  </si>
  <si>
    <t>Materials</t>
  </si>
  <si>
    <t>00751610037069-TPT-Amma</t>
  </si>
  <si>
    <t>00571000117201-TPT-Amma</t>
  </si>
  <si>
    <t>00000610344541A1</t>
  </si>
  <si>
    <t>00571000117201-TPT-</t>
  </si>
  <si>
    <t>00000644429366A1</t>
  </si>
  <si>
    <t>CCA12GKVF827/Avenues India Ltd</t>
  </si>
  <si>
    <t>0000000705141226</t>
  </si>
  <si>
    <t>CHQ DEP-MICR CLG-TRICHUR - PALAC</t>
  </si>
  <si>
    <t>0000000000556256</t>
  </si>
  <si>
    <t>CHQ DEP- MICR 8 CLEARI-RICHMOND ROAD -</t>
  </si>
  <si>
    <t>0000000000000023</t>
  </si>
  <si>
    <t>0000000000014937</t>
  </si>
  <si>
    <t>00000054533450A1</t>
  </si>
  <si>
    <t>00571500000713-TPT-Lic</t>
  </si>
  <si>
    <t>00000058691933A1</t>
  </si>
  <si>
    <t>0000000000007332</t>
  </si>
  <si>
    <t>ATW-4386240109899193   -100 FT RD BR</t>
  </si>
  <si>
    <t>0000000000009048</t>
  </si>
  <si>
    <t>POS 4386240109899193    SAKHI ENTERPRISE</t>
  </si>
  <si>
    <t>0000228507437008</t>
  </si>
  <si>
    <t>CHQ DEP-MICR CLG-TRICHUR - PALAC - MICR</t>
  </si>
  <si>
    <t>0000000000061815</t>
  </si>
  <si>
    <t>DIVIDEND WARRANT#1997 CREDITED-TRICHUR</t>
  </si>
  <si>
    <t>0000000000001997</t>
  </si>
  <si>
    <t>ATW-4386240109899193-100 FT RD BR2</t>
  </si>
  <si>
    <t>0000000000005058</t>
  </si>
  <si>
    <t>POS 4386240109899193 THE BODY SHOP (Q PO</t>
  </si>
  <si>
    <t>0000229812320517</t>
  </si>
  <si>
    <t>POS 4386240109899193 JAMALS INC POS DEBI</t>
  </si>
  <si>
    <t>0000000000003961</t>
  </si>
  <si>
    <t>T</t>
  </si>
  <si>
    <t>00571000117201  -TPT-</t>
  </si>
  <si>
    <t>00000284645588A1</t>
  </si>
  <si>
    <t>POS 4386240109899193 KFC DODSAL-CMH R PO</t>
  </si>
  <si>
    <t>0000230814121407</t>
  </si>
  <si>
    <t>POS 4386240109899193 STYLE STITCH POS DE</t>
  </si>
  <si>
    <t>0000231210430471</t>
  </si>
  <si>
    <t>BIT</t>
  </si>
  <si>
    <t>POS 4386240109899193 NEW FROSTYS COLD PO</t>
  </si>
  <si>
    <t>0000232412290503</t>
  </si>
  <si>
    <t>MHDF2856548309/BOOKMYSHOW COM</t>
  </si>
  <si>
    <t>0000001123111940</t>
  </si>
  <si>
    <t>POS 4386240109899193 LOTUS DIAGNOSTIC PO</t>
  </si>
  <si>
    <t>0000232808580070</t>
  </si>
  <si>
    <t>POS 4386240109899193 M.K.RETAIL COMPA PO</t>
  </si>
  <si>
    <t>0000233807239598</t>
  </si>
  <si>
    <t>POS 4386240109899193 M K RETAIL COMPA PO</t>
  </si>
  <si>
    <t>0000234109974487</t>
  </si>
  <si>
    <t>POS 4386240109899193 HEALTH AND GLOW POS</t>
  </si>
  <si>
    <t>0000234210184935</t>
  </si>
  <si>
    <t>0000234712332205</t>
  </si>
  <si>
    <t>POS 4386240109899193 AL MAKIN POS DEBIT</t>
  </si>
  <si>
    <t>0000000000000153</t>
  </si>
  <si>
    <t>POS 4386240109899193 BIG BAZAAR , POS DE</t>
  </si>
  <si>
    <t>0000000000000169</t>
  </si>
  <si>
    <t>POS 4386240109899193 MAHINDRA RETAIL POS</t>
  </si>
  <si>
    <t>0000000000003757</t>
  </si>
  <si>
    <t>00000490103595A1</t>
  </si>
  <si>
    <t>0000235212150208</t>
  </si>
  <si>
    <t>0000235212437983</t>
  </si>
  <si>
    <t>00751610037069  -TPT-Flat loan interest</t>
  </si>
  <si>
    <t>00571000117201  -TPT-Loan interest</t>
  </si>
  <si>
    <t>00000530776821A1</t>
  </si>
  <si>
    <t>0000236611697330</t>
  </si>
  <si>
    <t>0000236611580371</t>
  </si>
  <si>
    <t>0000236612020572</t>
  </si>
  <si>
    <t>00751610037069  -TPT-Maintenence Q1 2013</t>
  </si>
  <si>
    <t>00751610037069  -TPT-Blr</t>
  </si>
  <si>
    <t>POS 4386240109899193 M K ASSOCIATES POS</t>
  </si>
  <si>
    <t>0000000000015280</t>
  </si>
  <si>
    <t>0000000000015281</t>
  </si>
  <si>
    <t>0000301309583931</t>
  </si>
  <si>
    <t>0000000000002209</t>
  </si>
  <si>
    <t>POS 4386240109899193 MANIPAL HEALTH E PO</t>
  </si>
  <si>
    <t>0000302103170028</t>
  </si>
  <si>
    <t>0000302104200089</t>
  </si>
  <si>
    <t>NWD-4386240109899193-BANGALORE</t>
  </si>
  <si>
    <t>0000000000002530</t>
  </si>
  <si>
    <t>0000000000015947</t>
  </si>
  <si>
    <t>0000000000008143</t>
  </si>
  <si>
    <t>00000727275297A1</t>
  </si>
  <si>
    <t>POS 4386240109899193 BARISTA POS DEBIT</t>
  </si>
  <si>
    <t>0000000000000607</t>
  </si>
  <si>
    <t>POS 4386240109899193 SANKARS THE BOOK PO</t>
  </si>
  <si>
    <t>0000304509310649</t>
  </si>
  <si>
    <t>0000000000016673</t>
  </si>
  <si>
    <t>0000305603100122</t>
  </si>
  <si>
    <t>POS 4386240109899193 MANIPAL HOSPITAL PO</t>
  </si>
  <si>
    <t>0000305606590158</t>
  </si>
  <si>
    <t>0000000000003823</t>
  </si>
  <si>
    <t>17571569/PayUBIGTREEEntertain</t>
  </si>
  <si>
    <t>0000000302101720</t>
  </si>
  <si>
    <t>0000306312505224</t>
  </si>
  <si>
    <t>00000898648281A1</t>
  </si>
  <si>
    <t>NWD-4386240109899193-ANGALORE    K</t>
  </si>
  <si>
    <t>0000000000006982</t>
  </si>
  <si>
    <t>POS 4386240109899193 FAME BALAJI POS DEB</t>
  </si>
  <si>
    <t>0000308112232089</t>
  </si>
  <si>
    <t>0000000000002118</t>
  </si>
  <si>
    <t>Account No :00571000117228</t>
  </si>
  <si>
    <t>0000000000008170</t>
  </si>
  <si>
    <t>ATW-4386240109899193-THIPPASANDRA</t>
  </si>
  <si>
    <t>0000000000009921</t>
  </si>
  <si>
    <t>0000309810705399</t>
  </si>
  <si>
    <t>0000310104590203</t>
  </si>
  <si>
    <t>0000000000006902</t>
  </si>
  <si>
    <t>CHQ DEP - MICR CLG - PALACE ROAD</t>
  </si>
  <si>
    <t>0000000000649051</t>
  </si>
  <si>
    <t>0000000000000921</t>
  </si>
  <si>
    <t>01331140009332  -TPT-Return</t>
  </si>
  <si>
    <t>00000060668225A1</t>
  </si>
  <si>
    <t>0000311202270042</t>
  </si>
  <si>
    <t>0000311402430076</t>
  </si>
  <si>
    <t>ATW-4386240109899193-J P MORGAN</t>
  </si>
  <si>
    <t>0000000000008651</t>
  </si>
  <si>
    <t>0000312106430486</t>
  </si>
  <si>
    <t>ATW-4386240109899193-KARTHIK NGR</t>
  </si>
  <si>
    <t>0000000000006468</t>
  </si>
  <si>
    <t>0000313004470337</t>
  </si>
  <si>
    <t>ATW-4386240109899193-100 FT RD BR</t>
  </si>
  <si>
    <t>0000000000003344</t>
  </si>
  <si>
    <t>27281992/PayUBIGTREEEntertain</t>
  </si>
  <si>
    <t>0000000524161646</t>
  </si>
  <si>
    <t>RTGS Cr-SBTR0000166-SBT THRISSUR MAIN BR</t>
  </si>
  <si>
    <t>SBTRH13155300262</t>
  </si>
  <si>
    <t>ANCH-GAYATHRI VIJAYARAGHAVAN-SBTRH131553</t>
  </si>
  <si>
    <t>00262</t>
  </si>
  <si>
    <t>00571000117201  -TPT-PPF</t>
  </si>
  <si>
    <t>00000284256184A1</t>
  </si>
  <si>
    <t>00571500000713  -TPT-PPF</t>
  </si>
  <si>
    <t>00000297750383A1</t>
  </si>
  <si>
    <t>IB FUNDS TRANSFER DR-00751610037069</t>
  </si>
  <si>
    <t>00000307956619A1</t>
  </si>
  <si>
    <t>00000307984994A1</t>
  </si>
  <si>
    <t>0000318810360430</t>
  </si>
  <si>
    <t>POS 4386240109899193 KRISPY KREME POS DE</t>
  </si>
  <si>
    <t>0000319009450526</t>
  </si>
  <si>
    <t>0000000000008600</t>
  </si>
  <si>
    <t>35698831/PayUBIGTREEEntertain</t>
  </si>
  <si>
    <t>0000000730150652</t>
  </si>
  <si>
    <t>CCA13HTYZ732/Avenues India Ltd</t>
  </si>
  <si>
    <t>0000000803180213</t>
  </si>
  <si>
    <t>CCA13HTZK781/Avenues India Ltd</t>
  </si>
  <si>
    <t>0000000804132041</t>
  </si>
  <si>
    <t>0000000000000285</t>
  </si>
  <si>
    <t>00000576771665A1</t>
  </si>
  <si>
    <t>79389664/TechFlipkartInternet</t>
  </si>
  <si>
    <t>0000000809230636</t>
  </si>
  <si>
    <t>CASH DEP MANANTHAVADY</t>
  </si>
  <si>
    <t>37833921/PayUBIGTREEEntertain</t>
  </si>
  <si>
    <t>0000000813162007</t>
  </si>
  <si>
    <t>00571000117201  -TPT-Siddhu Bday</t>
  </si>
  <si>
    <t>00000632076685A1</t>
  </si>
  <si>
    <t>38285984/PayUBIGTREEEntertain</t>
  </si>
  <si>
    <t>0000000816101951</t>
  </si>
  <si>
    <t>0000000000701759</t>
  </si>
  <si>
    <t>0000000000013692</t>
  </si>
  <si>
    <t>0000000000001822</t>
  </si>
  <si>
    <t>, MUM-0777228138265952</t>
  </si>
  <si>
    <t>38537110/PayUBIGTREEEntertain</t>
  </si>
  <si>
    <t>0000000817185322</t>
  </si>
  <si>
    <t>CCA13HUIQ377/Avenues India Ltd</t>
  </si>
  <si>
    <t>0000000819144918</t>
  </si>
  <si>
    <t>0000323210452610</t>
  </si>
  <si>
    <t>DEBIT CARD ANNUAL FEES 300713</t>
  </si>
  <si>
    <t>0000000000930209</t>
  </si>
  <si>
    <t>POS 4386240109899193 LIFE STYLE POS DEBI</t>
  </si>
  <si>
    <t>0000323311430204</t>
  </si>
  <si>
    <t>0000323311460134</t>
  </si>
  <si>
    <t>POS 4386240109899193 BYBLOS RESTAURAN PO</t>
  </si>
  <si>
    <t>0000000000004607</t>
  </si>
  <si>
    <t>POS 4386240109899193 ANKUR POS DEBIT</t>
  </si>
  <si>
    <t>0000324605010036</t>
  </si>
  <si>
    <t>3RD PARTY CASH TXN INC ST &amp; EC 290813</t>
  </si>
  <si>
    <t>41138597/PayUBIGTREEEntertain</t>
  </si>
  <si>
    <t>0000000903121443</t>
  </si>
  <si>
    <t>41139423/PayUBIGTREEEntertain</t>
  </si>
  <si>
    <t>0000000903121747</t>
  </si>
  <si>
    <t>41146129/PayUBIGTREEEntertain</t>
  </si>
  <si>
    <t>0000000903124602</t>
  </si>
  <si>
    <t>Achan 13 aug</t>
  </si>
  <si>
    <t>Ratna</t>
  </si>
  <si>
    <t>Vijaya</t>
  </si>
  <si>
    <t>Paper</t>
  </si>
  <si>
    <t>Left</t>
  </si>
  <si>
    <t>MK Retail</t>
  </si>
  <si>
    <t>Hepatitis + HIV</t>
  </si>
  <si>
    <t xml:space="preserve">Rakesh meeting Vasan at 9.50 am. Blood test for Hep. </t>
  </si>
  <si>
    <t>Trulimax 500 mg</t>
  </si>
  <si>
    <t>DNA Fragmentation check sample given</t>
  </si>
  <si>
    <t>Rakesh meeting Vasan. TESA not reqd.</t>
  </si>
  <si>
    <t>Paid IVF registration 95k. Met Sujana Dr</t>
  </si>
  <si>
    <t>Went for scan. 5 or 6 in right ovary. 4 or 5 in left. Inj to start tmrw. Sujana did mock transfer. Pain like hell. Rakesh left Abu Dhabi at 11.45 IST. Nxt scan Wed</t>
  </si>
  <si>
    <t>Cycle started 4 am. Very dizzy and nauseous. Rakesh left home at 11.30pm. Reachd airport at 1am. Flight left at 5am instead of 4.40 am</t>
  </si>
  <si>
    <t>Recagon 300 IU</t>
  </si>
  <si>
    <t xml:space="preserve"> Recagon 300 IU</t>
  </si>
  <si>
    <t>IVF2 Registration</t>
  </si>
  <si>
    <t>IVF2 Medicine</t>
  </si>
  <si>
    <t>went via tippasandra</t>
  </si>
  <si>
    <t>First injection at 8.15am. Woke up at 7.36am for 8am injection. Rakesh reached Tampa at 8.30am IST. Low flow (1 in day)</t>
  </si>
  <si>
    <t>Injection at 8.30am. Low flow (1 in day)</t>
  </si>
  <si>
    <t>Injection at 8.30am. Nothing tday</t>
  </si>
  <si>
    <t>The Federal Bank Ltd</t>
  </si>
  <si>
    <t>Reg.Office-Aluva,</t>
  </si>
  <si>
    <t>Kerala,India-683101</t>
  </si>
  <si>
    <t>Name &amp; Address of the Account Holder:-</t>
  </si>
  <si>
    <t>    GAYATHRI VIJAYARAGHAVAN</t>
  </si>
  <si>
    <t>    FLAT NO 202, NO 151, GALENA, 4TH MAIN</t>
  </si>
  <si>
    <t>    DEFENCE COLONY, INDIRANAGAR</t>
  </si>
  <si>
    <t>    BANGALORE</t>
  </si>
  <si>
    <t>    KARNATAKA</t>
  </si>
  <si>
    <t>    INDIA</t>
  </si>
  <si>
    <t>    560038</t>
  </si>
  <si>
    <t>Account Number:- 15350100025958</t>
  </si>
  <si>
    <t>Last 20 Transactions</t>
  </si>
  <si>
    <t>Txn No.</t>
  </si>
  <si>
    <t>Txn Date</t>
  </si>
  <si>
    <t>Particulars</t>
  </si>
  <si>
    <t>Tran Type</t>
  </si>
  <si>
    <t>ChequeNo</t>
  </si>
  <si>
    <t>Withdrawal(INR)</t>
  </si>
  <si>
    <t>Deposit(INR)</t>
  </si>
  <si>
    <t>Balance(INR)</t>
  </si>
  <si>
    <t>Locker Rent - MMXA197</t>
  </si>
  <si>
    <t>TFR</t>
  </si>
  <si>
    <t>15350100025958:Int.Pd:01-10-2012 to 31-03-2013</t>
  </si>
  <si>
    <t>Charges for NEFT Customer Payment :SFB14162575</t>
  </si>
  <si>
    <t>NFT/RAKESH UNNIK/SFB14162575</t>
  </si>
  <si>
    <t>15350100025958:Int.Pd:01-04-2012 to 30-09-2012</t>
  </si>
  <si>
    <t>FD</t>
  </si>
  <si>
    <t>15350300024413: Closure Proceeds</t>
  </si>
  <si>
    <t>GYNO SPECIALITY</t>
  </si>
  <si>
    <t>CLG</t>
  </si>
  <si>
    <t>Charges for NEFT Customer Payment :FDRLH1214305952</t>
  </si>
  <si>
    <t>NFT/FDRLH12143059528/RAKESH UNNIKRISHNAN</t>
  </si>
  <si>
    <t>BY 12800100016921</t>
  </si>
  <si>
    <t>15350300028067: Closure Proceeds</t>
  </si>
  <si>
    <t>15350100025958:Int.Pd:01-10-2011 to 31-03-2012</t>
  </si>
  <si>
    <t>TRANSFER TO FD</t>
  </si>
  <si>
    <t>BY CLEARING</t>
  </si>
  <si>
    <t>NFT/0075HF1136500059/GAYATHRI V</t>
  </si>
  <si>
    <t>15350100025958:Int.Pd:06-08-2011 to 30-09-2011</t>
  </si>
  <si>
    <t>INITIAL REMITTANCE</t>
  </si>
  <si>
    <t>First scan. 9 in left side slightly big. At least 5 are 1.0. 6 in right side all between 0.7 and 0.9 which are small.</t>
  </si>
  <si>
    <t xml:space="preserve"> Recagon 300 IU </t>
  </si>
  <si>
    <t>IVF2 Blood test</t>
  </si>
  <si>
    <t>Injection at 8.50am. Did Complete Blood Count test for pre anestesia check. Did PAC also</t>
  </si>
  <si>
    <t>(Multiple Items)</t>
  </si>
  <si>
    <t>Stomach/ thigh</t>
  </si>
  <si>
    <t xml:space="preserve"> Recagon 300 IU. Ovurelix 0.25</t>
  </si>
  <si>
    <t xml:space="preserve"> Recagon 225 IU. Ovurelix 0.25. Persinal 75</t>
  </si>
  <si>
    <t>Stomach/ thigh/ hip</t>
  </si>
  <si>
    <t>Ovurelix Injection at 8.45am. Estradiol blood test &amp; collected CBC report. Second scan. Good response Bina said. At least 5 on each side above 1cm. Gave PAC and CBC results. Only platelets were above normal. Then Recagon inj.</t>
  </si>
  <si>
    <t>Injection at 8.50am. Blood test for Estradiol - 1544 pg/mL (included in IVF package)</t>
  </si>
  <si>
    <t xml:space="preserve">Injection at 8.50am. </t>
  </si>
  <si>
    <t>Blood test Total</t>
  </si>
  <si>
    <t>Consult Total</t>
  </si>
  <si>
    <t>Ectopic Pregnancy Total</t>
  </si>
  <si>
    <t>IVF TESA Total</t>
  </si>
  <si>
    <t>IVF2 Blood test Total</t>
  </si>
  <si>
    <t>IVF2 Medicine Total</t>
  </si>
  <si>
    <t>IVF2 Registration Total</t>
  </si>
  <si>
    <t>IVFS Blood test Total</t>
  </si>
  <si>
    <t>IVFS Medicine Total</t>
  </si>
  <si>
    <t>IVFS Scan Total</t>
  </si>
  <si>
    <t>Medicine Total</t>
  </si>
  <si>
    <t>Procedure Total</t>
  </si>
  <si>
    <t>Registration Total</t>
  </si>
  <si>
    <t>SA Total</t>
  </si>
  <si>
    <t>Scan Total</t>
  </si>
  <si>
    <t xml:space="preserve">Third scan. 9 in left with 2 follicles less than 1.5. 8 in right with 4 less than 1.5. Sample given for Cryofreezing but 1 mill count and 0% normal forms and 0% Rapid progressive and 2% slow progressive. Blood test for Estradiol - 2054 pg/mL (included in IVF package). Progesterone - 0.91 ng/ml. Went back at 12.30pm for admission forms and injections. Ovitrelle injection at 9.45 pm </t>
  </si>
  <si>
    <t xml:space="preserve"> Recagon 150 IU. Ovurelix 0.25. Persinal 75. Ovitrelle 250 mg at 9.45 pm</t>
  </si>
  <si>
    <t>Recagon has 100IU extra in each dose.</t>
  </si>
  <si>
    <t>Rakesh went to see Vasan to check abt count and stuff. He said will manage with fresh sample on Wed or frozen.</t>
  </si>
  <si>
    <t>Singapore confirmed for onboarding :D</t>
  </si>
  <si>
    <t>Embryoscope</t>
  </si>
  <si>
    <t>IVF2 Egg retrieval</t>
  </si>
  <si>
    <t>IVF2 Egg retrieval Total</t>
  </si>
  <si>
    <t>1 strip (28)</t>
  </si>
  <si>
    <t>IVF2 Embryoscope</t>
  </si>
  <si>
    <t>IVF2 Embryoscope Total</t>
  </si>
  <si>
    <t>Gestone from Lotus left side</t>
  </si>
  <si>
    <t>Gestone from GG Hosp left side</t>
  </si>
  <si>
    <t>Gestone from Lotus right side</t>
  </si>
  <si>
    <t>Egg Retrieval. In IVF by 7.30 but noone there. Came by 8. Went to pre op at 9. Out by 10 am. 7 follicles Manju said. Got Gestone injection right side after procedure. Left hospital at 3 pm</t>
  </si>
  <si>
    <t>Left for USA on 13th nite</t>
  </si>
  <si>
    <t>Back from US on 23rd morning</t>
  </si>
  <si>
    <t>Gestone from GG right side. A little bleeding. Got a bump :(</t>
  </si>
  <si>
    <t>In hosp by 8.30 am. Transfer by 10.30am on full bladder. Gestone inj on left side before procedure. Had progynova in morning. Only 2 grade 2 embryos transferred. Not good ones. Less chance of implantation. Home by 3pm</t>
  </si>
  <si>
    <t>IVF2 Embryo transfer</t>
  </si>
  <si>
    <t>IVF2 Embryo transfer Total</t>
  </si>
  <si>
    <t>3 weeks LMP: 5 – 50 mIU/ml</t>
  </si>
  <si>
    <t>4 weeks LMP: 5 – 426 mIU/ml</t>
  </si>
  <si>
    <t>5 weeks LMP: 18 – 7,340 mIU/ml</t>
  </si>
  <si>
    <t>6 weeks LMP: 1,080 – 56,500 mIU/ml</t>
  </si>
  <si>
    <t>7 – 8 weeks LMP: 7, 650 – 229,000 mIU/ml</t>
  </si>
  <si>
    <t>9 – 12 weeks LMP: 25,700 – 288,000 mIU/ml</t>
  </si>
  <si>
    <t>13 – 16 weeks LMP: 13,300 – 254,000 mIU/ml</t>
  </si>
  <si>
    <t>17 – 24 weeks LMP: 4,060 – 165,400 mIU/ml</t>
  </si>
  <si>
    <t>25 – 40 weeks LMP: 3,640 – 117,000 mIU/ml</t>
  </si>
  <si>
    <t>Non-pregnant females: &lt;5.0 mIU/ml</t>
  </si>
  <si>
    <t>Postmenopausal females: &lt;9.5 mIU/ml</t>
  </si>
  <si>
    <t>Gestone from Amar Jyothi right side</t>
  </si>
  <si>
    <r>
      <t>hCG levels in weeks from LMP (gestational age)</t>
    </r>
    <r>
      <rPr>
        <i/>
        <sz val="10"/>
        <color theme="1"/>
        <rFont val="Arial"/>
        <family val="2"/>
      </rPr>
      <t>* </t>
    </r>
    <r>
      <rPr>
        <sz val="10"/>
        <color theme="1"/>
        <rFont val="Arial"/>
        <family val="2"/>
      </rPr>
      <t>:</t>
    </r>
  </si>
  <si>
    <t>HCG blood test. Collected report in evening. Non-pregnant - 0.100</t>
  </si>
  <si>
    <t>Went to see Bina/ Manju</t>
  </si>
  <si>
    <t>41138597/PAYUBIGTREEENTERTAIN</t>
  </si>
  <si>
    <t>41139423/PAYUBIGTREEENTERTAIN</t>
  </si>
  <si>
    <t>41146129/PAYUBIGTREEENTERTAIN</t>
  </si>
  <si>
    <t>POS 4386240109899193 POONY JUICE &amp; VE PO</t>
  </si>
  <si>
    <t>0000325112230713</t>
  </si>
  <si>
    <t>0000000000004717</t>
  </si>
  <si>
    <t>0000325802340048</t>
  </si>
  <si>
    <t>0000326203130022</t>
  </si>
  <si>
    <t>0000326304320277</t>
  </si>
  <si>
    <t>00571000117201  -TPT-THIRD PARTY TRANSFE</t>
  </si>
  <si>
    <t>00000823038482A1</t>
  </si>
  <si>
    <t>R</t>
  </si>
  <si>
    <t>253725438/PAYTMMOBILESOLUTIONP</t>
  </si>
  <si>
    <t>0000000926114834</t>
  </si>
  <si>
    <t>CREDIT INTEREST CAPITALISED</t>
  </si>
  <si>
    <t>0000000000004315</t>
  </si>
  <si>
    <t>0000328705480225</t>
  </si>
  <si>
    <t>POS 4386240109899193 KRISPY KREME DOU PO</t>
  </si>
  <si>
    <t>0000328710300739</t>
  </si>
  <si>
    <t>260395610/PAYTMMOBILESOLUTIONP</t>
  </si>
  <si>
    <t>0000001015155106</t>
  </si>
  <si>
    <t>48818911/PAYUBIGTREEENTERTAIN</t>
  </si>
  <si>
    <t>0000001015163634</t>
  </si>
  <si>
    <t>0000000000009744</t>
  </si>
  <si>
    <t>0000000000077139</t>
  </si>
  <si>
    <t>50627578/PAYUBIGTREEENTERTAIN</t>
  </si>
  <si>
    <t>0000001024201714</t>
  </si>
  <si>
    <t>264562967/PAYTMMOBILESOLUTIONP</t>
  </si>
  <si>
    <t>0000001026171542</t>
  </si>
  <si>
    <t>0000000000002497</t>
  </si>
  <si>
    <t>MHDF3152285111/BILLDKINDIGO AIRLINE</t>
  </si>
  <si>
    <t>0000001031233234</t>
  </si>
  <si>
    <t>0000000000003847</t>
  </si>
  <si>
    <t>POS 4386240109899193 GINI AND JONY. POS</t>
  </si>
  <si>
    <t>0000000000002007</t>
  </si>
  <si>
    <t>0000000000006765</t>
  </si>
  <si>
    <t>273951766/PAYTMMOBILESOLUTIONP</t>
  </si>
  <si>
    <t>0000001119204744</t>
  </si>
  <si>
    <t>POS 4386240109899193 CROSSWORD BOOKST PO</t>
  </si>
  <si>
    <t>0000332506590456</t>
  </si>
  <si>
    <t>00000125872210A1</t>
  </si>
  <si>
    <t>POS 4386240109899193 ZINDRELLA POS DEBIT</t>
  </si>
  <si>
    <t>0000333107250549</t>
  </si>
  <si>
    <t>0000000000006397</t>
  </si>
  <si>
    <t>279866769/PAYTMMOBILESOLUTIONP</t>
  </si>
  <si>
    <t>0000001204142457</t>
  </si>
  <si>
    <t>279889368/PAYTMMOBILESOLUTIONP</t>
  </si>
  <si>
    <t>0000001204152454</t>
  </si>
  <si>
    <t>0000000000004481</t>
  </si>
  <si>
    <t>282455662/PAYTMMOBILESOLUTIONP</t>
  </si>
  <si>
    <t>0000001211083914</t>
  </si>
  <si>
    <t>0000000000008737</t>
  </si>
  <si>
    <t>287722093/PAYTMMOBILESOLUTIONP</t>
  </si>
  <si>
    <t>0000001224143417</t>
  </si>
  <si>
    <t>64622552/PAYUBIGTREEENTERTAIN</t>
  </si>
  <si>
    <t>0000001226155813</t>
  </si>
  <si>
    <t>0000000000001719</t>
  </si>
  <si>
    <t>0000000000007988</t>
  </si>
  <si>
    <t>68077788/PAYUBIGTREEENTERTAIN</t>
  </si>
  <si>
    <t>0000000109153029</t>
  </si>
  <si>
    <t>294363976/PAYTMMOBILESOLUTIONP</t>
  </si>
  <si>
    <t>0000000110222052</t>
  </si>
  <si>
    <t>Vellimma</t>
  </si>
  <si>
    <t>Anniversary</t>
  </si>
  <si>
    <t>Sunimamman</t>
  </si>
  <si>
    <t>HDFC BANK Ltd.                                      Page No .:   1                                          Statement of accounts</t>
  </si>
  <si>
    <t>Phone no. :080-61606161</t>
  </si>
  <si>
    <t>A/C Open Date :02/04/2007</t>
  </si>
  <si>
    <t>********************************************************************************************************************************************************************************************</t>
  </si>
  <si>
    <t>CHQ PAID-MICR INW CL-DEWRA</t>
  </si>
  <si>
    <t>CHQ PAID-MICR INW CL-GAKRA APARTMNET OWN</t>
  </si>
  <si>
    <t>00571000117228-TPT-AMMA</t>
  </si>
  <si>
    <t>CHQ PAID-MICR INW CL-D K WATERS</t>
  </si>
  <si>
    <t>NEFT DR-0075F12163000755-RAKESH ICICI</t>
  </si>
  <si>
    <t>NEFT DR-0075F12167000172-RAKESH ICICI</t>
  </si>
  <si>
    <t>01331140009332-TPT-BDAY LUNCH</t>
  </si>
  <si>
    <t>CCA12GKYL578/AVENUES INDIA LTD</t>
  </si>
  <si>
    <t>CHQ PAID MICR INW CL GALENA APARTMENT OW</t>
  </si>
  <si>
    <t>CCA12GLIE290/AVENUES INDIA LTD</t>
  </si>
  <si>
    <t>CCA12GLMD886/AVENUES INDIA LTD</t>
  </si>
  <si>
    <t>CCA12GLQC476/AVENUES INDIA LTD</t>
  </si>
  <si>
    <t>01331140009332-TPT-BDAY SHOES! :)</t>
  </si>
  <si>
    <t>01331140009332-TPT-AMEX THAKKARA</t>
  </si>
  <si>
    <t>CREDIT INTEREST CAPITALIZED</t>
  </si>
  <si>
    <t>CHQ PAID-MICR CTS-BANGALORE</t>
  </si>
  <si>
    <t>2111005037 JP MORGAN PF SETTLEMENT CREDI</t>
  </si>
  <si>
    <t>FD BOOKED THROUGH NET-00754470571851</t>
  </si>
  <si>
    <t>NEFT DR-0075F12347000303-RAKESH ICICI</t>
  </si>
  <si>
    <t>NEFT CR-ICIC0SF0002-RAKESH UNNIKRISHNAN-</t>
  </si>
  <si>
    <t>GAYATHRI VIJAYARAGHAVAN-388414454</t>
  </si>
  <si>
    <t>00571000117228  -TPT-FLAT LOAN INTEREST</t>
  </si>
  <si>
    <t>00571000117228  -TPT-MAINTENENCE Q1 2013</t>
  </si>
  <si>
    <t>00571000117228  -TPT-BLR</t>
  </si>
  <si>
    <t>CHQ PAID-MICR CTS-RI-GALENA APARTMENT OW</t>
  </si>
  <si>
    <t>NEFT CR-SBIN0000552-EMPLOYEE PROVIDENT F</t>
  </si>
  <si>
    <t>NEFT DR-ICIC0000047-RAKESH ICICI-NETBANK</t>
  </si>
  <si>
    <t>CHQ PAID-MICR INW CL-GALENA APARTMENT OW</t>
  </si>
  <si>
    <t>I/W CHQ RET-DRAWER SIGNATURE DIFFERS</t>
  </si>
  <si>
    <t>CCA13FTBC291/AVENUES INDIA LTD</t>
  </si>
  <si>
    <t>NEFT CR-UTBI0IMR839-GALENA APARTMENT OWN</t>
  </si>
  <si>
    <t>30737722/PAYUBIGTREEENTERTAIN</t>
  </si>
  <si>
    <t>NEFT DR-SBTR0000321-ANOOP AHAMMED A M-NE</t>
  </si>
  <si>
    <t>CCA13FTFK956/AVENUES INDIA LTD</t>
  </si>
  <si>
    <t>POS 4386242503541819 FASHION LABEL CO PO</t>
  </si>
  <si>
    <t>0000000000000105</t>
  </si>
  <si>
    <t>78100416/TECHFLIPKARTINTERNET</t>
  </si>
  <si>
    <t>0000000723213145</t>
  </si>
  <si>
    <t>0000000000000139</t>
  </si>
  <si>
    <t>35046838/PAYUBIGTREEENTERTAIN</t>
  </si>
  <si>
    <t>0000000725180542</t>
  </si>
  <si>
    <t>CHQ PAID-MICR CTS-RI-GALENA APARTMENT</t>
  </si>
  <si>
    <t>0000000000484612</t>
  </si>
  <si>
    <t>UTBIN13213050320</t>
  </si>
  <si>
    <t>ER ASSOCIATIO-GAYATHRI VIJAYARAGHAVAN-UT</t>
  </si>
  <si>
    <t>BIN13213050320</t>
  </si>
  <si>
    <t>FD BOOKED THROUGH NET-50300009793038</t>
  </si>
  <si>
    <t>CHQ PAID-MICR CTS-RI-VADIRAJA ENTERPRISE</t>
  </si>
  <si>
    <t>0000000000484613</t>
  </si>
  <si>
    <t>CHQ PAID-MICR INW CL-HELP AGE INDIA</t>
  </si>
  <si>
    <t>0000000000484614</t>
  </si>
  <si>
    <t>I/W CHQ RET-DRAWERS SIGNATURE DIFFERS FR</t>
  </si>
  <si>
    <t>0000000000001451</t>
  </si>
  <si>
    <t>NEFT DR-SBIN0003301-DECORA ACCOUNT-NETBA</t>
  </si>
  <si>
    <t>NK, MUM-0777264131314626</t>
  </si>
  <si>
    <t>0000326504240137</t>
  </si>
  <si>
    <t>NWD-4386242503541819-ANGALORE    K</t>
  </si>
  <si>
    <t>0000000000009121</t>
  </si>
  <si>
    <t>0000326607540515</t>
  </si>
  <si>
    <t>UTBIN13271472506</t>
  </si>
  <si>
    <t>ERS ASSOCIATIO-GAYATHRI VIJAYARAGHAVAN-U</t>
  </si>
  <si>
    <t>TBIN13271472506</t>
  </si>
  <si>
    <t>0000000000002887</t>
  </si>
  <si>
    <t>0000000000002888</t>
  </si>
  <si>
    <t>CHQ PAID-MICR CTS-RI-GALERA APARTMENT OW</t>
  </si>
  <si>
    <t>0000000000484616</t>
  </si>
  <si>
    <t>UTBIN13311617678</t>
  </si>
  <si>
    <t>TBIN13311617678</t>
  </si>
  <si>
    <t>NEFT DR-UTBI0IMR839-GALENA APARTMENT OWN</t>
  </si>
  <si>
    <t>ERS ASSOCIATION-NETBANK, MUM-07773131363</t>
  </si>
  <si>
    <t>57672</t>
  </si>
  <si>
    <t>0000000000008939</t>
  </si>
  <si>
    <t>INT. AUTO_REDEMPTION  00754470571851</t>
  </si>
  <si>
    <t>3304220131224577</t>
  </si>
  <si>
    <t>01331140009332  -TPT-LOAN INTEREST</t>
  </si>
  <si>
    <t>00000321523025A1</t>
  </si>
  <si>
    <t>00571000117201  -TPT-LOAN INTEREST</t>
  </si>
  <si>
    <t>00000321545695A1</t>
  </si>
  <si>
    <t>NEFT DR-ICIC0000180-MINE ICICI BANK-NETB</t>
  </si>
  <si>
    <t>ANK, MUM-0777364130949717</t>
  </si>
  <si>
    <t>CHQ DEP - MICR 8 CLEARING - RICHMOND RD,</t>
  </si>
  <si>
    <t>0000000000681006</t>
  </si>
  <si>
    <t>01331140009332  -TPT-ANIV GIFFFF</t>
  </si>
  <si>
    <t>00000335437591A1</t>
  </si>
  <si>
    <t>292063223/PAYTMMOBILESOLUTIONP</t>
  </si>
  <si>
    <t>0000000103124029</t>
  </si>
  <si>
    <t>292080656/PAYTMMOBILESOLUTIONP</t>
  </si>
  <si>
    <t>0000000103131758</t>
  </si>
  <si>
    <t>ATW-4386242503541819-100 FT RD BR</t>
  </si>
  <si>
    <t>0000000000009572</t>
  </si>
  <si>
    <t>To sell</t>
  </si>
  <si>
    <t>To take to Kerala</t>
  </si>
  <si>
    <t>To give away</t>
  </si>
  <si>
    <t>To take to Singapore</t>
  </si>
  <si>
    <t>S no</t>
  </si>
  <si>
    <t>Sofa</t>
  </si>
  <si>
    <t>Book shelf</t>
  </si>
  <si>
    <t>Cutlery shelf</t>
  </si>
  <si>
    <t>Bar</t>
  </si>
  <si>
    <t>Cot in guestroom2</t>
  </si>
  <si>
    <t>Foot massager</t>
  </si>
  <si>
    <t>Food processor</t>
  </si>
  <si>
    <t>Sewing machine</t>
  </si>
  <si>
    <t>Old table</t>
  </si>
  <si>
    <t>Old sheets and towels</t>
  </si>
  <si>
    <t>Old clothes</t>
  </si>
  <si>
    <t>Old shoes</t>
  </si>
  <si>
    <t>Tv stand</t>
  </si>
  <si>
    <t>Small tables mumbai</t>
  </si>
  <si>
    <t>New mixie</t>
  </si>
  <si>
    <t>New gas stove</t>
  </si>
  <si>
    <t>New pathrams</t>
  </si>
  <si>
    <t>Tupperware stuff</t>
  </si>
  <si>
    <t>Crockery</t>
  </si>
  <si>
    <t>Baking pathrams in 2 boxes</t>
  </si>
  <si>
    <t>Old vessels</t>
  </si>
  <si>
    <t>Figo</t>
  </si>
  <si>
    <t>Other stuff to do</t>
  </si>
  <si>
    <t>Get treasurer changes in Union bank</t>
  </si>
  <si>
    <t>Goto Federal bank and take out gold stuff</t>
  </si>
  <si>
    <t>Check on FD accounts in Fed Bank when away</t>
  </si>
  <si>
    <t>Casio keyboard</t>
  </si>
  <si>
    <t>Disconnect gas</t>
  </si>
  <si>
    <t>Books</t>
  </si>
  <si>
    <t>Kettle</t>
  </si>
  <si>
    <t>Induction cooker</t>
  </si>
  <si>
    <t>Treadmill - siddhu</t>
  </si>
  <si>
    <t>Bike - david</t>
  </si>
  <si>
    <t>Disconnect Tatasky - stop payment</t>
  </si>
  <si>
    <t>Pay Srijila pending amount</t>
  </si>
  <si>
    <t>Doogesh</t>
  </si>
  <si>
    <t>2 sets sheets</t>
  </si>
  <si>
    <t>Turky towels</t>
  </si>
  <si>
    <t>Office shoes</t>
  </si>
  <si>
    <t>Gym shoes</t>
  </si>
  <si>
    <t>Sandals</t>
  </si>
  <si>
    <t>Rubber slippers</t>
  </si>
  <si>
    <t>Jeans</t>
  </si>
  <si>
    <t>Tshirts</t>
  </si>
  <si>
    <t>Office shirts</t>
  </si>
  <si>
    <t>Trousers</t>
  </si>
  <si>
    <t>Undies</t>
  </si>
  <si>
    <t>Vests</t>
  </si>
  <si>
    <t>Ear buds</t>
  </si>
  <si>
    <t>Deo</t>
  </si>
  <si>
    <t>Perfumes</t>
  </si>
  <si>
    <t>Electric shaver</t>
  </si>
  <si>
    <t>Laptop</t>
  </si>
  <si>
    <t>Blackberry</t>
  </si>
  <si>
    <t>Laptop/BB/ifone charger</t>
  </si>
  <si>
    <t>Medical reports</t>
  </si>
  <si>
    <t>Bra</t>
  </si>
  <si>
    <t>Sari</t>
  </si>
  <si>
    <t>Underskirt</t>
  </si>
  <si>
    <t>ifone charger</t>
  </si>
  <si>
    <t>Iphone</t>
  </si>
  <si>
    <t>Ties</t>
  </si>
  <si>
    <t>Suits</t>
  </si>
  <si>
    <t>Churidhar bottoms</t>
  </si>
  <si>
    <t>Kutras</t>
  </si>
  <si>
    <t>Earphones/headset</t>
  </si>
  <si>
    <t>Speakers</t>
  </si>
  <si>
    <t>Fossil wallets</t>
  </si>
  <si>
    <t>Recipes diary</t>
  </si>
  <si>
    <t>Office ID</t>
  </si>
  <si>
    <t>Education certificates</t>
  </si>
  <si>
    <t>Office certificates</t>
  </si>
  <si>
    <t>Ticket printout</t>
  </si>
  <si>
    <t>Passport</t>
  </si>
  <si>
    <t>Dependents pass</t>
  </si>
  <si>
    <t>Employment pass</t>
  </si>
  <si>
    <t>Close Justbooks account in March</t>
  </si>
  <si>
    <t>Disconnect Airtel net and wifi - call and inform a week before afer all payments</t>
  </si>
  <si>
    <t>Plants - shirley</t>
  </si>
  <si>
    <t>Old kitchen stuff - ratna/shirley</t>
  </si>
  <si>
    <t>Guitar with cover</t>
  </si>
  <si>
    <t>Mixie/ stand mixie</t>
  </si>
  <si>
    <t>TV - dinu's friend</t>
  </si>
  <si>
    <t>Newspaper stop</t>
  </si>
  <si>
    <t>Nailcutter</t>
  </si>
  <si>
    <t>Toothpick</t>
  </si>
  <si>
    <t>Not pregnant</t>
  </si>
  <si>
    <t>Singapore - Thomson Fertility Centre</t>
  </si>
  <si>
    <t>Facility Fee</t>
  </si>
  <si>
    <t>Dr Loh Seong Feei</t>
  </si>
  <si>
    <t>Blood Chromosome (Adult blood)</t>
  </si>
  <si>
    <t xml:space="preserve">SA </t>
  </si>
  <si>
    <t>GST @ 7%</t>
  </si>
  <si>
    <t>Pre IVF blood test</t>
  </si>
  <si>
    <t>GST</t>
  </si>
  <si>
    <t>Total</t>
  </si>
  <si>
    <t>TFC</t>
  </si>
  <si>
    <t>TFC Total</t>
  </si>
  <si>
    <t>mine</t>
  </si>
  <si>
    <t>his</t>
  </si>
  <si>
    <t>297882149/PAYTMMOBILESOLUTIONP</t>
  </si>
  <si>
    <t>0000000122100923</t>
  </si>
  <si>
    <t>00000593101205A1</t>
  </si>
  <si>
    <t>307150818/PAYTMMOBILESOLUTIONP</t>
  </si>
  <si>
    <t>0000000218152757</t>
  </si>
  <si>
    <t>MHDF3259438934/BILLDKINDIGO AIRLINE</t>
  </si>
  <si>
    <t>0000000218153748</t>
  </si>
  <si>
    <t>NF2202139221086P01/MAKEMYTRIP COM</t>
  </si>
  <si>
    <t>0000000218155332</t>
  </si>
  <si>
    <t>0000000000003195</t>
  </si>
  <si>
    <t>312805249/PAYTMMOBILESOLUTIONP</t>
  </si>
  <si>
    <t>0000000306125106</t>
  </si>
  <si>
    <t>CASH DEP PALACE ROAD</t>
  </si>
  <si>
    <t>NEFT DR-ICIC0000180-MINE ICICI BANK-NETBANK, MUM-N072140009541842</t>
  </si>
  <si>
    <t>316080703/PAYTMMOBILESOLUTIONP</t>
  </si>
  <si>
    <t>0000000314224214</t>
  </si>
  <si>
    <t>ATW-4386240109899193-S1AWBL20-100 FT RD BR2</t>
  </si>
  <si>
    <t>0000000000001924</t>
  </si>
  <si>
    <t>317775109/PAYTMMOBILESOLUTIONP</t>
  </si>
  <si>
    <t>0000000319015105</t>
  </si>
  <si>
    <t>POS 4386240109899193 WILLS LIFESTYLE, POS DEBIT</t>
  </si>
  <si>
    <t>0000000000004783</t>
  </si>
  <si>
    <t>POS 4386240109899193 MAHINDRA RETAIL POS DEBIT</t>
  </si>
  <si>
    <t>0000000000009168</t>
  </si>
  <si>
    <t>323571503/PAYTMMOBILESOLUTIONP</t>
  </si>
  <si>
    <t>0000000402111206</t>
  </si>
  <si>
    <t>ATW-4386240109899193-S1ANBU22-BANGALORE OFF</t>
  </si>
  <si>
    <t>0000000000002019</t>
  </si>
  <si>
    <t>MHDF3306684334/BILLDKINDIGO AIRLINE</t>
  </si>
  <si>
    <t>0000000403190349</t>
  </si>
  <si>
    <t>00000154662741A1</t>
  </si>
  <si>
    <t>Singapore</t>
  </si>
  <si>
    <t>NEFT DR-UTBI0IMR839-GALENA APARTMENT OWNERS ASSOCIATION-NETBANK, MUM-N018140002694694</t>
  </si>
  <si>
    <t>71830067/PAYUBIGTREEENTERTAIN</t>
  </si>
  <si>
    <t>0000000124130531</t>
  </si>
  <si>
    <t>71830908/PAYUBIGTREEENTERTAIN</t>
  </si>
  <si>
    <t>0000000124130819</t>
  </si>
  <si>
    <t>NEFT DR-SBIN0003301-DECORA ACCOUNT-NETBANK, MUM-N024140003222654</t>
  </si>
  <si>
    <t>NWD-4386242503541819-BANGALORE</t>
  </si>
  <si>
    <t>0000403114027657</t>
  </si>
  <si>
    <t>301365883/PAYTMMOBILESOLUTIONP</t>
  </si>
  <si>
    <t>0000000202112933</t>
  </si>
  <si>
    <t>301384810/PAYTMMOBILESOLUTIONP</t>
  </si>
  <si>
    <t>0000000202122420</t>
  </si>
  <si>
    <t>75648326/PAYUBIGTREEENTERTAIN</t>
  </si>
  <si>
    <t>0000000209110238</t>
  </si>
  <si>
    <t>POS 4386242503541819 SHOPPERS STOP LT POS DEBIT</t>
  </si>
  <si>
    <t>0000404007420238</t>
  </si>
  <si>
    <t>01331140009332  -TPT-POCKET CASH</t>
  </si>
  <si>
    <t>00000555281373A1</t>
  </si>
  <si>
    <t>310107326/PAYTMMOBILESOLUTIONP</t>
  </si>
  <si>
    <t>0000000227004928</t>
  </si>
  <si>
    <t>POS 4386242503541819 LIFE STYLE POS DEBIT</t>
  </si>
  <si>
    <t>0000406112530459</t>
  </si>
  <si>
    <t>POS 4386242503541819 MOUNTAIN VALLEY POS DEBIT</t>
  </si>
  <si>
    <t>0000406305580176</t>
  </si>
  <si>
    <t>POS 4386242503541819 HEALTH AND GLOW POS DEBIT</t>
  </si>
  <si>
    <t>0000406308973447</t>
  </si>
  <si>
    <t>POS 4386242503541819 CAFE COFFEE, POS DEBIT</t>
  </si>
  <si>
    <t>0000000000003742</t>
  </si>
  <si>
    <t>NEFT DR-FDRL0001535-AMMA FED BANK LOAN ACCOUNT-NETBANK, MUM-N077140009935911</t>
  </si>
  <si>
    <t>NEFT DR-FDRL0001659-C C JOHNSON SHIRLY-NETBANK, MUM-N081140010350701</t>
  </si>
  <si>
    <t>3RD PARTY CASH TXN INC ST &amp; EC 130314</t>
  </si>
  <si>
    <t>NWD-4386242503541819-00813042-BANGALORE</t>
  </si>
  <si>
    <t>0000408413016852</t>
  </si>
  <si>
    <t>ECS CR AEPPV5329G-AY2011-12-0173468334</t>
  </si>
  <si>
    <t>0000000173468334</t>
  </si>
  <si>
    <t>POS 4386242503541819 RAJSONS POS DEBIT</t>
  </si>
  <si>
    <t>0000000000000423</t>
  </si>
  <si>
    <t>0000409008392658</t>
  </si>
  <si>
    <t>90356146/PAYUBIGTREEENTERTAIN</t>
  </si>
  <si>
    <t>0000000405111831</t>
  </si>
  <si>
    <t>0000409606290605</t>
  </si>
  <si>
    <t>325373926/PAYTMMOBILESOLUTIONP</t>
  </si>
  <si>
    <t>0000000406162411</t>
  </si>
  <si>
    <t>327007826/PAYTMMOBILESOLUTIONP</t>
  </si>
  <si>
    <t>0000000410135311</t>
  </si>
  <si>
    <t>329204917/PAYTMMOBILESOLUTIONP</t>
  </si>
  <si>
    <t>0000000415140232</t>
  </si>
  <si>
    <t>NEFT DR-SBIN0003301-DECORA ACCOUNT-NETBANK, MUM-N126140016140849</t>
  </si>
  <si>
    <t>ATW-4386242503541819-S1BDPS03-DENPASAR</t>
  </si>
  <si>
    <t>0000413412216561</t>
  </si>
  <si>
    <t>DC INTL ATM W/D MARKUP+ST 140514 150514</t>
  </si>
  <si>
    <t>Amount in Rs</t>
  </si>
  <si>
    <t>Stomach Left side</t>
  </si>
  <si>
    <t>Stomach Right side</t>
  </si>
  <si>
    <t>Injection at 12.15 am</t>
  </si>
  <si>
    <t>Injection at 12 am</t>
  </si>
  <si>
    <t>Injection at 11.30 pm</t>
  </si>
  <si>
    <t>GC started in afternoon a week early!</t>
  </si>
  <si>
    <t>Went to TFC to see Dr Loh. To skip next cycle due to DH result taking 3 weeks. Cycle started on 1st June till 5th June</t>
  </si>
  <si>
    <t>Gonal F has 75IU extra in each pen.</t>
  </si>
  <si>
    <t xml:space="preserve">Gonal F 150 + Pergoveris 75 IU. Cetrotide 0.25 mg. </t>
  </si>
  <si>
    <t>GF + P - Stomach Left side. Other on right</t>
  </si>
  <si>
    <t>GF + P - Stomach Right side. Other on left</t>
  </si>
  <si>
    <t xml:space="preserve">Gonal F 450 IU </t>
  </si>
  <si>
    <t>Cetrotide 0.25 mg</t>
  </si>
  <si>
    <t>Pergoveris 150/ 75IU</t>
  </si>
  <si>
    <t>Sperm freezing</t>
  </si>
  <si>
    <t>Sperm storage</t>
  </si>
  <si>
    <t>Charged per 6 mnths. Paid for one year</t>
  </si>
  <si>
    <t>Went to TFC to see Dr Loh at 11.20 appointment. Took DH blood test. Scan for any cyst - none. 5 second scan! Injection taken at home by 10.30 pm. Two Gonal F 450 IU injection pens given.</t>
  </si>
  <si>
    <t>Second scan at 9 am appointment. Only 2 or 3 big follicles each side so increase meds. Slightly painfl scan. Took my blood for tests plus sample testing/ freezing. DH not feeling well coz of cold and nose bleed. Gonal F and Pergoveris to be combined and injected. Injection at abt 11.30pm</t>
  </si>
  <si>
    <t>Injection at abt 11.30pm</t>
  </si>
  <si>
    <t>Injection by abt 10.30 pm</t>
  </si>
  <si>
    <t>Third scan at 8.55 am appointment. SA very bad so doc said will freeze eggs if fresh sample bad. Abt 4 eggs bigger than 17mm which is min size for ER of which 3 of left side and 1 on right. Totally 12 eggs in left and 6 in right. Egg retrieval on Wednesday. Injection by abt 11pm</t>
  </si>
  <si>
    <t>From The O&amp;G Specialist Clinic</t>
  </si>
  <si>
    <t>Quantum Plus</t>
  </si>
  <si>
    <t>Compleal</t>
  </si>
  <si>
    <t>Bottle</t>
  </si>
  <si>
    <t>Carnipure Oral solution 500 ml</t>
  </si>
  <si>
    <t>2 week course</t>
  </si>
  <si>
    <t>30 days</t>
  </si>
  <si>
    <t>Zithromax tablet 250mg</t>
  </si>
  <si>
    <t>2 each</t>
  </si>
  <si>
    <t>Folic Acid 5mg</t>
  </si>
  <si>
    <t>Pregnyl 10,000IU</t>
  </si>
  <si>
    <t>Pregnyl 5000 IU</t>
  </si>
  <si>
    <t>IN SGD</t>
  </si>
  <si>
    <t>Conv rate - 48</t>
  </si>
  <si>
    <t>Fourth scan at 10.10 am appointment. Reached at 10.40 so had to wait coz token 11 was given to somebody else and we got token 15. 6 eggs in right side (20, 16, 16, 16, 16, 14) and 9 in left side with abt 4 bigger tham 17mm. Trigger shot to be taken tonight at 9.30pm from Thomson Medical Center. To be there by 9 pm. Reached at 8.40pm, ate sausage roll and chicken quiche and finished shot at 9.28pm. Took bus back home and reached by 10.30pm. Retrieval on Wed and transfer on Fri. Embryologist will call on Thur to let us know the embryo status.</t>
  </si>
  <si>
    <t>Fertility Injection procedure - Pregnyl 10000 IU</t>
  </si>
  <si>
    <t>Got cold. Took antibiotic which they said to take in afternoon.</t>
  </si>
  <si>
    <t>Egg Retrieval  to be there by 8.45am for procedure at 9.30am. Reached just before 8.30. Major gas and bloating but q twice there and felt better. 13 eggs retrieved. Procedure over by 11 or so and left at 12. Home by 1pm. Was lying down but got cold and really bad headache in evening.</t>
  </si>
  <si>
    <t>Fentanyl injection 2ml</t>
  </si>
  <si>
    <t>Propofol-Lipuro 1% GA injection</t>
  </si>
  <si>
    <t>Medical surgeon gown</t>
  </si>
  <si>
    <t>Oocyte recovery set 17g needle with tubing</t>
  </si>
  <si>
    <t>Facilities (OT &amp; recovery)</t>
  </si>
  <si>
    <t>IVF package</t>
  </si>
  <si>
    <t>Called from TMC at about 12pm. 13 eggs of which 9 mature and got injected via ICSI. 7 embryos. To be at TFC by 9.30am for 10am procedure. Still bad head cold and bloating. Sneezing too.</t>
  </si>
  <si>
    <t>Dr Chan Sy (NMS) Anestheologist</t>
  </si>
  <si>
    <t>Egg transfer. Went by taxi coz missed bus. Reached at 9am. Went in and made me drink 3 glasses of warm water and wait. Did procedure at 10.06 am. 2 embryos transferred today are Grade 1 and remaining 5 are grade 2 which will be frozen for a year. Left by 11am after lying down for half an hour and getting the medicines. Ate from Popeye, bought stuff from Fairprice and reached home by 12pm</t>
  </si>
  <si>
    <t>Progynova 2mg tab</t>
  </si>
  <si>
    <t>Utrogestan capsule 100mg</t>
  </si>
  <si>
    <t>ER catheter, 23cm, 1816N</t>
  </si>
  <si>
    <t>HCG Blood test</t>
  </si>
  <si>
    <t>Progesterone blood test</t>
  </si>
  <si>
    <t>Embryo freezing (1 yr- 5 straws)</t>
  </si>
  <si>
    <t>Embryo freezing</t>
  </si>
  <si>
    <t>DPT</t>
  </si>
  <si>
    <t>Bought microwave</t>
  </si>
  <si>
    <t xml:space="preserve">D7 after egg retrieval. Progesterone test appointment at 8.40am. Said progesterone has to be above 100 else have to come back for an injection. They didn't call back! Yayy!! Went by taxi and back by bus. R made biriyani for lunch. Was back home by 10.30. </t>
  </si>
  <si>
    <t>A blood spot abt 20cent coin size in afternoon after an hour of keeping guliga. Some when having morning bath.</t>
  </si>
  <si>
    <t>Elec went off at 9.20am and back at 4.20pm due to maintenence in condo. Quite windy day so it was ok.</t>
  </si>
  <si>
    <t>Income</t>
  </si>
  <si>
    <t>Expense</t>
  </si>
  <si>
    <t>Tampines mall</t>
  </si>
  <si>
    <t>Eating out</t>
  </si>
  <si>
    <t>ECP</t>
  </si>
  <si>
    <t>Dicro</t>
  </si>
  <si>
    <t>Travel card</t>
  </si>
  <si>
    <t>Refill</t>
  </si>
  <si>
    <t>Topup</t>
  </si>
  <si>
    <t>me expo</t>
  </si>
  <si>
    <t>7 11</t>
  </si>
  <si>
    <t>dicro</t>
  </si>
  <si>
    <t>july</t>
  </si>
  <si>
    <t>apr</t>
  </si>
  <si>
    <t>In hand</t>
  </si>
  <si>
    <t>April</t>
  </si>
  <si>
    <t>Expo</t>
  </si>
  <si>
    <t>Initial</t>
  </si>
  <si>
    <t>Ticket to marina bay skypark @ 23</t>
  </si>
  <si>
    <t>Food from skypark</t>
  </si>
  <si>
    <t>adarsh/anjana</t>
  </si>
  <si>
    <t>Rubi chappals amma</t>
  </si>
  <si>
    <t>Tea @ tampines delifrance</t>
  </si>
  <si>
    <t>Me book</t>
  </si>
  <si>
    <t>Books siddhu</t>
  </si>
  <si>
    <t>Amma owes</t>
  </si>
  <si>
    <t>Spare</t>
  </si>
  <si>
    <t>Amma came</t>
  </si>
  <si>
    <t>Rakesh Mont Blanc</t>
  </si>
  <si>
    <t>Tampines mall sheets</t>
  </si>
  <si>
    <t>Amma bday</t>
  </si>
  <si>
    <t>Travel card topup</t>
  </si>
  <si>
    <t>June</t>
  </si>
  <si>
    <t>Tampines mall eyebrows</t>
  </si>
  <si>
    <t>Remainder</t>
  </si>
  <si>
    <t>Difference</t>
  </si>
  <si>
    <t>Tampines mall guy singing</t>
  </si>
  <si>
    <t>Orchard Rd taxi with amma</t>
  </si>
  <si>
    <t>Changi City point takeout</t>
  </si>
  <si>
    <t xml:space="preserve">TMC appointment with Dr Loh at 10.20am to dicscuss next FET. Maybe Oct coz Gautham/ Vishnu coming in Sept. To be done in Aug end cycle after 1 cycle gap. </t>
  </si>
  <si>
    <t>Tampines mall cuff links earrings</t>
  </si>
  <si>
    <t>Tampines mall lunch</t>
  </si>
  <si>
    <t>N2 Indian shop</t>
  </si>
  <si>
    <t>N2 Indian shop grated coconut</t>
  </si>
  <si>
    <t>N2 Indian shop veggies + coconut</t>
  </si>
  <si>
    <t>N2 garlic press</t>
  </si>
  <si>
    <t>Tampines mall Unity</t>
  </si>
  <si>
    <t>Fairprice</t>
  </si>
  <si>
    <t>Bedok mall Belly stud</t>
  </si>
  <si>
    <t>berry thingy</t>
  </si>
  <si>
    <t>soup</t>
  </si>
  <si>
    <t>pizza</t>
  </si>
  <si>
    <t>Changi City point stretch pants</t>
  </si>
  <si>
    <t>Changi City point nail stickers</t>
  </si>
  <si>
    <t>borrowed 50 for jayesh and gave 100</t>
  </si>
  <si>
    <t>borrowed 50 for ethan and gave 100</t>
  </si>
  <si>
    <t>For stretch pants</t>
  </si>
  <si>
    <t>Takeout</t>
  </si>
  <si>
    <t>Sept</t>
  </si>
  <si>
    <t>Expo Book sale</t>
  </si>
  <si>
    <t>Breakfast expo</t>
  </si>
  <si>
    <t>Sentosa trip</t>
  </si>
  <si>
    <t>Went to Sentosa. Aquarium</t>
  </si>
  <si>
    <t>GC started in afternoon 3 days late! Called TMC. Next appointment on 10 Sept at 9.30 am. Natural cycle</t>
  </si>
  <si>
    <t>Happy Onam! Went to Reshmi chechis house for lunch. Bad migraine since last few days. Cold, blocked nose and closed ears gone.</t>
  </si>
  <si>
    <t>Fairprice Novena</t>
  </si>
  <si>
    <t>Clearblue Ovulation kit</t>
  </si>
  <si>
    <t>Clearblue Digital Ovulation kit</t>
  </si>
  <si>
    <t>Started ovulation test in the morning. Took at 8.30am. Negative</t>
  </si>
  <si>
    <t>Ovulation test in the morning. Took at 8.00am. Negative</t>
  </si>
  <si>
    <t xml:space="preserve">Ovulation test in the morning. Took at 7.00am. Negative. TMC appointment with Dr Loh at 9.40 am. Reached at 9.35 &amp; met doc at 10.30am. R didnt come coz of audit. Quite close to ovulation so to test twice from today and come in for scan on Thur at 9.40am. 1 big follicle left side and 11mm thick lining. To call on emergency line if positive in evening tests to be taken at 8 pm. </t>
  </si>
  <si>
    <t>TMC appointment with Dr Loh at 9.30 am. Reached at 9.45 &amp; met doc at 11.30am. R didnt come coz of audit work. Long cycle so to do ovulation test on Sat, Sun &amp; Mon and come in for scan on Mon at 9.40am. Transfer will be done 3 days after positive ovulation (+ve on Mon, FET on Thur)</t>
  </si>
  <si>
    <t>N2 7/11</t>
  </si>
  <si>
    <t>Ovulation test in the morning. Took at 8.00am. Negative. Evening test taken at 8.50pm was positive. Called emergency number and nurse said procedure will most probably be done on Friday but will call to confirm tomorrow.</t>
  </si>
  <si>
    <t>Called TFC at abt 10am. Said dont have to go in to see doc today. Nurse will call later. Nurse called from TFC at abt 12.30pm. Tomorrows appointment cancelled. To be in clinic on Fri by 9.15am for 10am procedure. To bring socks and remaining medicine from last IVF cycle. Drink water.</t>
  </si>
  <si>
    <t>OT patient disposable set</t>
  </si>
  <si>
    <t>Embryo thawing &amp; ET</t>
  </si>
  <si>
    <t>ET - Doctor's fee</t>
  </si>
  <si>
    <t>Reversal of sperm storage charges + GST</t>
  </si>
  <si>
    <t>TMC appointment with Dr Loh at 9.40 am - cancelled. Two embryos successfully thawed. To be at doc by 9.30pm for 10am procedure</t>
  </si>
  <si>
    <t>Reached at 9.30am. Was prepped and ready by 10 but doc not come yet s nurse let me pee half but then he actually came for procedure by 10.45am by which time I was bursting. Extremely uncomfortable 10 min. Took a few min to bring embryo after doc made me ready. Then ran to loo after lying down for 5 min but somebody else went in just as I came. Lay down for about half an hour and then went to Hong Kong Kitchen at Novena for lunch. Very good food. Home by 1pm and slept for about 2 hours.</t>
  </si>
  <si>
    <t>R went to golf class</t>
  </si>
  <si>
    <t>CX open in afternoon when putting medicine</t>
  </si>
  <si>
    <t>D17 after egg retrieval. BHCG blood test appointment at 8.10am. Went by taxi and back by bus. Called with result by about 11.20am with negative result. To stop medicines except for folic acid and go in for next appointment which is included in the package.</t>
  </si>
  <si>
    <t>R slept in evening while i was reading. Bought biriyani. CX still feels open at night.</t>
  </si>
  <si>
    <t>Dusting</t>
  </si>
  <si>
    <t>Alba sent Myo myo maid. Came at 9 and left at 1. Did some ironing too. $60.</t>
  </si>
  <si>
    <t>HCG blood test at 8.05am. Asked about the cramping. She said its ok as long as no spotting or staining. Left there by 9 or so and took taxi back home. She called to confirm positive at 2.48pm. Said its 121.1 or smething</t>
  </si>
  <si>
    <t xml:space="preserve">Went to TMC to collect Uterogestan. Gave me the HCG report and it showed 1212!!! Asked Elaine about it and she didnt mention much. Feeling quite sick on the way back because was quite hungry. </t>
  </si>
  <si>
    <t xml:space="preserve">Quite crampy days ahead. </t>
  </si>
  <si>
    <t>Cramping mainly if bladder is full or position changed too quickly.</t>
  </si>
  <si>
    <t>Nauseous if hungry. Slept for about 2 hours in evening from 4.30 till about 6.30.</t>
  </si>
  <si>
    <t>Nauseous if hungry.</t>
  </si>
  <si>
    <t>Day 57</t>
  </si>
  <si>
    <t>Day 58</t>
  </si>
  <si>
    <t>Day 59</t>
  </si>
  <si>
    <t>Day 60</t>
  </si>
  <si>
    <t>Day 61</t>
  </si>
  <si>
    <t>Day 62</t>
  </si>
  <si>
    <t>Day 63</t>
  </si>
  <si>
    <t>Day 64</t>
  </si>
  <si>
    <t>Day 65</t>
  </si>
  <si>
    <t>Day 66</t>
  </si>
  <si>
    <t>First scan at 8.50am. Reached by abput 9 coz woke up at 8am. Scan by 10.30am. Heard heartbeat and took video. About 5mm now. Waited for taxi while he went to Fairprice and i bought strawberry milkshake. Slight drizzle when we left</t>
  </si>
  <si>
    <t>Lady San Maid coming at 2pm. $50</t>
  </si>
  <si>
    <t>Very sick today. Wsas lying down.</t>
  </si>
  <si>
    <t>R on leave till Wed thank god! Feelin yuk and quite constipated</t>
  </si>
  <si>
    <t>Feeling a lot better tday. Ate 2 bananas in morning. Q abt 4 times yaay! Didnt sleep tday in evening. Felt slightly sick after havng fairprice chappathi.</t>
  </si>
  <si>
    <t>Very very sick today. Just had little kanji. Lying down or sleeping from 1pm till abt 7pm. Felt a little better after that. Ate banana in evening. Asked amma if she can come sooner than end of Nov</t>
  </si>
  <si>
    <t>Proluton depot 250mg IM</t>
  </si>
  <si>
    <t>Duphaston tablet 10mg</t>
  </si>
  <si>
    <t>Injection for bleeding</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</si>
  <si>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</si>
  <si>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</si>
  <si>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</si>
  <si>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</si>
  <si>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</si>
  <si>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</si>
  <si>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</si>
  <si>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</si>
  <si>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</si>
  <si>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</si>
  <si>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</si>
  <si>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</si>
  <si>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</si>
  <si>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</si>
  <si>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</si>
  <si>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</si>
  <si>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</si>
  <si>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</si>
  <si>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</si>
  <si>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</si>
  <si>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</si>
  <si>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</si>
  <si>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</si>
  <si>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</si>
  <si>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</si>
  <si>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Place</t>
  </si>
  <si>
    <t>TMC</t>
  </si>
  <si>
    <t>Routine test</t>
  </si>
  <si>
    <t>Height, weight &amp; BP</t>
  </si>
  <si>
    <t>Harmony</t>
  </si>
  <si>
    <t>Blood test for Down Syndrome</t>
  </si>
  <si>
    <t>Ganilia</t>
  </si>
  <si>
    <t>Vitamins, iron &amp; folic acid tablets</t>
  </si>
  <si>
    <t>TMC Total</t>
  </si>
  <si>
    <t>Achan came</t>
  </si>
  <si>
    <t>Amma went to TCR for pooja in Ramapuram tmrw.</t>
  </si>
  <si>
    <t>Puked orange juice and arishtam</t>
  </si>
  <si>
    <t>Lady San Maid coming at 2pm. $50. Drank cold milk just after she left and puked it all out by the time R came home</t>
  </si>
  <si>
    <t>Puked banana.It was nenthrapazham</t>
  </si>
  <si>
    <t>Puked kanji after opening fridge</t>
  </si>
  <si>
    <t>Ate adipoli green grapes. Too much most probably coz puked the skins out at night</t>
  </si>
  <si>
    <t>Second scan at 8.50am. Was 8 weeks and 3 days. 19mm</t>
  </si>
  <si>
    <t>Amma came. Brought cutlets. R so happy. Weighed abt 62kgs</t>
  </si>
  <si>
    <t>Feeling very sick today. Had half dosa with sugar in morning and then only Lays chips at night plus donut. Amma and R went to Expo same and then Fairprice</t>
  </si>
  <si>
    <t>Amma came back. Weighed abt 60 kgs</t>
  </si>
  <si>
    <t>Third scan at 1.30pm at TMC at The O&amp;G Specialist Clinic. Reached on time. 11 weeks and 5 days. 50.78mm. Waited for about an hour and a half for scan and then blood test for Down Syndrome for which had to go to a different room. Funny nurse. Was laughing. Took lots of blood (20ml) Back home by 4.30pm</t>
  </si>
  <si>
    <t>3 months today. Called and told Ammamma, Sunimamman, Vellimma, Meeraunt &amp; Sheebaunty. Weighed 59.4kgs this morning. Told STC group and Hussain. Went to book sale :D Amma and R went to ambalam</t>
  </si>
  <si>
    <t>Puked smething. First time after amma came. Puke when i clean my tongue. So do that only if i feel sick.</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</si>
  <si>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</si>
  <si>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</si>
  <si>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</si>
  <si>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</si>
  <si>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</si>
  <si>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</si>
  <si>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</si>
  <si>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</si>
  <si>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</si>
  <si>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</si>
  <si>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</si>
  <si>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</si>
  <si>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</si>
  <si>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</si>
  <si>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</si>
  <si>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</si>
  <si>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</si>
  <si>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</si>
  <si>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</si>
  <si>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</si>
  <si>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</si>
  <si>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</si>
  <si>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</si>
  <si>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</si>
  <si>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</si>
  <si>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</si>
  <si>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</si>
  <si>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</si>
  <si>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</si>
  <si>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</si>
  <si>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</si>
  <si>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</si>
  <si>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</si>
  <si>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</si>
  <si>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</si>
  <si>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</si>
  <si>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</si>
  <si>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4 months today. Brinjal fry with morucurry and rice. Sat and watched mal movies. R watched North 24 kaatham and Om Shanthi Oshanna</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</si>
  <si>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</si>
  <si>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</si>
  <si>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</si>
  <si>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</si>
  <si>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</si>
  <si>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</si>
  <si>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</si>
  <si>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</si>
  <si>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</si>
  <si>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</si>
  <si>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</si>
  <si>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</si>
  <si>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</si>
  <si>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</si>
  <si>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</si>
  <si>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</si>
  <si>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</si>
  <si>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</si>
  <si>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</si>
  <si>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</si>
  <si>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</si>
  <si>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</si>
  <si>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</si>
  <si>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</si>
  <si>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</si>
  <si>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</si>
  <si>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</si>
  <si>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</si>
  <si>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</si>
  <si>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</si>
  <si>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</si>
  <si>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</si>
  <si>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</si>
  <si>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</si>
  <si>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Made potato spinach. Weight 59.4kgs morning.</t>
  </si>
  <si>
    <t>Gautham and Vishnu left</t>
  </si>
  <si>
    <t>Went to Orchard road to see Christmas lights. Ate dinner from that bostro place and came. Was out for about 3 or 4 hours. Slept like a log. Was good to get out</t>
  </si>
  <si>
    <t>Started Ganilia multivitamins</t>
  </si>
  <si>
    <t>Met Ashp in Bedok mall. Took jst few pics. Reached by abt 6 but she came by 7. Ate at Pizza Hut and I bought stretch mark cream and nivea lotion from fairprice. Was back home by about 8.30 or 9pm</t>
  </si>
  <si>
    <t>Had crappy headache for one or two days. Close to low BP i think. Was lying down whole day</t>
  </si>
  <si>
    <t>Amma made caramel custard</t>
  </si>
  <si>
    <t>Maid came at 9am coz of doc appointment at 3pm yday</t>
  </si>
  <si>
    <t>Fourth scan at 3pm at TMC at The O&amp;G Specialist Clinic. Reached on time. Waited for more than an hour. She was all curled up so length from head till bum was 73mm. My BP was 99/68 and weight 60.1 kgs in clinic. Went to fairprice. Bought giant mango. R took leave from offie today :)</t>
  </si>
  <si>
    <t>Lunch same as yday</t>
  </si>
  <si>
    <t>Achan made me cry a whole ton by saying that he told ppl tat i was crying coz i was missing amma so much. R told amma that if he makes me that upset then he thinks that its better if i deliver here than in TCR! Didnt talk to achan at all</t>
  </si>
  <si>
    <t>Achan left. Gautham and Vishnu came. Achan gave 250 bucks and vellimma gave 100 bucks</t>
  </si>
  <si>
    <t>Amma left in evening. She gave 400 bucks for me. She forgot ipad and immigration card but they let her through. R had to go back home to get ipad.</t>
  </si>
  <si>
    <t>Weighed 58.9kgs in morning</t>
  </si>
  <si>
    <t>Met Neillu at airport tday. R went alone for golf, came back soon but had bad headache so i went by bus to meet neillu. Reachd at 4.30 and left at 6.30. Home by 7pm. News abt the missin Air Asia flight yday</t>
  </si>
  <si>
    <t>R went for golf with friends.</t>
  </si>
  <si>
    <t>Weighed 59.2kgs in morning. Sent email to OG Clinic for dentist permission coz of broke tooth.</t>
  </si>
  <si>
    <t>R said that doc had called to confirm dentist is ok provided i inform dentist that im preg. Got my Kindle today :D</t>
  </si>
  <si>
    <t>Washed hair</t>
  </si>
  <si>
    <t>Cooked dal and potato spinach. Very tired today.</t>
  </si>
  <si>
    <t>Weight 59.1kgs in mornig.</t>
  </si>
  <si>
    <t>Happy Anniversary!!!! Wore pink dress. Went to Punjab Grill for lunch in MBS. Looked for Casio watch but didnt get the color</t>
  </si>
  <si>
    <t>New Year at home. Too crowded. Saw fireworks from balcony</t>
  </si>
  <si>
    <t>Last day of Susten</t>
  </si>
  <si>
    <t>She came at 2pm</t>
  </si>
  <si>
    <t>R had ofz coz Mie Mie didnt approve leave. Hpmh. She cane at 9.30am</t>
  </si>
  <si>
    <t>Went to airport to eat from Anantha Bhavan</t>
  </si>
  <si>
    <t>Fetal assessment scan</t>
  </si>
  <si>
    <t>5 months - 20 weeks</t>
  </si>
  <si>
    <t>21 weeks</t>
  </si>
  <si>
    <t>To Kerala</t>
  </si>
  <si>
    <t>Downloaded Castle books on Kindle. She came. Felt a few kicks while waiting at bus stop for R to come after getting umbrella.</t>
  </si>
  <si>
    <t>3.45pm dental appointment for filling. Said one more filing to b done but said will do in kerala. Took just 15min for doc to do filling :O got a trim also after from haircut place opposite for 20 bucks</t>
  </si>
  <si>
    <t>Took second pic in blue top and black pjs</t>
  </si>
  <si>
    <t>Cold starting :(</t>
  </si>
  <si>
    <t xml:space="preserve">Felt a kick in the morning. Achan said no medicines at all. </t>
  </si>
  <si>
    <t>Only tiger balm for cold. Ammas bday</t>
  </si>
  <si>
    <t xml:space="preserve">60.7kgs in mrng. Got kicked when i woke up. R felt kicking at nite when gng to bed. Long kicking session which continued after he slpt </t>
  </si>
  <si>
    <t>Fifth scan at 2pm on 4th floor. Detailed scan so might take time. Then meet doc on 5th floor at 3pm. Was on time for scan and was at docs by 3. But took time to see doc till 4 or 4.30. BP 108/65. 61.1kgs with jeans and cardigan. Abt 150mm long and 286gms. Choroid plexus cyst but shudnt b a problem coz of Harmony test done. Gave approval letter for travel. Came home by bus and reachd by abt 6.30pm. Namrus bday as well as Priyakuttys bday</t>
  </si>
  <si>
    <t>60.2kgs. Getting kicked daily when waking up and before gng to bed</t>
  </si>
  <si>
    <t>Went to Hans for breakfast. Bought cupcakes for Vanita. Went to Changi beach after tht and roamed on beach, saw drilling rig thingy being towed. Had lunch at Ubin first stop. Brought  remainder home. Went to Vanitas in eveng alone. Came home on bus after gng ther n train coz no taxi. Jayesh, wife Dhanya and son Aryan 7 came home at bt 1030 and left at 1.</t>
  </si>
  <si>
    <t>Waist at 37.5inches.61.2kgs. Fasting 82. Reshmichechi came home in evening by at 4.30 and left close to 7.30 by taxi</t>
  </si>
  <si>
    <t>22 weeks. Went to swadhist for meals and came home in bus. Amma  left for London. Navyammai and Prakash uncle on flight till Dubai</t>
  </si>
  <si>
    <t>Shirlyauntys bday. Baby expo thingy at suntec. Went ther and came</t>
  </si>
  <si>
    <t>Motor show pic. 3rd pic in grey top and maternity jeans. Went for movie also. Wore those new shoes which killed me</t>
  </si>
  <si>
    <t>Maid came at 2.45pm instead of 2. Left jst after 6 and came back at 8 coz she forgot her daughters shoes. Went to Mustafa and Joy Alukkas to get karimani for amma and got valentines earrings for me :D back home by 11.30 or so. Slept at 2am</t>
  </si>
  <si>
    <t>Packing started finally. Got video of movement too for few seconds!</t>
  </si>
  <si>
    <t>23 weeks over. Made beer</t>
  </si>
  <si>
    <t>Maid came at 1. Told her abt going to India etc and abt coming once every fortnight and tht r would message her as needed. Went to ECP after going to Divakars place. Slight pain from walking too fast. Ate frm ECP and went back home in taxi</t>
  </si>
  <si>
    <t>Paulie bday. Took pic. 23 weeks and a day. Cleaned out half fridge - door, veggie drawer and top drawer.</t>
  </si>
  <si>
    <t>61.2kgs. Finished cleaning fridge - freezer and main part. Threw out old stuff and washed everythng. R kept out suitcases.</t>
  </si>
  <si>
    <t>Went to Hans for breakfast and then R left to buy beer. Shopped for anjana and veenammai, sofianty and vellimma from changi city point and then went home.</t>
  </si>
  <si>
    <t>2 sided zip pouch</t>
  </si>
  <si>
    <t>exterior fabric</t>
  </si>
  <si>
    <t>lining</t>
  </si>
  <si>
    <t>strap</t>
  </si>
  <si>
    <t>pocket</t>
  </si>
  <si>
    <t>rate</t>
  </si>
  <si>
    <t>cost</t>
  </si>
  <si>
    <t>quantity</t>
  </si>
  <si>
    <t>per meter</t>
  </si>
  <si>
    <t>Phone charger holder</t>
  </si>
  <si>
    <t>binding</t>
  </si>
  <si>
    <t>batting</t>
  </si>
  <si>
    <t>Diaper bag</t>
  </si>
  <si>
    <t>Velcro</t>
  </si>
  <si>
    <t>labor</t>
  </si>
  <si>
    <t>per hour</t>
  </si>
  <si>
    <t>Cost</t>
  </si>
  <si>
    <t>Price</t>
  </si>
  <si>
    <t>fleece blanket size</t>
  </si>
  <si>
    <t>150*200 cm</t>
  </si>
  <si>
    <t>Inches</t>
  </si>
  <si>
    <t>59*79</t>
  </si>
  <si>
    <t>Guns &amp; roses</t>
  </si>
  <si>
    <t>black</t>
  </si>
  <si>
    <t>Offbeat (hell)</t>
  </si>
  <si>
    <t>red</t>
  </si>
  <si>
    <t>Rolling stones (tongue)</t>
  </si>
  <si>
    <t>ACDC</t>
  </si>
  <si>
    <t>Mettalica</t>
  </si>
  <si>
    <t>front</t>
  </si>
  <si>
    <t>back</t>
  </si>
  <si>
    <t>Bossini metal</t>
  </si>
  <si>
    <t>grey</t>
  </si>
  <si>
    <t>Nirvana</t>
  </si>
  <si>
    <t>Superguitar</t>
  </si>
  <si>
    <t>Paris</t>
  </si>
  <si>
    <t>WO Seam</t>
  </si>
  <si>
    <t>With seam</t>
  </si>
  <si>
    <t>Sculler vintage</t>
  </si>
  <si>
    <t>Width</t>
  </si>
  <si>
    <t>Height</t>
  </si>
  <si>
    <t>With Seam</t>
  </si>
  <si>
    <t>Puma Jamaica</t>
  </si>
  <si>
    <t>Max</t>
  </si>
  <si>
    <t>Karma (Beer)</t>
  </si>
  <si>
    <t>Bossini Camera</t>
  </si>
  <si>
    <t>Vintage guard</t>
  </si>
  <si>
    <t>Karma steps</t>
  </si>
  <si>
    <t>green</t>
  </si>
  <si>
    <t>Nike Brasil</t>
  </si>
  <si>
    <t>Tantra</t>
  </si>
  <si>
    <t>Nuon</t>
  </si>
  <si>
    <t>blue</t>
  </si>
  <si>
    <t>border strip</t>
  </si>
  <si>
    <t>length</t>
  </si>
  <si>
    <t>width</t>
  </si>
  <si>
    <t>Color</t>
  </si>
  <si>
    <t>number</t>
  </si>
  <si>
    <t>Karma (perfect)</t>
  </si>
  <si>
    <t>Debbie shore tote</t>
  </si>
  <si>
    <t>interfacing</t>
  </si>
  <si>
    <t>bias tape</t>
  </si>
  <si>
    <t>Puma Reggae</t>
  </si>
  <si>
    <t>.</t>
  </si>
  <si>
    <t>After sewing</t>
  </si>
  <si>
    <t>Area</t>
  </si>
  <si>
    <t>Kitchenaid Artisan</t>
  </si>
  <si>
    <t>Artisan Mini</t>
  </si>
  <si>
    <t>4.5 qt Lift Bowl</t>
  </si>
  <si>
    <t>5qt Professional Heavy Duty</t>
  </si>
  <si>
    <t>5qt Professional 5 Plus Series Lift Bowl</t>
  </si>
  <si>
    <t>5qt 500 Pro Series Lift Bowl</t>
  </si>
  <si>
    <t>6qt 600 Pro Series Lift Bowl</t>
  </si>
  <si>
    <t>6qt Professional 6500 Design Series Lift Bowl</t>
  </si>
  <si>
    <t>3.5qt Mini =</t>
  </si>
  <si>
    <t>Artisan Mini 3.5-Quart Tilt-Head Stand Mixer</t>
  </si>
  <si>
    <t>Tilt Head =</t>
  </si>
  <si>
    <t>4.5qt Classic </t>
  </si>
  <si>
    <t>4.5qt Ultra Power Series </t>
  </si>
  <si>
    <t>5qt Architect Series </t>
  </si>
  <si>
    <t>Lift Bowl =</t>
  </si>
  <si>
    <t>Pro Line Series 7-Qt </t>
  </si>
  <si>
    <t>Commercial Series 8-Qt Bowl Lift Stand Mixer with Stainless Steel Bowl Guard</t>
  </si>
  <si>
    <t>Cutting</t>
  </si>
  <si>
    <t>14*13*9</t>
  </si>
  <si>
    <t>15*15*10</t>
  </si>
  <si>
    <t>Radius</t>
  </si>
  <si>
    <t>Circumference</t>
  </si>
  <si>
    <t>Length</t>
  </si>
  <si>
    <t>Professional &amp; Plus</t>
  </si>
  <si>
    <t>7 &amp; 8 qt</t>
  </si>
  <si>
    <t>Depth</t>
  </si>
  <si>
    <t>Side panel area</t>
  </si>
  <si>
    <t>Total side panel area</t>
  </si>
  <si>
    <t>Artisan (KSM150)</t>
  </si>
  <si>
    <t>5qt Artisan Series (Stainless Steel and Glass Bowl) KSM150</t>
  </si>
  <si>
    <t>Flip top wallet</t>
  </si>
  <si>
    <t>D-ring</t>
  </si>
  <si>
    <t>etaneja18</t>
  </si>
  <si>
    <t>Date ordered</t>
  </si>
  <si>
    <t>pasjelsingapore</t>
  </si>
  <si>
    <t>mostuff</t>
  </si>
  <si>
    <t>joycelyn.wong.10</t>
  </si>
  <si>
    <t>sharonspp</t>
  </si>
  <si>
    <t>srivithyiya</t>
  </si>
  <si>
    <t>diva.design</t>
  </si>
  <si>
    <t>jjuly3</t>
  </si>
  <si>
    <t>User</t>
  </si>
  <si>
    <t>Date sent</t>
  </si>
  <si>
    <t>Postage</t>
  </si>
  <si>
    <t>Rafidah Osan Alkhatib</t>
  </si>
  <si>
    <t>18*8 inches</t>
  </si>
  <si>
    <t>9*5 inches</t>
  </si>
  <si>
    <t>doublelle</t>
  </si>
  <si>
    <t>Times 3</t>
  </si>
  <si>
    <t>Advance/ pending</t>
  </si>
  <si>
    <t>Cut (X) from Interior fabric</t>
  </si>
  <si>
    <t>Dimensions</t>
  </si>
  <si>
    <t>(A)</t>
  </si>
  <si>
    <t xml:space="preserve">Straps </t>
  </si>
  <si>
    <t>(B)</t>
  </si>
  <si>
    <t>(C)</t>
  </si>
  <si>
    <t>Top side borders</t>
  </si>
  <si>
    <t>(D)</t>
  </si>
  <si>
    <t xml:space="preserve">Bottom (same size as P) </t>
  </si>
  <si>
    <t>(E)</t>
  </si>
  <si>
    <t>Exterior gussets</t>
  </si>
  <si>
    <t>(F)</t>
  </si>
  <si>
    <t>Interior gussets</t>
  </si>
  <si>
    <t>(G)</t>
  </si>
  <si>
    <t>Interior gusset borders</t>
  </si>
  <si>
    <t>(H)</t>
  </si>
  <si>
    <t>(I)</t>
  </si>
  <si>
    <t>Exterior strip #1 (for ruffle version only</t>
  </si>
  <si>
    <t>(J)</t>
  </si>
  <si>
    <t>Exterior strip #2 (for ruffle version only</t>
  </si>
  <si>
    <t>(K)</t>
  </si>
  <si>
    <t>Exterior strip #3 (for ruffle version only)</t>
  </si>
  <si>
    <t xml:space="preserve"> (L</t>
  </si>
  <si>
    <t>(M)</t>
  </si>
  <si>
    <t>Zipper panel (optional)</t>
  </si>
  <si>
    <t>(N)</t>
  </si>
  <si>
    <t>Zipper end (optional)</t>
  </si>
  <si>
    <t>(P)</t>
  </si>
  <si>
    <t>Foam bottom (same as D)</t>
  </si>
  <si>
    <t>(Q)</t>
  </si>
  <si>
    <t>Foam sides</t>
  </si>
  <si>
    <t>(R)</t>
  </si>
  <si>
    <t>Foam gussets</t>
  </si>
  <si>
    <t>(S)</t>
  </si>
  <si>
    <t>Pocket divider</t>
  </si>
  <si>
    <t>Cut (X) from Exterior fabric</t>
  </si>
  <si>
    <t>Piece</t>
  </si>
  <si>
    <t>FOAM</t>
  </si>
  <si>
    <t>15*4</t>
  </si>
  <si>
    <t>10*6.5</t>
  </si>
  <si>
    <t>10*2</t>
  </si>
  <si>
    <t>10*5</t>
  </si>
  <si>
    <t>5*7.5</t>
  </si>
  <si>
    <t>6*6.5</t>
  </si>
  <si>
    <t>5*2</t>
  </si>
  <si>
    <t>19*3</t>
  </si>
  <si>
    <t>10*3</t>
  </si>
  <si>
    <t>10*2.5</t>
  </si>
  <si>
    <t>10*1.5</t>
  </si>
  <si>
    <t>9.5*7.5</t>
  </si>
  <si>
    <t>12.5*3</t>
  </si>
  <si>
    <t>2.75*2.75</t>
  </si>
  <si>
    <t>10*7</t>
  </si>
  <si>
    <t>5*7</t>
  </si>
  <si>
    <t>8.5*5</t>
  </si>
  <si>
    <t>Exterior pockets, interior sides, and divider  (for a ruffled ext, cut 1)</t>
  </si>
  <si>
    <t>Optional ruffles (do not interface)  (or use interior fabric for contrast)</t>
  </si>
  <si>
    <t xml:space="preserve"> Flap (optional) (or cut 1 exterior, 1 interior)
</t>
  </si>
  <si>
    <t>Ext</t>
  </si>
  <si>
    <t>Int</t>
  </si>
  <si>
    <t>18*6</t>
  </si>
  <si>
    <t>per yard</t>
  </si>
  <si>
    <t>Girija</t>
  </si>
  <si>
    <t>24/10/2017 &amp; 3 Nov</t>
  </si>
  <si>
    <t>mnm11315</t>
  </si>
  <si>
    <t>Nescafe Drop</t>
  </si>
  <si>
    <t>Bias tape</t>
  </si>
  <si>
    <t>connie.chew</t>
  </si>
  <si>
    <t>Fabric color</t>
  </si>
  <si>
    <t>throwoutfiftythings</t>
  </si>
  <si>
    <t>lionsowner3</t>
  </si>
  <si>
    <t>Kenwood KMM760</t>
  </si>
  <si>
    <t>14 inch tall x 16 inch deep x 9 inch wide</t>
  </si>
  <si>
    <t>15*17*10</t>
  </si>
  <si>
    <t>Kenwood</t>
  </si>
  <si>
    <t>Kenwood KMM760 (6.7ltres bowl size) 34cm height / 23cm width / 39 cm depth</t>
  </si>
  <si>
    <t>Count</t>
  </si>
  <si>
    <t>TOTAL</t>
  </si>
  <si>
    <t>green (from SMH) with pink canvas - due by 24 Dec</t>
  </si>
  <si>
    <t>Ish.9788</t>
  </si>
  <si>
    <t>at actual prices - 43</t>
  </si>
  <si>
    <t>pink flowers with purple with dots lining</t>
  </si>
  <si>
    <t>at actual prices - 38</t>
  </si>
  <si>
    <t>red KA</t>
  </si>
  <si>
    <t>40/45</t>
  </si>
  <si>
    <t>adv of 40 paid on 27 nov</t>
  </si>
  <si>
    <t>Mixer model</t>
  </si>
  <si>
    <t>Red Kitchenaid Artisan</t>
  </si>
  <si>
    <t>Part</t>
  </si>
  <si>
    <t>Size</t>
  </si>
  <si>
    <t>Quantity</t>
  </si>
  <si>
    <t>Rate</t>
  </si>
  <si>
    <t>choonggeorge</t>
  </si>
  <si>
    <t>paisley print with solid orange lining</t>
  </si>
  <si>
    <t>at actual prices - 36</t>
  </si>
  <si>
    <t>pink paisley on black background</t>
  </si>
  <si>
    <t>Quilted make up roll</t>
  </si>
  <si>
    <t>Daiso quilt batting</t>
  </si>
  <si>
    <t>29 * 30 inches</t>
  </si>
  <si>
    <t>Cost@ $4pm</t>
  </si>
  <si>
    <t>Cost@ $2pm</t>
  </si>
  <si>
    <t>bandband</t>
  </si>
  <si>
    <t>min 40</t>
  </si>
  <si>
    <t>simblemynes_precious</t>
  </si>
  <si>
    <t>min 11 each</t>
  </si>
  <si>
    <t>a dozen quilted make uo rolls</t>
  </si>
  <si>
    <t>size - 16 * 19 inches</t>
  </si>
  <si>
    <t>KA</t>
  </si>
  <si>
    <t>at actual prices - 47</t>
  </si>
  <si>
    <t>Kenwood KMM770 (6.7ltres bowl size) 34cm height / 23cm width / 39 cm depth</t>
  </si>
  <si>
    <t>Kenwood Kmix Mixer (6.7ltres bowl size) 34.9cm height / 23cm width / 37 cm depth</t>
  </si>
  <si>
    <t>14 inch tall x 15 inch deep x 9 inch wide</t>
  </si>
  <si>
    <t>15*16*10</t>
  </si>
  <si>
    <t>shimaj007</t>
  </si>
  <si>
    <t>courdroy &amp; lining from Kayley Ang - due end jan</t>
  </si>
  <si>
    <t>cupcake from Tracey wong and my lining multi checks - due end jan</t>
  </si>
  <si>
    <t>at actual prices - 48</t>
  </si>
  <si>
    <t>11 Jul 2015 - 10 Jul 2016</t>
  </si>
  <si>
    <t>Went to see Dr. Loh. Said have to top bf  Tried in Dec beginning. First week was bad. Wud slp only at 12 am or so. Finally r said to feed her.</t>
  </si>
  <si>
    <t>Met dr loh again. Feeding only at night now  but said no dditional nutrition.</t>
  </si>
  <si>
    <t>Dr loh askd if ive ovulated bt when he dd scan said tht alrdy ovulated and have a polyp in uterus so hv tor remove tht befre doing fet. To call TMC clinic on first day of cycle. Started on 26 dec but calld on 28th and they gave appointmtn for procedure on 4th jan. mishas school starts on 3rd jan koppu</t>
  </si>
  <si>
    <t>Met dr Loh in June 2016 &amp; 2017 but I cudnt find the receipts</t>
  </si>
  <si>
    <t>11 Jul 2016 - 11 Sept 2017</t>
  </si>
  <si>
    <t>12 Sept 2017 - 12 Mar 2018</t>
  </si>
  <si>
    <t>D&amp;C/ Hysteroscopy</t>
  </si>
  <si>
    <t>Cytotec (no bill)</t>
  </si>
  <si>
    <t>Curam tab 625mg</t>
  </si>
  <si>
    <t>Norethisterone tab 5mg (Sonolut)</t>
  </si>
  <si>
    <t>Normal saline 1000ml</t>
  </si>
  <si>
    <t>Disposable panties</t>
  </si>
  <si>
    <t>Surgical gloves</t>
  </si>
  <si>
    <t>Instrument set</t>
  </si>
  <si>
    <t>Urigation set</t>
  </si>
  <si>
    <t>Video printout</t>
  </si>
  <si>
    <t>Histology - Lab fees</t>
  </si>
  <si>
    <t>Admission procedure</t>
  </si>
  <si>
    <t>Hosp number - 62-03-00184-2018</t>
  </si>
  <si>
    <t>Doctors fee - Dr Loh Seong Feei - attendance</t>
  </si>
  <si>
    <t>Doctors fee - Dr Loh Seong Feei - operation fee</t>
  </si>
  <si>
    <t>Doctors fee - Dr Loo Chee Chuen - operation fee</t>
  </si>
  <si>
    <t>D&amp;C/ Hysteroscopy - Loh fees</t>
  </si>
  <si>
    <t>D&amp;C/ Hysteroscopy - Loo fees</t>
  </si>
  <si>
    <t>Kettle cover</t>
  </si>
  <si>
    <t>Kitchenaid KA</t>
  </si>
  <si>
    <t>pink and gold due mid feb?</t>
  </si>
  <si>
    <t>hot pink small flower &amp; pink flower on white background</t>
  </si>
  <si>
    <t>top</t>
  </si>
  <si>
    <t>at actual prices - 15</t>
  </si>
  <si>
    <t>at actual prices - 40</t>
  </si>
  <si>
    <t>skipperoo</t>
  </si>
  <si>
    <t>rainbow scale (yorkcoco)</t>
  </si>
  <si>
    <t>red scale (yorkcoco)</t>
  </si>
  <si>
    <t>Kitchenaid Pro 600</t>
  </si>
  <si>
    <t>at actual prices - 50</t>
  </si>
  <si>
    <t>Toriska sweet sunday</t>
  </si>
  <si>
    <t>Quilted makeup roll - sew4home (Roll up brsh organiser with zippered pocket)</t>
  </si>
  <si>
    <t>zip pocket</t>
  </si>
  <si>
    <t>flap/ binding &amp; ties</t>
  </si>
  <si>
    <t>18*9</t>
  </si>
  <si>
    <t>Cut (X) from Interior pocket &amp; inside</t>
  </si>
  <si>
    <t>14*9</t>
  </si>
  <si>
    <t>5*9</t>
  </si>
  <si>
    <t>14*4</t>
  </si>
  <si>
    <t>brush cover flap</t>
  </si>
  <si>
    <t>1.5*22</t>
  </si>
  <si>
    <t>ties</t>
  </si>
  <si>
    <t>1*21</t>
  </si>
  <si>
    <t>zipper pull</t>
  </si>
  <si>
    <t>1*5</t>
  </si>
  <si>
    <t>main lining</t>
  </si>
  <si>
    <t>main exterior</t>
  </si>
  <si>
    <t>zippered pocket</t>
  </si>
  <si>
    <t>zippoered pocket lining</t>
  </si>
  <si>
    <t>brush cover flap lining</t>
  </si>
  <si>
    <t>INTERFACING</t>
  </si>
  <si>
    <t>brush pocket</t>
  </si>
  <si>
    <t>interior pocket panel</t>
  </si>
  <si>
    <t>14*4.5</t>
  </si>
  <si>
    <t>1.5*8</t>
  </si>
  <si>
    <t>Fusible fleece</t>
  </si>
  <si>
    <t>17*8</t>
  </si>
  <si>
    <t>brush cover</t>
  </si>
  <si>
    <t>Price @ 30%</t>
  </si>
  <si>
    <t>Brush roll organiser with zip</t>
  </si>
  <si>
    <t>sha.abd</t>
  </si>
  <si>
    <t>vanisse</t>
  </si>
  <si>
    <t>faridah4477</t>
  </si>
  <si>
    <t>nishita dance</t>
  </si>
  <si>
    <t>ish carousell pending</t>
  </si>
  <si>
    <t>yorkcoco</t>
  </si>
  <si>
    <t>adeline kam</t>
  </si>
  <si>
    <t>monkeyjjj</t>
  </si>
  <si>
    <t>green anchor &amp; pink coral shape (3rd week feb</t>
  </si>
  <si>
    <t>KA turquoise</t>
  </si>
  <si>
    <t>at actual prices - 58</t>
  </si>
  <si>
    <t>spare1</t>
  </si>
  <si>
    <t>old turquoise from amma and rainbow chevron</t>
  </si>
  <si>
    <t>Hysteroscopy and polyp removal  got 2 polyps  mishas second day of school.. We left at 7.25 and Mwoke up shortly after. Got ther by 8 and registrationdone. In ward 800E. Guliga inserted at 9. Took me in at 12.30 but procedure startd at abt 1.45pm when it was supposed to b 1. woke u at 2.20pm and bak in room just before r camebak. home by 6.15pm.r slpt with us. M slpt on bed. was taking synolut for 15 days (2 tabs twice a day). got dizzy spells even while lying down. tired in first week but ok after tht</t>
  </si>
  <si>
    <t>First checkup post procedure. non malignant polyps as per results. Said will do medicated ovulation for next cycle. To make appointment on D1 and start progynova from d2. scan will be on D13-D14.</t>
  </si>
  <si>
    <t xml:space="preserve">Progesteron </t>
  </si>
  <si>
    <t>HIV blood test for both of us</t>
  </si>
  <si>
    <t>sl777</t>
  </si>
  <si>
    <t>expressed interest in orange/ yellow chevron print</t>
  </si>
  <si>
    <t>audwxc</t>
  </si>
  <si>
    <t>ofjlpx</t>
  </si>
  <si>
    <t>eileenliy</t>
  </si>
  <si>
    <t xml:space="preserve">Nams </t>
  </si>
  <si>
    <t>Everyday Tote</t>
  </si>
  <si>
    <t>Raji Kujji</t>
  </si>
  <si>
    <t>Mixie</t>
  </si>
  <si>
    <t>Microwave</t>
  </si>
  <si>
    <t>Grinder</t>
  </si>
  <si>
    <t>Sl no</t>
  </si>
  <si>
    <t>Kitchenaid Pro Plus</t>
  </si>
  <si>
    <t>Quilted make up roll - EFFIE HANDMADE</t>
  </si>
  <si>
    <t>zipper &amp; KAM snaps</t>
  </si>
  <si>
    <t>Quilted makeup roll - effiehandmade (Roll up brsh organiser with zippered pocket)</t>
  </si>
  <si>
    <t>Main fabric interior piece</t>
  </si>
  <si>
    <t>Main fabric outer piece</t>
  </si>
  <si>
    <t>height</t>
  </si>
  <si>
    <t>Interior fabric remainder piece</t>
  </si>
  <si>
    <t>pocket &amp; lining</t>
  </si>
  <si>
    <t>interior flap</t>
  </si>
  <si>
    <t>interior brush slot</t>
  </si>
  <si>
    <t>zipper tape binding</t>
  </si>
  <si>
    <t>zip binding, pocket &amp; lining</t>
  </si>
  <si>
    <t>flap &amp; brush slots</t>
  </si>
  <si>
    <t>Interfacing</t>
  </si>
  <si>
    <t>Orange KA</t>
  </si>
  <si>
    <t>star147</t>
  </si>
  <si>
    <t>KA yellow</t>
  </si>
  <si>
    <t>Mayer breadmaker</t>
  </si>
  <si>
    <t>Mayer breadmaker MMBM12</t>
  </si>
  <si>
    <t>32cm height / 26cm width / 35 cm depth</t>
  </si>
  <si>
    <t>35cm height / 23cm width / 37 cm depth</t>
  </si>
  <si>
    <t>34cm height / 23cm width / 39 cm depth</t>
  </si>
  <si>
    <t>13 inch tall x 14 inch deep x 11 inch wide</t>
  </si>
  <si>
    <t>MAYER BREAD MAKER MMBM12 (31.2cm height / 26 cm width / 34.3 cm depth)</t>
  </si>
  <si>
    <t>H*W*D</t>
  </si>
  <si>
    <t>14*11*15</t>
  </si>
  <si>
    <t>Top panel</t>
  </si>
  <si>
    <t>12*16</t>
  </si>
  <si>
    <t>at actual prices -41</t>
  </si>
  <si>
    <t>Everyday Tote (Bagstock)</t>
  </si>
  <si>
    <t>exterior center</t>
  </si>
  <si>
    <t>exterior contrast</t>
  </si>
  <si>
    <t>Exterior strap</t>
  </si>
  <si>
    <t>byannies soft&amp;stable</t>
  </si>
  <si>
    <t>zipped pocket lining</t>
  </si>
  <si>
    <t>slip pocket</t>
  </si>
  <si>
    <t>zipper tape and pulls</t>
  </si>
  <si>
    <t>zipper tape</t>
  </si>
  <si>
    <t>zipper pulls</t>
  </si>
  <si>
    <t>count</t>
  </si>
  <si>
    <t>$</t>
  </si>
  <si>
    <t>SMH interfacing 1340F</t>
  </si>
  <si>
    <t>SMH interfacing 6112HF</t>
  </si>
  <si>
    <t>base</t>
  </si>
  <si>
    <t>base stabiliser</t>
  </si>
  <si>
    <t>rivets</t>
  </si>
  <si>
    <t>nams</t>
  </si>
  <si>
    <t>rainbow shell and purple polka dots</t>
  </si>
  <si>
    <t>fadilah.sfm</t>
  </si>
  <si>
    <t>cherry print from tracey yong</t>
  </si>
  <si>
    <t>Philips HR-7920</t>
  </si>
  <si>
    <t xml:space="preserve">KA diamond blender 5KSB1585 </t>
  </si>
  <si>
    <t>Philips HR7920/90 Stand Mixer</t>
  </si>
  <si>
    <t>KITCHENAID 5KSB1585 Diamond Blender (16.5 height / 9 inch width / 8.5 inch depth)</t>
  </si>
  <si>
    <t>17 height / 9 inch width / 9 inch depth</t>
  </si>
  <si>
    <t>18*10*10</t>
  </si>
  <si>
    <t>KITCHENAID 5KSB1585 Diamond Blender</t>
  </si>
  <si>
    <t>11*11</t>
  </si>
  <si>
    <t>fabric</t>
  </si>
  <si>
    <t>39*55</t>
  </si>
  <si>
    <t>14*14*11</t>
  </si>
  <si>
    <t>13 inch tall x 13 inch deep x 10 inch wide</t>
  </si>
  <si>
    <t>Philips HR7920/90 Stand Mixer (13 inch tall x 13 inch deep x 10 inch wide)</t>
  </si>
  <si>
    <t>CANCELLED</t>
  </si>
  <si>
    <t>elim.closet</t>
  </si>
  <si>
    <t>not confirmed on price</t>
  </si>
  <si>
    <t>intaniman76</t>
  </si>
  <si>
    <t>cheap_buys</t>
  </si>
  <si>
    <t>Kitchenaid Classic (same as artisan)</t>
  </si>
  <si>
    <t>orange/ yellow chevron print</t>
  </si>
  <si>
    <t>pink with drawn flowers &amp; green circles on cream bg frm india</t>
  </si>
  <si>
    <t>RAJI'S</t>
  </si>
  <si>
    <t>OVEN</t>
  </si>
  <si>
    <t>15 inch tall x 18 inch deep x 25 inch wide</t>
  </si>
  <si>
    <t>MICROWAVE</t>
  </si>
  <si>
    <t>13 inch tall x 19 inch deep x 22 inch wide</t>
  </si>
  <si>
    <t>12 inch tall x 21 inch deep x 14 inch wide</t>
  </si>
  <si>
    <t>16*19*26</t>
  </si>
  <si>
    <t>14*20*23</t>
  </si>
  <si>
    <t>13*22*15</t>
  </si>
  <si>
    <t>14 inch tall x 14 inch deep x 9 inch wide</t>
  </si>
  <si>
    <t>HEIGHT</t>
  </si>
  <si>
    <t>WIDTH</t>
  </si>
  <si>
    <t>DEPTH</t>
  </si>
  <si>
    <t>17 inch tall x 9 inch deep x  9 inch wide</t>
  </si>
  <si>
    <t>20*27</t>
  </si>
  <si>
    <t>21*24</t>
  </si>
  <si>
    <t>23*16</t>
  </si>
  <si>
    <t>total area</t>
  </si>
  <si>
    <t>GRINDER</t>
  </si>
  <si>
    <t>PAYLAH DETAILS</t>
  </si>
  <si>
    <t>Cycle started late evening.. Very very little. Only while pouring water kinds</t>
  </si>
  <si>
    <t xml:space="preserve">Calld TFC. Said tday is D2 so to start progynova thrice a day. Scan on </t>
  </si>
  <si>
    <t>Did scan.2.30pm appointment at TMC. Uterine lining at 9mm. Transfer on 8th Mar at TFC. To start Urogestan 2 tabs twice a day. Aspirin one tab a day and folic acid 5mg 1 tab a day. School called to pick up misha coz of the mark on nose so pickd her up by 10.30am</t>
  </si>
  <si>
    <t>Misha had fever and cough paavam</t>
  </si>
  <si>
    <t>Transfer at 9.30am so to reach there by 9am. Last sewing class tday so did not go. Misha not well.</t>
  </si>
  <si>
    <t xml:space="preserve">Amma and achan bak from trip on 6 mar. took misha to doc in the afternoon. Doc gave antinbiotics, drops, fever &amp; cough medcine and said its contagious. </t>
  </si>
  <si>
    <t>Ammamma fell down at sofiauntys with internal bleeding in brain. To manipal Did procedure to remove in the eveng. High bp. Not regained consciousness. In blr for sayaan's first bday</t>
  </si>
  <si>
    <t>Next cycle due</t>
  </si>
  <si>
    <t>went to textile center to buy shaded chevron for client</t>
  </si>
  <si>
    <t>Took HPT in the morning coz HCG supposed to b high enof by now on HPT for 2 day embryo on D12. Was negative. Ammamma shifted to Aster for second opinion by 8pm IST. Amma is relieved tht ammamma is happy and had a gud time and tht she was surrounded by everyone. Sunimamman told adarsh abt ammamma and he was inconsolabel paavam :( met janie tday. misha crying  lot sice school restarted on 19th. very clingy teacher mentoned too. went to expo ntuc to buy sugar coz it got over aftr i made carrot cake yday which was made with olive oil</t>
  </si>
  <si>
    <t>Plumeria (Bagstock)</t>
  </si>
  <si>
    <t>for kujji</t>
  </si>
  <si>
    <t>xterior main</t>
  </si>
  <si>
    <t>rainbow shell</t>
  </si>
  <si>
    <t>denim</t>
  </si>
  <si>
    <t>red cotton</t>
  </si>
  <si>
    <t>exterior main</t>
  </si>
  <si>
    <t>exterior slip pocket</t>
  </si>
  <si>
    <t>d rings</t>
  </si>
  <si>
    <t>exterior contrast gusset</t>
  </si>
  <si>
    <t>credit card slot</t>
  </si>
  <si>
    <t>credit card slot backing</t>
  </si>
  <si>
    <t>Ext zipper pocket lining panel</t>
  </si>
  <si>
    <t>Interior slip &amp; zipper pocket</t>
  </si>
  <si>
    <t>zipper coin pocket</t>
  </si>
  <si>
    <t>Exterior zipper closure</t>
  </si>
  <si>
    <t>Exterior contrast strap</t>
  </si>
  <si>
    <t>contrast gusset bottom panel</t>
  </si>
  <si>
    <t>Everyday Tote/ Plumeria</t>
  </si>
  <si>
    <t>pink with rainbow flags</t>
  </si>
  <si>
    <t>rainbow shell and red lining</t>
  </si>
  <si>
    <t>Plumeria</t>
  </si>
  <si>
    <t>at actual prices - 60</t>
  </si>
  <si>
    <t>puteri</t>
  </si>
  <si>
    <t>FUSIBLE BATTING</t>
  </si>
  <si>
    <t>fusible batting</t>
  </si>
  <si>
    <t>Raji Oven</t>
  </si>
  <si>
    <t>Raji Microwave</t>
  </si>
  <si>
    <t>Raji Grinder</t>
  </si>
  <si>
    <t>DUE IN APRIL - have to buy new model</t>
  </si>
  <si>
    <t>jonktm</t>
  </si>
  <si>
    <t>wanderlustgal</t>
  </si>
  <si>
    <t>smiles48 contact 9626 0048</t>
  </si>
  <si>
    <t>Electrolux ekm4000 (same as KA)</t>
  </si>
  <si>
    <t>some_cat</t>
  </si>
  <si>
    <t>matthewtan</t>
  </si>
  <si>
    <t>Double oven mitts</t>
  </si>
  <si>
    <t>didn’t want coz I was in india</t>
  </si>
  <si>
    <t>j_j16</t>
  </si>
  <si>
    <t>DUE IN MID APRIL - no response</t>
  </si>
  <si>
    <t>Raji bag</t>
  </si>
  <si>
    <t>Maya madhavan</t>
  </si>
  <si>
    <t xml:space="preserve">remaunty </t>
  </si>
  <si>
    <t>Mini dentist</t>
  </si>
  <si>
    <t>finishd 29 mar. % may</t>
  </si>
  <si>
    <t>CD player</t>
  </si>
  <si>
    <t>CD Player</t>
  </si>
  <si>
    <t>32cm height/ 25 cm width/ 28 cm depth</t>
  </si>
  <si>
    <t>CD Player (13 inch tall / 10 inch width / 11 inch depth</t>
  </si>
  <si>
    <t>13 inch tall x 11 inch deep x 10 inch wide</t>
  </si>
  <si>
    <t>14*11*12</t>
  </si>
  <si>
    <t>13*12</t>
  </si>
  <si>
    <t>12*13</t>
  </si>
  <si>
    <t>pink/ light blue flowery print with ammas green big polka dots</t>
  </si>
  <si>
    <t>CD Player base</t>
  </si>
  <si>
    <t>CD player base</t>
  </si>
  <si>
    <t>light green base with blue flowery print</t>
  </si>
  <si>
    <t>Status</t>
  </si>
  <si>
    <t>Done</t>
  </si>
  <si>
    <t>Not received</t>
  </si>
  <si>
    <t>No response</t>
  </si>
  <si>
    <t>No time</t>
  </si>
  <si>
    <t>Cancelled</t>
  </si>
  <si>
    <t>Pending</t>
  </si>
  <si>
    <t>chrged 8</t>
  </si>
  <si>
    <t>13 inch tall x 13 inch deep x 8 inch wide.</t>
  </si>
  <si>
    <t>17 inch tall x 15 inch deep x 12 inch wide</t>
  </si>
  <si>
    <t>18*16*13</t>
  </si>
  <si>
    <t>14 inches deep x 11 inches wide</t>
  </si>
  <si>
    <t>17 inch tall x 15 inch deep x 14 inch wide</t>
  </si>
  <si>
    <t>18*16*15</t>
  </si>
  <si>
    <t>Kitchenaid Artisan Mini</t>
  </si>
  <si>
    <t>see through panel</t>
  </si>
  <si>
    <t>Straps</t>
  </si>
  <si>
    <t>Busy Bag - gallon size</t>
  </si>
  <si>
    <t>Strap</t>
  </si>
  <si>
    <t>(9 inch long straps plus 3 inch piece for velcro)</t>
  </si>
  <si>
    <t>=B275*2/12 - $2 for a 12 inch piece</t>
  </si>
  <si>
    <t>Gallon bags - 6</t>
  </si>
  <si>
    <t>Fusible batting</t>
  </si>
  <si>
    <t>She sent fabric - IKEA upholstery with purple lining</t>
  </si>
  <si>
    <t>KA Mini</t>
  </si>
  <si>
    <t>Extra pouch</t>
  </si>
  <si>
    <t>Double Oven mitt</t>
  </si>
  <si>
    <t>insulated batting</t>
  </si>
  <si>
    <t>Main panel</t>
  </si>
  <si>
    <t>pockets</t>
  </si>
  <si>
    <t>cotton batting</t>
  </si>
  <si>
    <t>circumferece</t>
  </si>
  <si>
    <t>Double oven mitt</t>
  </si>
  <si>
    <t>Double Oven Mitt</t>
  </si>
  <si>
    <t>Account</t>
  </si>
  <si>
    <t>Didn’t pay</t>
  </si>
  <si>
    <t>Meghu</t>
  </si>
  <si>
    <t>Amma gave me money</t>
  </si>
  <si>
    <t>Diywareouse</t>
  </si>
  <si>
    <t>Jetset cinched bag - Sew Sweetness by Sara Lawson</t>
  </si>
  <si>
    <t>Band</t>
  </si>
  <si>
    <t>elastic</t>
  </si>
  <si>
    <t>mesh</t>
  </si>
  <si>
    <t>area</t>
  </si>
  <si>
    <t>Table reservation</t>
  </si>
  <si>
    <t>Items</t>
  </si>
  <si>
    <t>Busy bag</t>
  </si>
  <si>
    <t>Everday tote</t>
  </si>
  <si>
    <t>Jetset cinched bag</t>
  </si>
  <si>
    <t>Penquin tote</t>
  </si>
  <si>
    <t>Large</t>
  </si>
  <si>
    <t>Small</t>
  </si>
  <si>
    <t>Medium</t>
  </si>
  <si>
    <t>Desktop Cube</t>
  </si>
  <si>
    <t>oil filter batting</t>
  </si>
  <si>
    <t>exterior pocket lining</t>
  </si>
  <si>
    <t>Cotton Candy pouch</t>
  </si>
  <si>
    <t>Sunshine wristlet</t>
  </si>
  <si>
    <t>SMH new</t>
  </si>
  <si>
    <t>SMH old</t>
  </si>
  <si>
    <t>purple shell and hot pink canvas</t>
  </si>
  <si>
    <t>for girija</t>
  </si>
  <si>
    <t>at actual prices - 65</t>
  </si>
  <si>
    <t>Keep crochet stuff</t>
  </si>
  <si>
    <t>cat</t>
  </si>
  <si>
    <t>horse</t>
  </si>
  <si>
    <t>mandala madness</t>
  </si>
  <si>
    <t>pondoland</t>
  </si>
  <si>
    <t>make cuhion?</t>
  </si>
  <si>
    <t>yellow baby blanket</t>
  </si>
  <si>
    <t>PLAN</t>
  </si>
  <si>
    <t>FINAL</t>
  </si>
  <si>
    <t>textile center</t>
  </si>
  <si>
    <t>SMH PPC</t>
  </si>
  <si>
    <t>peoples park</t>
  </si>
  <si>
    <t>girija</t>
  </si>
  <si>
    <t>Bellevue Pouch</t>
  </si>
  <si>
    <t>Side panels</t>
  </si>
  <si>
    <t>Zip</t>
  </si>
  <si>
    <t>36 inch zip</t>
  </si>
  <si>
    <t xml:space="preserve">zip head </t>
  </si>
  <si>
    <t>Zipper tabs</t>
  </si>
  <si>
    <t>per 5 yards</t>
  </si>
  <si>
    <t>Zip head</t>
  </si>
  <si>
    <t>Bellevue pouch</t>
  </si>
  <si>
    <t>Desktop cube</t>
  </si>
  <si>
    <t>Front</t>
  </si>
  <si>
    <t>Back</t>
  </si>
  <si>
    <t>Bottom</t>
  </si>
  <si>
    <t>FP</t>
  </si>
  <si>
    <t>ziplock bags</t>
  </si>
  <si>
    <t>40 bags</t>
  </si>
  <si>
    <t>oil filter</t>
  </si>
  <si>
    <t>set is 35</t>
  </si>
  <si>
    <t>Privacy pouch</t>
  </si>
  <si>
    <t>Snap</t>
  </si>
  <si>
    <t>Phone charger</t>
  </si>
  <si>
    <t>Easy phone charger holder</t>
  </si>
  <si>
    <t>45 for set</t>
  </si>
  <si>
    <t>40 for set</t>
  </si>
  <si>
    <t>samidolls phone charger holder</t>
  </si>
  <si>
    <t>diy soho</t>
  </si>
  <si>
    <t>28*9 inches</t>
  </si>
  <si>
    <t>Everyday tote</t>
  </si>
  <si>
    <t>crazylittleprojects</t>
  </si>
  <si>
    <t>craftygemini</t>
  </si>
  <si>
    <t>Chocolate chip cookies bars</t>
  </si>
  <si>
    <t>adaptation of samidolls</t>
  </si>
  <si>
    <t>pocket size 5.5 inches</t>
  </si>
  <si>
    <t>plain flour</t>
  </si>
  <si>
    <t>price</t>
  </si>
  <si>
    <t>weight</t>
  </si>
  <si>
    <t>using</t>
  </si>
  <si>
    <t>sugar</t>
  </si>
  <si>
    <t>brown sugar</t>
  </si>
  <si>
    <t>eggs</t>
  </si>
  <si>
    <t>butter</t>
  </si>
  <si>
    <t>vanilla essence</t>
  </si>
  <si>
    <t>Choc chips</t>
  </si>
  <si>
    <t>baking soda</t>
  </si>
  <si>
    <t>measurement</t>
  </si>
  <si>
    <t>cup</t>
  </si>
  <si>
    <t>tsp</t>
  </si>
  <si>
    <t>no</t>
  </si>
  <si>
    <t>1 kg</t>
  </si>
  <si>
    <t>usage in grams</t>
  </si>
  <si>
    <t>Hersheys Choc chip cookies</t>
  </si>
  <si>
    <t>Ingredients</t>
  </si>
  <si>
    <t>labor &amp; elec etc</t>
  </si>
  <si>
    <t>Price for 250 gms</t>
  </si>
  <si>
    <t>10?</t>
  </si>
  <si>
    <t>for 2 kgs - 8 packs</t>
  </si>
  <si>
    <t>sale</t>
  </si>
  <si>
    <t>busy bag</t>
  </si>
  <si>
    <t>total</t>
  </si>
  <si>
    <t>phone charger</t>
  </si>
  <si>
    <t>bargain lady</t>
  </si>
  <si>
    <t>manisha</t>
  </si>
  <si>
    <t>kalindi</t>
  </si>
  <si>
    <t>Privacy pouch with strap</t>
  </si>
  <si>
    <t>diaper pouch</t>
  </si>
  <si>
    <t>Contacts</t>
  </si>
  <si>
    <t>interested item</t>
  </si>
  <si>
    <t>Sahiba</t>
  </si>
  <si>
    <t>small busy bag</t>
  </si>
  <si>
    <t>Surekha</t>
  </si>
  <si>
    <t>wholesale forstudent counil</t>
  </si>
  <si>
    <t>Renjni</t>
  </si>
  <si>
    <t>Sammy</t>
  </si>
  <si>
    <t xml:space="preserve">accent lady </t>
  </si>
  <si>
    <t>lunchbag prototype/ wne bag in gold?</t>
  </si>
  <si>
    <t>9628 5319</t>
  </si>
  <si>
    <t>9146 6665</t>
  </si>
  <si>
    <t>9640 6178</t>
  </si>
  <si>
    <t>Poonam</t>
  </si>
  <si>
    <t>8298 8491</t>
  </si>
  <si>
    <t>Ashima</t>
  </si>
  <si>
    <t>9189 7827</t>
  </si>
  <si>
    <t>diwali bazaar at our tampines hub oct 25-28th?</t>
  </si>
  <si>
    <t>Neela</t>
  </si>
  <si>
    <t>8616 1391?</t>
  </si>
  <si>
    <t>Kalindi</t>
  </si>
  <si>
    <t>9345 5155</t>
  </si>
  <si>
    <t>easy to buy</t>
  </si>
  <si>
    <t>Busness cards</t>
  </si>
  <si>
    <t>Sweta Agarwal</t>
  </si>
  <si>
    <t>8503 2503</t>
  </si>
  <si>
    <t xml:space="preserve">colors of india </t>
  </si>
  <si>
    <t>cotton wear</t>
  </si>
  <si>
    <t>Bhavani Suryanvanshee</t>
  </si>
  <si>
    <t>8200 3689</t>
  </si>
  <si>
    <t>Nature Nudge wellness pte ltd</t>
  </si>
  <si>
    <t>beetstreet</t>
  </si>
  <si>
    <t>Anila Ayilliath</t>
  </si>
  <si>
    <t>9138 1310</t>
  </si>
  <si>
    <t>artsmeadow</t>
  </si>
  <si>
    <t>artist</t>
  </si>
  <si>
    <t>blk 247 near simei mrt</t>
  </si>
  <si>
    <t>mallu from kannur</t>
  </si>
  <si>
    <t>Rajini Ray</t>
  </si>
  <si>
    <t>9387 6256</t>
  </si>
  <si>
    <t>Beyond Essentials</t>
  </si>
  <si>
    <t>leather bags</t>
  </si>
  <si>
    <t>finalprice</t>
  </si>
  <si>
    <t>USAGE (grams)</t>
  </si>
  <si>
    <t>USAGE (cups)</t>
  </si>
  <si>
    <t>for 900 gms</t>
  </si>
  <si>
    <t>gms</t>
  </si>
  <si>
    <t>for 1000gms</t>
  </si>
  <si>
    <t>for 250 gms</t>
  </si>
  <si>
    <t>Chapathi cover</t>
  </si>
  <si>
    <t>per piece</t>
  </si>
  <si>
    <t>Labor</t>
  </si>
  <si>
    <t>12 pieces</t>
  </si>
  <si>
    <t>Rajini</t>
  </si>
  <si>
    <t>Unsold</t>
  </si>
  <si>
    <t>natasharizke</t>
  </si>
  <si>
    <t>Brandt stand mixer - KM1557BG</t>
  </si>
  <si>
    <t>For Manisha</t>
  </si>
  <si>
    <t>Side flaps</t>
  </si>
  <si>
    <t>Bottom piece</t>
  </si>
  <si>
    <t>for 9 inch diameter chappathi pathram</t>
  </si>
  <si>
    <t>BRANDT KM1557BG Stand mixer (17.5 inches tall/ 17.5 inches width/ 13.5 inches depth</t>
  </si>
  <si>
    <t>18 height / 14 inch deep / 18 inch width</t>
  </si>
  <si>
    <t>19*15*19</t>
  </si>
  <si>
    <t>BRANDT KM1557BG</t>
  </si>
  <si>
    <t>18 inch tall x 14 inch deep x 18 inch wide</t>
  </si>
  <si>
    <t>7qt/8qt lift bowl</t>
  </si>
  <si>
    <t>Cotton candy set</t>
  </si>
  <si>
    <t>free</t>
  </si>
  <si>
    <t>Beenaunty - min beena</t>
  </si>
  <si>
    <t>Miniaunty - mini beena</t>
  </si>
  <si>
    <t>Amma took for priya para</t>
  </si>
  <si>
    <t>Every day tote - black</t>
  </si>
  <si>
    <t>For amma</t>
  </si>
  <si>
    <t>red strawberry checks and chevron multi</t>
  </si>
  <si>
    <t>thin cotton batting</t>
  </si>
  <si>
    <t>150cm * 90 cm</t>
  </si>
  <si>
    <t>per pack</t>
  </si>
  <si>
    <t>completed 21 sept. shes bak in 21 oct</t>
  </si>
  <si>
    <t>manisha beetstreet</t>
  </si>
  <si>
    <t>plain one - flat</t>
  </si>
  <si>
    <t>3D version</t>
  </si>
  <si>
    <t>yellow chevron</t>
  </si>
  <si>
    <t>Getting $15</t>
  </si>
  <si>
    <t>Getting $65</t>
  </si>
  <si>
    <t>Yoga mat cover with lining</t>
  </si>
  <si>
    <t>Base circle</t>
  </si>
  <si>
    <t>bhavani beetstreet</t>
  </si>
  <si>
    <t>felt</t>
  </si>
  <si>
    <t>hycheah</t>
  </si>
  <si>
    <t>Amount paid in full</t>
  </si>
  <si>
    <t>circumference</t>
  </si>
  <si>
    <t>diameter</t>
  </si>
  <si>
    <t>green paisley/ polka dot</t>
  </si>
  <si>
    <t>22 by 6 inch</t>
  </si>
  <si>
    <t>normal mat</t>
  </si>
  <si>
    <t>bigger/longer mat</t>
  </si>
  <si>
    <t>zip &amp; zip head</t>
  </si>
  <si>
    <t>20 for cover ad $3 for main zip closure</t>
  </si>
  <si>
    <t>Yoga mat cover with lining - bigger mat</t>
  </si>
  <si>
    <t>Strap (2 inches wide)</t>
  </si>
  <si>
    <t>61cm x 11 cm</t>
  </si>
  <si>
    <t>manduka mat (24" long by 4.3" diameter)</t>
  </si>
  <si>
    <t>22" long</t>
  </si>
  <si>
    <t>double sided strap with zip and 2 fabrics for manduka</t>
  </si>
  <si>
    <t>localcatseller</t>
  </si>
  <si>
    <t>yoga mat cover</t>
  </si>
  <si>
    <t>wanted for christmas</t>
  </si>
  <si>
    <t>lovetoshop77</t>
  </si>
  <si>
    <t>lucky65</t>
  </si>
  <si>
    <t>shermainelng</t>
  </si>
  <si>
    <t>shopatqoo</t>
  </si>
  <si>
    <t>Kenwood KVL4100S</t>
  </si>
  <si>
    <t>34.5 cm height/ 38.5 cm width/ 28 cm depth</t>
  </si>
  <si>
    <t>Kenwood KVL4100S  (14 inch tall / 16 inch width / 11 inch depth</t>
  </si>
  <si>
    <t>14 inch tall x 11 inch deep x 16 inch wide</t>
  </si>
  <si>
    <t>15*17*13</t>
  </si>
  <si>
    <t>minnie mouse</t>
  </si>
  <si>
    <t>2 phone charger pouch</t>
  </si>
  <si>
    <t>ikea fabric with yellow chevron lining</t>
  </si>
  <si>
    <t>anchor green and pink dot lining</t>
  </si>
  <si>
    <t>ordrerd 2</t>
  </si>
  <si>
    <t>used the extra wide yellow chevron from smh</t>
  </si>
  <si>
    <t>$4 each</t>
  </si>
  <si>
    <t>drawstring</t>
  </si>
  <si>
    <t>per yard 108"</t>
  </si>
  <si>
    <t>account</t>
  </si>
  <si>
    <t>charmaine_loke</t>
  </si>
  <si>
    <t>43 cm height/ 43 cm width/ 27 cm depth</t>
  </si>
  <si>
    <t>Kenwood Patissier KM270W  (17 inch tall / 17 inch width / 11 inch depth</t>
  </si>
  <si>
    <t>17 inch tall x 11 inch deep x 17 inch wide</t>
  </si>
  <si>
    <t>18*18*13</t>
  </si>
  <si>
    <t>Kenwood Patissier KM270W</t>
  </si>
  <si>
    <t>perimeter</t>
  </si>
  <si>
    <t>actual</t>
  </si>
  <si>
    <t>redistered</t>
  </si>
  <si>
    <t>light bue floral from smh</t>
  </si>
  <si>
    <t>paid</t>
  </si>
  <si>
    <t>did recalcuation of area and measurements</t>
  </si>
  <si>
    <t>hence the change in price</t>
  </si>
  <si>
    <t>orange butterfly from cottonhouse</t>
  </si>
  <si>
    <t>blue steps print from amma</t>
  </si>
  <si>
    <t>Kitchenaid Artisan (recalculated)</t>
  </si>
  <si>
    <t>spare</t>
  </si>
  <si>
    <t>paying</t>
  </si>
  <si>
    <t>calculation was wrong coz form did not track for fabric correctly</t>
  </si>
  <si>
    <t>made only $3</t>
  </si>
  <si>
    <t>actual cost after formula correction</t>
  </si>
  <si>
    <t>corrected fabric track on 1 feb 2019</t>
  </si>
  <si>
    <t>Oil filter batting</t>
  </si>
  <si>
    <t>registered was for $3.94</t>
  </si>
  <si>
    <t>y3n2ho</t>
  </si>
  <si>
    <t>pink flowers on cream (cross hatch quilting) - $38+$5</t>
  </si>
  <si>
    <t>Easy Lunch tote</t>
  </si>
  <si>
    <t>Pink penguin (ayumills.blogspot.com)</t>
  </si>
  <si>
    <t>lining fabric</t>
  </si>
  <si>
    <t>cover</t>
  </si>
  <si>
    <t>rim</t>
  </si>
  <si>
    <t>inner handle</t>
  </si>
  <si>
    <t>outer handle</t>
  </si>
  <si>
    <t>interfacing 1340F SMH</t>
  </si>
  <si>
    <t>per 2 set</t>
  </si>
  <si>
    <t>per 5 set</t>
  </si>
  <si>
    <t>SMH 200gm cotton batting</t>
  </si>
  <si>
    <t>craft cord</t>
  </si>
  <si>
    <t>double sided strap with zip and drawstring for manduka</t>
  </si>
  <si>
    <t>blumberry</t>
  </si>
  <si>
    <t>Manduka mat 28 inches wide</t>
  </si>
  <si>
    <t>manduka 26"</t>
  </si>
  <si>
    <t>block 9"Wx4"H</t>
  </si>
  <si>
    <t>blumberry - 9mar19</t>
  </si>
  <si>
    <t>drawstring cover</t>
  </si>
  <si>
    <t>manduka 26 " long</t>
  </si>
  <si>
    <t>center circle</t>
  </si>
  <si>
    <t>pocket zip</t>
  </si>
  <si>
    <t>main zip</t>
  </si>
  <si>
    <t>Cute Lunch tote Swarkta</t>
  </si>
  <si>
    <t>Ext &amp; Inter</t>
  </si>
  <si>
    <t>Pocket</t>
  </si>
  <si>
    <t>Strap (cotton webbing)</t>
  </si>
  <si>
    <t>Grosgrain ribbon</t>
  </si>
  <si>
    <t>44 inches</t>
  </si>
  <si>
    <t>ribbon</t>
  </si>
  <si>
    <t>Denim tote</t>
  </si>
  <si>
    <t>Yoga mat cover with drawstring compartment</t>
  </si>
  <si>
    <t>tabs</t>
  </si>
  <si>
    <t>36" long</t>
  </si>
  <si>
    <t>main &amp; pocket zip &amp; zip head</t>
  </si>
  <si>
    <t>sunflowerbeauty</t>
  </si>
  <si>
    <t>pink with white tulips</t>
  </si>
  <si>
    <t>yoga mat bag with pocket and lining</t>
  </si>
  <si>
    <t>Yoga mat cover with lining &amp; zip</t>
  </si>
  <si>
    <t>24" long</t>
  </si>
  <si>
    <t>Circle (2)</t>
  </si>
  <si>
    <t>Base strap</t>
  </si>
  <si>
    <t>Zeenia</t>
  </si>
  <si>
    <t>Kenwood mixer</t>
  </si>
  <si>
    <t>Braun Combimx 600</t>
  </si>
  <si>
    <t>34 cm height/ 39 cm width/ 23 cm depth</t>
  </si>
  <si>
    <t>38 cm height/ 38 cm width/ 28 cm depth</t>
  </si>
  <si>
    <t>Kenwood Premium Major KMM710  (14 inch tall / 16 inch width / 9 inch depth</t>
  </si>
  <si>
    <t>Braun Combimax 600  (15 inch tall / 15 inch width / 11 inch depth</t>
  </si>
  <si>
    <t>14 inch tall x 9 inch deep x 16 inch wide</t>
  </si>
  <si>
    <t>15 inch tall x 11 inch deep x 15 inch wide</t>
  </si>
  <si>
    <t>16*16*12</t>
  </si>
  <si>
    <t>Kenwood Premium Major KMM710</t>
  </si>
  <si>
    <t>Braun Combimax 600</t>
  </si>
  <si>
    <t>grey with flowers canvas</t>
  </si>
  <si>
    <t>lyfriz69</t>
  </si>
  <si>
    <t>??</t>
  </si>
  <si>
    <t>Bosch MUM mixer MUMXL20C</t>
  </si>
  <si>
    <t>india - black with pink paisley</t>
  </si>
  <si>
    <t>Mayer Airfryer 2L</t>
  </si>
  <si>
    <t>31 cm height/ 37 cm width/ 34 cm depth</t>
  </si>
  <si>
    <t>Mayer MMAF88 3.5L AIRFRYER</t>
  </si>
  <si>
    <t>31 cm height/ 29 cm width/ 26 cm depth</t>
  </si>
  <si>
    <t>Mayer MMAF88 3.5L AIRFRYER (13 inch tall / 12 inch width / 11 inch depth</t>
  </si>
  <si>
    <t>Bosch MUM mixer MUMXL20C (13 inch tall / 15 inch width / 14 inch depth</t>
  </si>
  <si>
    <t>14 inch tall x 15 inch deep x 16 inch wide</t>
  </si>
  <si>
    <t>14 inch tall x 12 inch deep x 13 inch wide</t>
  </si>
  <si>
    <t>14*16*15</t>
  </si>
  <si>
    <t>14*13*12</t>
  </si>
  <si>
    <t>S No.</t>
  </si>
  <si>
    <t>Value Date</t>
  </si>
  <si>
    <t>Transaction Date</t>
  </si>
  <si>
    <t>Cheque Number</t>
  </si>
  <si>
    <t>Transaction Remarks</t>
  </si>
  <si>
    <t>Withdrawal Amount (INR )</t>
  </si>
  <si>
    <t>Deposit Amount (INR )</t>
  </si>
  <si>
    <t>Balance (INR )</t>
  </si>
  <si>
    <t>30/04/2018</t>
  </si>
  <si>
    <t>-</t>
  </si>
  <si>
    <t xml:space="preserve">ACH/MindTree Limited,/71121                       </t>
  </si>
  <si>
    <t>15/05/2018</t>
  </si>
  <si>
    <t xml:space="preserve">Drcard Reissue Charges                            </t>
  </si>
  <si>
    <t xml:space="preserve">SGST20180515461779800                             </t>
  </si>
  <si>
    <t xml:space="preserve">CGST20180515461779802                             </t>
  </si>
  <si>
    <t>25/05/2018</t>
  </si>
  <si>
    <t xml:space="preserve">DCARDFEE1399MAY18-APR19+GST                       </t>
  </si>
  <si>
    <t>28/05/2018</t>
  </si>
  <si>
    <t xml:space="preserve">SMSChgsApr18-Jun18+GST                            </t>
  </si>
  <si>
    <t>12/06/2018</t>
  </si>
  <si>
    <t xml:space="preserve">ACH/MFL INTDIV Q1 FY1819/191111275                </t>
  </si>
  <si>
    <t>14/06/2018</t>
  </si>
  <si>
    <t xml:space="preserve">ACH/YES BANK LTD/2124670                          </t>
  </si>
  <si>
    <t>29/06/2018</t>
  </si>
  <si>
    <t>30/06/2018</t>
  </si>
  <si>
    <t xml:space="preserve">018001007158:Int.Pd:30-03-2018 to 29-06-2018      </t>
  </si>
  <si>
    <t>02/07/2018</t>
  </si>
  <si>
    <t xml:space="preserve">ACH/HDFC BANK LTD/9306787  00434522               </t>
  </si>
  <si>
    <t>17/07/2018</t>
  </si>
  <si>
    <t xml:space="preserve">ACH/SIB DW 2017 18 H/IN30302850618860             </t>
  </si>
  <si>
    <t>20/07/2018</t>
  </si>
  <si>
    <t xml:space="preserve">ACH/MindTree Limited,/72894                       </t>
  </si>
  <si>
    <t>23/07/2018</t>
  </si>
  <si>
    <t xml:space="preserve">ACH/ASHOK LEYLAND LIMITE/ALLIN30302850618860      </t>
  </si>
  <si>
    <t xml:space="preserve">ACH/TATASTEELDIVFP1718/TI00762020IN30302850618860 </t>
  </si>
  <si>
    <t>27/07/2018</t>
  </si>
  <si>
    <t>ACH/THE INDIAN HOTELS CO/0000000000000000000000000</t>
  </si>
  <si>
    <t>31/07/2018</t>
  </si>
  <si>
    <t xml:space="preserve">ACH/ITC LIMITED/458903                            </t>
  </si>
  <si>
    <t>02/08/2018</t>
  </si>
  <si>
    <t xml:space="preserve">ACH/V-Guard Industries L/67248                    </t>
  </si>
  <si>
    <t>09/08/2018</t>
  </si>
  <si>
    <t>ACH/COSMO FILMS LIMITED/00000000000000000000000002</t>
  </si>
  <si>
    <t>14/08/2018</t>
  </si>
  <si>
    <t xml:space="preserve">ACH/THE FEDERAL BANK LIM/FBLIN30302850618860      </t>
  </si>
  <si>
    <t>17/08/2018</t>
  </si>
  <si>
    <t xml:space="preserve">ACH/MRF LIMITED/2000000029631                     </t>
  </si>
  <si>
    <t>28/08/2018</t>
  </si>
  <si>
    <t xml:space="preserve">ACH/PRICOL LIMITED/IN30302850618860               </t>
  </si>
  <si>
    <t>04/09/2018</t>
  </si>
  <si>
    <t xml:space="preserve">ACH/MFL INTDIV Q2 FY1819/192109447                </t>
  </si>
  <si>
    <t>06/09/2018</t>
  </si>
  <si>
    <t xml:space="preserve">ACH/KSE DIV 2018/4790                             </t>
  </si>
  <si>
    <t>12/09/2018</t>
  </si>
  <si>
    <t xml:space="preserve">CMS/ICICI BANK/23RD DIVIDEND FY18                 </t>
  </si>
  <si>
    <t>20/09/2018</t>
  </si>
  <si>
    <t xml:space="preserve">SMSChgsJul18-Sep18+GST                            </t>
  </si>
  <si>
    <t>25/09/2018</t>
  </si>
  <si>
    <t xml:space="preserve">EBA/BSE N  201819124/20180925213040               </t>
  </si>
  <si>
    <t>28/09/2018</t>
  </si>
  <si>
    <t>29/09/2018</t>
  </si>
  <si>
    <t xml:space="preserve">018001007158:Int.Pd:30-06-2018 to 28-09-2018      </t>
  </si>
  <si>
    <t>10/10/2018</t>
  </si>
  <si>
    <t>NEFT-N283180652353584-GAYATHRI VIJAYARAGHAVAN-dividend-00571000117228-HDFC00000</t>
  </si>
  <si>
    <t xml:space="preserve">ACH/BHEL/10394896                                 </t>
  </si>
  <si>
    <t>30/10/2018</t>
  </si>
  <si>
    <t xml:space="preserve">ACH/MindTree Limited,/77195                       </t>
  </si>
  <si>
    <t>28/11/2018</t>
  </si>
  <si>
    <t xml:space="preserve">ACH/MRF LIMITED/2000000033953                     </t>
  </si>
  <si>
    <t>03/12/2018</t>
  </si>
  <si>
    <t xml:space="preserve">ACH/MFL INTDIV Q3 FY1819/193113479                </t>
  </si>
  <si>
    <t>12/12/2018</t>
  </si>
  <si>
    <t xml:space="preserve">SMSChgsOct18-Dec18+GST                            </t>
  </si>
  <si>
    <t>30/12/2018</t>
  </si>
  <si>
    <t>31/12/2018</t>
  </si>
  <si>
    <t xml:space="preserve">018001007158:Int.Pd:29-09-2018 to 30-12-2018      </t>
  </si>
  <si>
    <t>28/01/2019</t>
  </si>
  <si>
    <t xml:space="preserve">ACH/MindTree Limited,/77572                       </t>
  </si>
  <si>
    <t>21/02/2019</t>
  </si>
  <si>
    <t xml:space="preserve">ACH/BHEL/10916833                                 </t>
  </si>
  <si>
    <t>25/02/2019</t>
  </si>
  <si>
    <t xml:space="preserve">ACH/MRF LIMITED/2000000035560                     </t>
  </si>
  <si>
    <t>04/03/2019</t>
  </si>
  <si>
    <t xml:space="preserve">ACH/MFL INTDIV Q4 FY1819/194103465                </t>
  </si>
  <si>
    <t>11/03/2019</t>
  </si>
  <si>
    <t xml:space="preserve">SMSChgsJan19-Mar19+GST                            </t>
  </si>
  <si>
    <t>26/03/2019</t>
  </si>
  <si>
    <t xml:space="preserve">DMC/IN30302850618860 DP CHGS TILL FEB-19          </t>
  </si>
  <si>
    <t>30/03/2019</t>
  </si>
  <si>
    <t>31/03/2019</t>
  </si>
  <si>
    <t xml:space="preserve">018001007158:Int.Pd:31-12-2018 to 30-03-2019      </t>
  </si>
  <si>
    <t>03/04/2019</t>
  </si>
  <si>
    <t xml:space="preserve">ACH/BANK OF BARODA/7378011                        </t>
  </si>
  <si>
    <t>Account Number</t>
  </si>
  <si>
    <t>018001007158(INR)  - GAYATHRI VIJAYARAGHAVAN</t>
  </si>
  <si>
    <t>Transaction Date from</t>
  </si>
  <si>
    <t>17/04/2018</t>
  </si>
  <si>
    <t>to</t>
  </si>
  <si>
    <t>16/04/2019</t>
  </si>
  <si>
    <t>Transaction Period</t>
  </si>
  <si>
    <t>Last 1 Month</t>
  </si>
  <si>
    <t>Advanced Search</t>
  </si>
  <si>
    <t>Amount from</t>
  </si>
  <si>
    <t>NA</t>
  </si>
  <si>
    <t>Cheque number from</t>
  </si>
  <si>
    <t>Transaction remarks</t>
  </si>
  <si>
    <t>Transaction type</t>
  </si>
  <si>
    <t>All</t>
  </si>
  <si>
    <t>Transactions List -  GAYATHRI VIJAYARAGHAVAN - 018001007158</t>
  </si>
  <si>
    <t>Legends Used in Account Statement</t>
  </si>
  <si>
    <t>1. INFT - Internal Fund Transfer (Within ICICI Bank)</t>
  </si>
  <si>
    <t>2. BPAY - Bill payment</t>
  </si>
  <si>
    <t>3. BBPS - Bharat Bill Payment Service</t>
  </si>
  <si>
    <t>4. NEFT - National Electronics Funds Transfer System (Other Bank Fund transfer)</t>
  </si>
  <si>
    <t>5. RCHG - Recharge</t>
  </si>
  <si>
    <t>6. ONL - Online Shopping transaction (Payment done on third party website)</t>
  </si>
  <si>
    <t>7. SMO - Smart Money order</t>
  </si>
  <si>
    <t>8. DTAX - Direct Tax</t>
  </si>
  <si>
    <t>9. IDTX - Indirect Tax</t>
  </si>
  <si>
    <t>10. PAVC - Pay any Visa credit card</t>
  </si>
  <si>
    <t>11. PAC - Personal Accident cover</t>
  </si>
  <si>
    <t>12. LNPY - Linked loan payment</t>
  </si>
  <si>
    <t>13. CCWD - Cardless Cash Withdrawal</t>
  </si>
  <si>
    <t>14. PAYC - Pay to Contact</t>
  </si>
  <si>
    <t>15. IMPS - Immediate Payment Service</t>
  </si>
  <si>
    <t>16. VAT / MAT / NFS - Cash withdrawal at other bank ATM</t>
  </si>
  <si>
    <t>17. INF - Internet fund transfer in linked accounts</t>
  </si>
  <si>
    <t>18. EBA - Transaction on ICICI Direct</t>
  </si>
  <si>
    <t>19. BIL - Internet Bill payment or funds transfer to Third party</t>
  </si>
  <si>
    <t>20. VPS / IPS - Debit card transaction</t>
  </si>
  <si>
    <t>21. TOP - Mobile recharge</t>
  </si>
  <si>
    <t>22. BCTT - Banking Cash Transaction Tax</t>
  </si>
  <si>
    <t>23. UCCBRN CMS - Upcountry cheque collection</t>
  </si>
  <si>
    <t>24. LCCBRN CMS - Local cheque collection</t>
  </si>
  <si>
    <t>25. N chg - NEFT Charges</t>
  </si>
  <si>
    <t>26. MMT - Mobile Money Transfer (Insta FT - IMPS)</t>
  </si>
  <si>
    <t>27. T Chg - Travel Charges</t>
  </si>
  <si>
    <t>top square</t>
  </si>
  <si>
    <t>around</t>
  </si>
  <si>
    <t>make square shape</t>
  </si>
  <si>
    <t>for square</t>
  </si>
  <si>
    <t>piping</t>
  </si>
  <si>
    <t>square</t>
  </si>
  <si>
    <t>Faithwell cat storage bin</t>
  </si>
  <si>
    <t>circle</t>
  </si>
  <si>
    <t>Circles</t>
  </si>
  <si>
    <t>circum</t>
  </si>
  <si>
    <t>Dia</t>
  </si>
  <si>
    <t>Denim duffel bag - cabin baggage</t>
  </si>
  <si>
    <t>Base</t>
  </si>
  <si>
    <t>Side pocket</t>
  </si>
  <si>
    <t>Front pocket</t>
  </si>
  <si>
    <t>Tabs</t>
  </si>
  <si>
    <t>Side panel</t>
  </si>
  <si>
    <t>Inside pocket</t>
  </si>
  <si>
    <t>Zipper heads</t>
  </si>
  <si>
    <t>Purse feet</t>
  </si>
  <si>
    <t>Hardware</t>
  </si>
  <si>
    <t>denim &amp; without lining</t>
  </si>
  <si>
    <t>raffi88</t>
  </si>
  <si>
    <t>jq2_marketing</t>
  </si>
  <si>
    <t>KA 150</t>
  </si>
  <si>
    <t>green flowers - amma 85pm</t>
  </si>
  <si>
    <t>ext front</t>
  </si>
  <si>
    <t>ext back</t>
  </si>
  <si>
    <t>lining front</t>
  </si>
  <si>
    <t>Painting</t>
  </si>
  <si>
    <t>Pro</t>
  </si>
  <si>
    <t>rent</t>
  </si>
  <si>
    <t>mishas fees</t>
  </si>
  <si>
    <t>utilities</t>
  </si>
  <si>
    <t>yanti</t>
  </si>
  <si>
    <t>expenses</t>
  </si>
  <si>
    <t>income</t>
  </si>
  <si>
    <t>misha gymnastics</t>
  </si>
  <si>
    <t>12 classes</t>
  </si>
  <si>
    <t>lego</t>
  </si>
  <si>
    <t>food</t>
  </si>
  <si>
    <t>cotton 200gsm batting</t>
  </si>
  <si>
    <t>small red flowers on black bg</t>
  </si>
  <si>
    <t>KA150</t>
  </si>
  <si>
    <t>exterior sides</t>
  </si>
  <si>
    <t>center panel</t>
  </si>
  <si>
    <t>straps</t>
  </si>
  <si>
    <t>10 meters</t>
  </si>
  <si>
    <t>zipper &amp; zipper head</t>
  </si>
  <si>
    <t>zipper tab</t>
  </si>
  <si>
    <t>40 cm height/ 30 cm width/ 23 cm depth</t>
  </si>
  <si>
    <t>PANASONIC JUICER MJ-M171P (16 inch tall / 12 inch width / 9 inch depth</t>
  </si>
  <si>
    <t>16 inch tall x 9 inch deep x 12 inch wide</t>
  </si>
  <si>
    <t>18*14*11</t>
  </si>
  <si>
    <t>small blue/red flowers on black bg</t>
  </si>
  <si>
    <t>17 inch tall x 10 inch deep x 11 inch wide</t>
  </si>
  <si>
    <t>18*12*11</t>
  </si>
  <si>
    <t>KITCHENAID BLENDER 5KSB555 (17 inch tall / 11 inch width / 10 inch depth</t>
  </si>
  <si>
    <t>Panasonic   MJ-M171P juicer</t>
  </si>
  <si>
    <t>Kitchenaid Artisan blender 5KSB555</t>
  </si>
  <si>
    <t>xninggg</t>
  </si>
  <si>
    <t>Panasonic MJ-M171P juicer</t>
  </si>
  <si>
    <t>32 or 26</t>
  </si>
  <si>
    <t>42 but 40</t>
  </si>
  <si>
    <t>40 but 40</t>
  </si>
  <si>
    <t>Scooter bag</t>
  </si>
  <si>
    <t>Bag organiser</t>
  </si>
  <si>
    <t>ext pocket</t>
  </si>
  <si>
    <t>int pocket</t>
  </si>
  <si>
    <t>exterior</t>
  </si>
  <si>
    <t>Baker street bag</t>
  </si>
  <si>
    <t>int slip pocket</t>
  </si>
  <si>
    <t>ext gusset</t>
  </si>
  <si>
    <t>slip pockt panel</t>
  </si>
  <si>
    <t>int zipper tab</t>
  </si>
  <si>
    <t>int gusset</t>
  </si>
  <si>
    <t>zip &amp; key rings</t>
  </si>
  <si>
    <t>exterior zip</t>
  </si>
  <si>
    <t>interior zip</t>
  </si>
  <si>
    <t>int zip panel</t>
  </si>
  <si>
    <t>int zip pocket</t>
  </si>
  <si>
    <t>key rings</t>
  </si>
  <si>
    <t>key ring strap</t>
  </si>
  <si>
    <t>Small blender square cover (Etsy PennysNeedfulThings)</t>
  </si>
  <si>
    <t>Large blender square cover (Etsy PennysNeedfulThings)</t>
  </si>
  <si>
    <t>Coffee maker square cover (Etsy PennysNeedfulThings)</t>
  </si>
  <si>
    <t>16.5 inch tall x 7 inch wide x 9 inch deep</t>
  </si>
  <si>
    <t>18 inch tall x 8.5 inch wide x 8 inch deep</t>
  </si>
  <si>
    <t>16 inch tall x 9 inch wide x 10 inch deep</t>
  </si>
  <si>
    <t>top panel</t>
  </si>
  <si>
    <t>35H x 30W x 43D</t>
  </si>
  <si>
    <t>Kenwood Chef XL Sense (14 inch tall / 17 inch width / 12 inch depth</t>
  </si>
  <si>
    <t>14 inch tall x 12 inch deep x 17 inch wide</t>
  </si>
  <si>
    <t>15*18*13</t>
  </si>
  <si>
    <t>Kenwood XL sense in vinyl</t>
  </si>
  <si>
    <t>sides</t>
  </si>
  <si>
    <t>no response</t>
  </si>
  <si>
    <t>shahirahtham</t>
  </si>
  <si>
    <t>vinyl</t>
  </si>
  <si>
    <t>Kenwood XL sense</t>
  </si>
  <si>
    <t>80cm</t>
  </si>
  <si>
    <t>33.8”</t>
  </si>
  <si>
    <t>86cm</t>
  </si>
  <si>
    <t>36.25”</t>
  </si>
  <si>
    <t>92cm</t>
  </si>
  <si>
    <t>38.5”</t>
  </si>
  <si>
    <t>98cm</t>
  </si>
  <si>
    <t>41”</t>
  </si>
  <si>
    <t>104cm</t>
  </si>
  <si>
    <t>43.25”</t>
  </si>
  <si>
    <t>110cm</t>
  </si>
  <si>
    <t>45.5”</t>
  </si>
  <si>
    <t>116cm</t>
  </si>
  <si>
    <t>48”</t>
  </si>
  <si>
    <t>122cm</t>
  </si>
  <si>
    <t>50.25”</t>
  </si>
  <si>
    <t>128cm</t>
  </si>
  <si>
    <t>50cm</t>
  </si>
  <si>
    <t>20.5”</t>
  </si>
  <si>
    <t>52cm</t>
  </si>
  <si>
    <t>21.25”</t>
  </si>
  <si>
    <t>54cm</t>
  </si>
  <si>
    <t>21.5”</t>
  </si>
  <si>
    <t>55cm</t>
  </si>
  <si>
    <t>22.5”</t>
  </si>
  <si>
    <t>57cm</t>
  </si>
  <si>
    <t>23.25”</t>
  </si>
  <si>
    <t>59cm</t>
  </si>
  <si>
    <t>24”</t>
  </si>
  <si>
    <t>61cm</t>
  </si>
  <si>
    <t>24.75”</t>
  </si>
  <si>
    <t>63cm</t>
  </si>
  <si>
    <t>26”</t>
  </si>
  <si>
    <t>66cm</t>
  </si>
  <si>
    <t>47cm</t>
  </si>
  <si>
    <t>19.25”</t>
  </si>
  <si>
    <t>49cm</t>
  </si>
  <si>
    <t>20”</t>
  </si>
  <si>
    <t>51cm</t>
  </si>
  <si>
    <t>22”</t>
  </si>
  <si>
    <t>56cm</t>
  </si>
  <si>
    <t>22.75”</t>
  </si>
  <si>
    <t>58cm</t>
  </si>
  <si>
    <t>23.5”</t>
  </si>
  <si>
    <t>60cm</t>
  </si>
  <si>
    <t>BODICE</t>
  </si>
  <si>
    <t>20.1”</t>
  </si>
  <si>
    <t>20.85”</t>
  </si>
  <si>
    <t>53cm</t>
  </si>
  <si>
    <t>21.65”</t>
  </si>
  <si>
    <t>22.25”</t>
  </si>
  <si>
    <t>25.6”</t>
  </si>
  <si>
    <t>65cm</t>
  </si>
  <si>
    <t>26.4”</t>
  </si>
  <si>
    <t>67cm</t>
  </si>
  <si>
    <t>19”</t>
  </si>
  <si>
    <t>48cm</t>
  </si>
  <si>
    <t>24.5”</t>
  </si>
  <si>
    <t>25.25”</t>
  </si>
  <si>
    <t>64cm</t>
  </si>
  <si>
    <t>26.75”</t>
  </si>
  <si>
    <t>68cm</t>
  </si>
  <si>
    <t>Fabric Requirements</t>
  </si>
  <si>
    <t>40cm</t>
  </si>
  <si>
    <t>43cm</t>
  </si>
  <si>
    <t>45cm</t>
  </si>
  <si>
    <t>CIRCLE SKIRT</t>
  </si>
  <si>
    <t>100cm</t>
  </si>
  <si>
    <t>102cm</t>
  </si>
  <si>
    <t>107cm</t>
  </si>
  <si>
    <t>112cm</t>
  </si>
  <si>
    <t>133cm</t>
  </si>
  <si>
    <t>140cm</t>
  </si>
  <si>
    <t>153cm</t>
  </si>
  <si>
    <t>163cm</t>
  </si>
  <si>
    <t>SIMPLE SKIRT</t>
  </si>
  <si>
    <t>70cm</t>
  </si>
  <si>
    <t>72cm</t>
  </si>
  <si>
    <t>76cm</t>
  </si>
  <si>
    <t>82cm</t>
  </si>
  <si>
    <t>90cm</t>
  </si>
  <si>
    <t>94cm</t>
  </si>
  <si>
    <t>96cm</t>
  </si>
  <si>
    <t xml:space="preserve">Size </t>
  </si>
  <si>
    <t>31.5"</t>
  </si>
  <si>
    <t>0 (6-12mo)</t>
  </si>
  <si>
    <t>Child’s Height</t>
  </si>
  <si>
    <t>Child’s Chest</t>
  </si>
  <si>
    <t>20"</t>
  </si>
  <si>
    <t>Child’s Waist</t>
  </si>
  <si>
    <t>18.5"</t>
  </si>
  <si>
    <t>TADAH TEA PARTY DRESS</t>
  </si>
  <si>
    <t>BODICE (Finished Size)</t>
  </si>
  <si>
    <t>Finished Length (Shoulder - Hem)</t>
  </si>
  <si>
    <t>Per yard</t>
  </si>
  <si>
    <t>Cost per meter</t>
  </si>
  <si>
    <t>Cost per yard</t>
  </si>
  <si>
    <t>10 x 26cm</t>
  </si>
  <si>
    <t>4 x 10.5”</t>
  </si>
  <si>
    <t>10 x 27cm</t>
  </si>
  <si>
    <t>4.5 x 10.75”</t>
  </si>
  <si>
    <t>11.5 x 28cm</t>
  </si>
  <si>
    <t>4.5 x 11.25”</t>
  </si>
  <si>
    <t>11.5 x 29cm</t>
  </si>
  <si>
    <t>5 x 11.5”</t>
  </si>
  <si>
    <t>12.5 x 30cm</t>
  </si>
  <si>
    <t>5 x 11.75”</t>
  </si>
  <si>
    <t>5 x 12.25”</t>
  </si>
  <si>
    <t>12.5 x 31cm</t>
  </si>
  <si>
    <t>5.5 x 12.75”</t>
  </si>
  <si>
    <t>14 x 33cm</t>
  </si>
  <si>
    <t>5.5 x 13.25”</t>
  </si>
  <si>
    <t>14 x 34cm</t>
  </si>
  <si>
    <t>10 x 66cm</t>
  </si>
  <si>
    <t>4 x 26.5”</t>
  </si>
  <si>
    <t>10 x 67cm</t>
  </si>
  <si>
    <t>4.5 x 27”</t>
  </si>
  <si>
    <t>11.5 x 69cm</t>
  </si>
  <si>
    <t>4.5 x 27.5”</t>
  </si>
  <si>
    <t>11.5 x 70cm</t>
  </si>
  <si>
    <t>5 x 28”</t>
  </si>
  <si>
    <t>12.5 x 71cm</t>
  </si>
  <si>
    <t>5 x 28.5”</t>
  </si>
  <si>
    <t>12.5 x 73cm</t>
  </si>
  <si>
    <t>5 x 29”</t>
  </si>
  <si>
    <t>12.5 x 74cm</t>
  </si>
  <si>
    <t>5.5 x 29.5”</t>
  </si>
  <si>
    <t>14 x 75cm</t>
  </si>
  <si>
    <t>5.5 x 30”</t>
  </si>
  <si>
    <t>14 x 76cm</t>
  </si>
  <si>
    <t>Cut 1</t>
  </si>
  <si>
    <t>Cut 2</t>
  </si>
  <si>
    <t>SASH</t>
  </si>
  <si>
    <t>4 x 26”</t>
  </si>
  <si>
    <t>Dress with CIRCLE SKIRT no sash</t>
  </si>
  <si>
    <t>Dress with SIMPLE SKIRT no sash</t>
  </si>
  <si>
    <t xml:space="preserve"> 4 x 10.25</t>
  </si>
  <si>
    <t>Sash total</t>
  </si>
  <si>
    <t>Dress with CIRCLE SKIRT with sash</t>
  </si>
  <si>
    <t>Dress with SIMPLE SKIRT with sash</t>
  </si>
  <si>
    <t>Labor per hour</t>
  </si>
  <si>
    <t>No of hours</t>
  </si>
  <si>
    <t>WITH LABOR</t>
  </si>
  <si>
    <t>SKIRT</t>
  </si>
  <si>
    <t>WITH PROFIT</t>
  </si>
  <si>
    <t>Small vinyl cover</t>
  </si>
  <si>
    <t>13*9*9</t>
  </si>
  <si>
    <t>12 inch tall x 8 inch deep x 8 inch wide</t>
  </si>
  <si>
    <t>final size - 12" tall * 8" wide * 8" deep</t>
  </si>
  <si>
    <t>Found polyp</t>
  </si>
  <si>
    <t xml:space="preserve">THE O&amp;G SPECIALIST CLINICSINGAPORE </t>
  </si>
  <si>
    <t xml:space="preserve">TMC - RETAIL PHARMACY SINGAPORE SG </t>
  </si>
  <si>
    <t xml:space="preserve">THOMSON FERTILITY CENTRE SINGAPORE </t>
  </si>
  <si>
    <t>rescan?</t>
  </si>
  <si>
    <t>medicine</t>
  </si>
  <si>
    <t>FET - 2 embryos</t>
  </si>
  <si>
    <t>scan</t>
  </si>
  <si>
    <t>FET - 2 embryos. Ammamma passed on 22 Mar. collapsed on 19 mar</t>
  </si>
  <si>
    <t>FET - 1 embryo. Achan passed on 19 Apr. To india that night</t>
  </si>
  <si>
    <t>02 JUN TRANSIT 30000666023772 SINGAPORE SG 000 20.00</t>
  </si>
  <si>
    <t>02 JUN GRAB *99194857-3-007 SINGAPORE SG 000 12.00</t>
  </si>
  <si>
    <t>FOREIGN AMOUNT INDIAN RUPEE 501.00</t>
  </si>
  <si>
    <t>27 MAY FATHIMA HYPER MARKET TRICHUR IN 000 10.23</t>
  </si>
  <si>
    <t>FOREIGN AMOUNT INDIAN RUPEE 620.00</t>
  </si>
  <si>
    <t>26 MAY RELIEF MEDICALS TRICHUR IN 000 12.66</t>
  </si>
  <si>
    <t>FOREIGN AMOUNT INDIAN RUPEE 1,630.00</t>
  </si>
  <si>
    <t>26 MAY RELIEF MEDICALS TRICHUR IN 000 33.29</t>
  </si>
  <si>
    <t>FOREIGN AMOUNT INDIAN RUPEE 8,000.00</t>
  </si>
  <si>
    <t>14 MAY PAUL VELIYATH OPTICALS THRISSUR IN 000 163.50</t>
  </si>
  <si>
    <t>FOREIGN AMOUNT INDIAN RUPEE 9,948.20</t>
  </si>
  <si>
    <t>13 MAY WESTSIDE TRICHUR IN 000 204.11</t>
  </si>
  <si>
    <t>05 MAY CCY CONVERSION FEE SGD 13.98 000 0.13</t>
  </si>
  <si>
    <t>04 MAY ITUNES.COM/BILL ITUNES.COM IE 000 13.98</t>
  </si>
  <si>
    <t>CITI PREMIERMILES CARD 4147 4630 0345 2360 - GAYATHRI</t>
  </si>
  <si>
    <t>SUB-TOTAL: 1,969.76</t>
  </si>
  <si>
    <t>XXXX-XXXX-XXXX-4758</t>
  </si>
  <si>
    <t>03 JUN FAIRPRICE XTRA-CHANGI BIZSINGAPORE SG 000 14.25</t>
  </si>
  <si>
    <t>03 JUN FAIRPRICE XTRA-CHANGI BIZSINGAPORE SG 000 27.10</t>
  </si>
  <si>
    <t>01 JUN NCI GOLF PTE LTD SINGAPORE SG 000 32.10</t>
  </si>
  <si>
    <t>01 JUN HAN'S CAFE - CHANGI CITY SINGAPORE SG 000 4.10</t>
  </si>
  <si>
    <t>01 JUN GRAB *2111813-3-065 SINGAPORE SG 000 15.00</t>
  </si>
  <si>
    <t>01 JUN GRAB *2111813-3-064 SINGAPORE SG 000 9.00</t>
  </si>
  <si>
    <t>01 JUN FITNESS FIRST SINGAPOR SINGAPORE SG 000 160.00</t>
  </si>
  <si>
    <t>31 MAY STARBUCKS (CG) SINGAPORE SG 000 6.70</t>
  </si>
  <si>
    <t>CITI PREMIERMILES CARD 4147 4630 0278 9291 Payment Due Date: June 29, 2018</t>
  </si>
  <si>
    <t>EPSTCSX / 013166-3OF8 / 96365 1000</t>
  </si>
  <si>
    <t>Page 3 of 8</t>
  </si>
  <si>
    <t>Robinson Road P.O. Box 355 S(900705)</t>
  </si>
  <si>
    <t>Citibank Singapore Ltd</t>
  </si>
  <si>
    <t>31 MAY StarHub Recurring SINGAPORE SG 000 284.96</t>
  </si>
  <si>
    <t>31 MAY FAIRPRICE XTRA-CHANGI BIZSINGAPORE SG 000 34.45</t>
  </si>
  <si>
    <t>31 MAY GRAB *2111813-3-062 SINGAPORE SG 000 7.00</t>
  </si>
  <si>
    <t>30 MAY FAIRPRICE XTRA-CHANGI BIZSINGAPORE SG 000 3.75</t>
  </si>
  <si>
    <t>30 MAY HAN'S CAFE - CHANGI CITY SINGAPORE SG 000 3.40</t>
  </si>
  <si>
    <t>29 MAY FAIRPRICE XTRA-CHANGI BIZSINGAPORE SG 000 27.85</t>
  </si>
  <si>
    <t>29 MAY THE CANOPY CAF PTE LTD SINGAPORE SG 000 12.45</t>
  </si>
  <si>
    <t>29 MAY GRAB *2111813-3-050 SINGAPORE SG 000 15.00</t>
  </si>
  <si>
    <t>28 MAY WILD HONEY SINGAPORE SG 000 78.86</t>
  </si>
  <si>
    <t>FOREIGN AMOUNT MALAYSIAN RINGGIT 57.80</t>
  </si>
  <si>
    <t>27 MAY MST GOLF-TG PUTERI JOHOR PASIR GUDANG MY 000 20.12</t>
  </si>
  <si>
    <t>26 MAY NCI GOLF PTE LTD SINGAPORE SG 000 32.10</t>
  </si>
  <si>
    <t>26 MAY THE CANOPY CAF PTE LTD SINGAPORE SG 000 12.80</t>
  </si>
  <si>
    <t>26 MAY HAN'S CAFE - CHANGI CITY SINGAPORE SG 000 5.80</t>
  </si>
  <si>
    <t>26 MAY GRAB *2111813-3-034 SINGAPORE SG 000 14.00</t>
  </si>
  <si>
    <t>25 MAY HAN'S CAFE - CHANGI CITY SINGAPORE SG 000 3.40</t>
  </si>
  <si>
    <t>24 MAY HAN'S CAFE - CHANGI CITY SINGAPORE SG 000 3.40</t>
  </si>
  <si>
    <t>23 MAY HAN'S CAFE - CHANGI CITY SINGAPORE SG 000 5.10</t>
  </si>
  <si>
    <t>23 MAY HAN'S CAFE - CHANGI CITY SINGAPORE SG 000 1.70</t>
  </si>
  <si>
    <t>22 MAY SEE'S CANDIES SINGAPORE SG 000 39.00</t>
  </si>
  <si>
    <t>22 MAY SINGPOST CHANGI AIRPORSG 000 4.95</t>
  </si>
  <si>
    <t>21 MAY HAN'S CAFE - CHANGI CITY SINGAPORE SG 000 3.40</t>
  </si>
  <si>
    <t>FOREIGN AMOUNT MALAYSIAN RINGGIT 12.00</t>
  </si>
  <si>
    <t>20 MAY SHELL-MADOS-CITOH-DAIKEN JOHOR MY 000 4.18</t>
  </si>
  <si>
    <t>19 MAY NCI GOLF PTE LTD SINGAPORE SG 000 32.10</t>
  </si>
  <si>
    <t>XXXX-XXXX-XXXX-4741</t>
  </si>
  <si>
    <t>19 MAY FAIRPRICE XTRA-CHANGI BIZSINGAPORE SG 000 7.00</t>
  </si>
  <si>
    <t>19 MAY GRAB *2111813-3-033 SINGAPORE SG 000 17.00</t>
  </si>
  <si>
    <t>19 MAY GRAB *2111813-3-032 SINGAPORE SG 000 15.00</t>
  </si>
  <si>
    <t>18 MAY CCY CONVERSION FEE SGD 26.98 000 0.26</t>
  </si>
  <si>
    <t>18 MAY FAIRPRICE XTRA-CHANGI BIZSINGAPORE SG 000 47.70</t>
  </si>
  <si>
    <t>FOREIGN AMOUNT MALAYSIAN RINGGIT 583.18</t>
  </si>
  <si>
    <t>18 MAY TANJONG PTR GLF RSRT-GOLFPASIR GUDANG MY 000 203.48</t>
  </si>
  <si>
    <t>17 MAY ITUNES.COM/BILL ITUNES.COM IE 000 26.98</t>
  </si>
  <si>
    <t>17 MAY GRAB *2111813-3-031 SINGAPORE SG 000 17.00</t>
  </si>
  <si>
    <t>17 MAY GRAB *2111813-3-030 SINGAPORE SG 000 15.00</t>
  </si>
  <si>
    <t>16 MAY HAN'S CAFE - CHANGI CITY SINGAPORE SG 000 1.70</t>
  </si>
  <si>
    <t>15 MAY HAN'S CAFE - CHANGI CITY SINGAPORE SG 000 3.40</t>
  </si>
  <si>
    <t>12 MAY FAIRPRICE XTRA-CHANGI BIZSINGAPORE SG 000 38.75</t>
  </si>
  <si>
    <t>12 MAY GRAB *2111813-3-029 SINGAPORE SG 000 17.00</t>
  </si>
  <si>
    <t>12 MAY GRAB *2111813-3-028 SINGAPORE SG 000 14.00</t>
  </si>
  <si>
    <t>11 MAY REDDOT BREWHOUSE @ BOAT QSINGAPORE SG 000 258.35</t>
  </si>
  <si>
    <t>11 MAY HAN'S CAFE - CHANGI CITY SINGAPORE SG 000 3.40</t>
  </si>
  <si>
    <t>11 MAY GRAB *2111813-3-027 SINGAPORE SG 000 19.00</t>
  </si>
  <si>
    <t>10 MAY DAL IN 2 SINGAPORE 069SG 000 110.63</t>
  </si>
  <si>
    <t>10 MAY HAN'S CAFE - CHANGI CITY SINGAPORE SG 000 3.40</t>
  </si>
  <si>
    <t>09 MAY HAN'S CAFE - CHANGI CITY SINGAPORE SG 000 1.90</t>
  </si>
  <si>
    <t>09 MAY HAN'S CAFE - CHANGI CITY SINGAPORE SG 000 3.40</t>
  </si>
  <si>
    <t>08 MAY NCI GOLF PTE LTD SINGAPORE SG 000 32.10</t>
  </si>
  <si>
    <t>EPSTCSX / 013166-2OF8 / 96364 1000</t>
  </si>
  <si>
    <t>Page 2 of 8</t>
  </si>
  <si>
    <t>08 MAY GRAB *2111813-3-026 SINGAPORE SG 000 17.00</t>
  </si>
  <si>
    <t>08 MAY GRAB *2111813-3-025 SINGAPORE SG 000 14.00</t>
  </si>
  <si>
    <t>FOREIGN AMOUNT U.S. DOLLAR 12.99</t>
  </si>
  <si>
    <t>07 MAY AmazonPrime Membership amzn.com/prmeUS 000 17.88</t>
  </si>
  <si>
    <t>06 MAY THE CANOPY CAF PTE LTD SINGAPORE SG 000 12.80</t>
  </si>
  <si>
    <t>06 MAY GRAB *2111813-3-024 SINGAPORE SG 000 17.00</t>
  </si>
  <si>
    <t>06 MAY GRAB *2111813-3-023 SINGAPORE SG 000 14.00</t>
  </si>
  <si>
    <t>05 MAY FAIRPRICE XTRA-CHANGI BIZSINGAPORE SG 000 10.90</t>
  </si>
  <si>
    <t>FOREIGN AMOUNT MALAYSIAN RINGGIT 130.00</t>
  </si>
  <si>
    <t>05 MAY BANGKOK FAMILY SPA JOHOR MY 000 45.51</t>
  </si>
  <si>
    <t>04 MAY HAN'S CAFE - CHANGI CITY SINGAPORE SG 000 3.40</t>
  </si>
  <si>
    <t>04 MAY GRAB *2111813-3-022 SINGAPORE SG 000 22.00</t>
  </si>
  <si>
    <t>04 MAY GRAB *2111813-3-020 SINGAPORE SG 000 14.00</t>
  </si>
  <si>
    <t>03 MAY JOY ALUKKAS RETAIL PRI TRICHUR IN 000 49.31</t>
  </si>
  <si>
    <t>FOREIGN AMOUNT INDIAN RUPEE 513.00</t>
  </si>
  <si>
    <t>26 APR RELIEF MEDICALS TRICHUR IN 000 10.52</t>
  </si>
  <si>
    <t>FOREIGN AMOUNT INDIAN RUPEE 1,043.00</t>
  </si>
  <si>
    <t>26 APR RELIEF MEDICALS TRICHUR IN 000 21.37</t>
  </si>
  <si>
    <t>19 APR SRI MURUGAN TRDG-EAST P SINGAPORE SG 000 42.00</t>
  </si>
  <si>
    <t>19 APR TRANSIT 30000869029231 SINGAPORE SG 000 30.00</t>
  </si>
  <si>
    <t>19 APR BREADTALK-EASTPOINT SINGAPORE SG 000 6.50</t>
  </si>
  <si>
    <t>19 APR GRAB *99194857-3-006 SINGAPORE SG 000 6.00</t>
  </si>
  <si>
    <t>18 APR GRAB *99194857-3-005 SINGAPORE SG 000 6.00</t>
  </si>
  <si>
    <t>17 APR NTUC FP-EASTPOINT SINGAPORE SG 000 35.85</t>
  </si>
  <si>
    <t>17 APR GRAB *99194857-3-004 SINGAPORE SG 000 6.00</t>
  </si>
  <si>
    <t>13 APR GRAB *99194857-3-003 SINGAPORE SG 000 6.00</t>
  </si>
  <si>
    <t>11 APR GRAB *99194857-3-002 SINGAPORE SG 000 6.00</t>
  </si>
  <si>
    <t>08 APR TRANSIT 30000874011767 SINGAPORE SG 000 20.00</t>
  </si>
  <si>
    <t>08 APR PAYPAL *BELLASUNSHI 4029357733 SG 000 6.84</t>
  </si>
  <si>
    <t>07 APR THE O&amp;G SPECIALIST CLINICSINGAPORE SG 000 235.40</t>
  </si>
  <si>
    <t>07 APR GRAB *99194857-3-001 SINGAPORE SG 000 15.00</t>
  </si>
  <si>
    <t>06 APR CCY CONVERSION FEE SGD 13.98 000 0.13</t>
  </si>
  <si>
    <t>06 APR TRANSIT 30000873020435 SINGAPORE SG 000 20.00</t>
  </si>
  <si>
    <t>06 APR FAIRPRICE FINEST-CHANGI CSINGAPORE SG 000 31.40</t>
  </si>
  <si>
    <t>05 APR ITUNES.COM/BILL ITUNES.COM IE 000 13.98</t>
  </si>
  <si>
    <t>SUB-TOTAL: 8,316.88</t>
  </si>
  <si>
    <t>03 MAY CHANGI SIMEI CO SINGAPORE SG 000 440.00</t>
  </si>
  <si>
    <t>03 MAY FAIRPRICE FINEST-CHANGI CSINGAPORE SG 000 14.05</t>
  </si>
  <si>
    <t>02 MAY StarHub Recurring SINGAPORE SG 000 298.83</t>
  </si>
  <si>
    <t>02 MAY HAN'S CAFE - CHANGI CITY SINGAPORE SG 000 5.10</t>
  </si>
  <si>
    <t>02 MAY FITNESS FIRST SINGAPOR SINGAPORE SG 000 160.00</t>
  </si>
  <si>
    <t>01 MAY NCI GOLF PTE LTD SINGAPORE SG 000 21.40</t>
  </si>
  <si>
    <t>01 MAY GRAB *2111813-3-019 SINGAPORE SG 000 17.00</t>
  </si>
  <si>
    <t>01 MAY GRAB *2111813-3-018 SINGAPORE SG 000 14.00</t>
  </si>
  <si>
    <t>30 APR MCDONALD'S (CCP) SINGAPORE SG 000 2.00</t>
  </si>
  <si>
    <t>27 APR FAIRPRICE XTRA-CHANGI BIZSINGAPORE SG 000 8.20</t>
  </si>
  <si>
    <t>26 APR FAIRPRICE XTRA-CHANGI BIZSINGAPORE SG 000 24.70</t>
  </si>
  <si>
    <t>26 APR FAIRPRICE XTRA-CHANGI BIZSINGAPORE SG 000 57.90</t>
  </si>
  <si>
    <t>26 APR GRAB *2111813-3-017 SINGAPORE SG 000 7.00</t>
  </si>
  <si>
    <t>FOREIGN AMOUNT U.S. DOLLAR 24.00</t>
  </si>
  <si>
    <t>25 APR CIAL DUTYFREE AND RETA ERNAKULAM IN 000 32.80</t>
  </si>
  <si>
    <t>FOREIGN AMOUNT U.S. DOLLAR 252.68</t>
  </si>
  <si>
    <t>22 APR FLYSCOOT.COM00000000K5S4QSINGAPORE GR 000 342.71</t>
  </si>
  <si>
    <t>19 APR HAN'S CAFE - CHANGI CITY SINGAPORE SG 000 3.40</t>
  </si>
  <si>
    <t>19 APR GRAB *2111813-3-016 SINGAPORE SG 000 9.00</t>
  </si>
  <si>
    <t>19 APR SINGAPOREAI 24230225720 SINGAPORE SG 888 2,247.00</t>
  </si>
  <si>
    <t>19 APR GUARDIAN - DTN 288 SINGAPORE SG 888 7.06</t>
  </si>
  <si>
    <t>18 APR CCY CONVERSION FEE SGD 26.98 000 0.26</t>
  </si>
  <si>
    <t>18 APR FAIRPRICE XTRA-CHANGI BIZSINGAPORE SG 000 17.60</t>
  </si>
  <si>
    <t>17 APR HAN'S CAFE - CHANGI CITY SINGAPORE SG 000 3.40</t>
  </si>
  <si>
    <t>17 APR ITUNES.COM/BILL ITUNES.COM IE 000 26.98</t>
  </si>
  <si>
    <t>16 APR WATSON'S SINGAPORE SG 000 7.85</t>
  </si>
  <si>
    <t>14 APR DECATHLON SINGAPORE PL SINGAPORE SG 000 54.20</t>
  </si>
  <si>
    <t>14 APR SUBWAY - EASTPOINT SINGAPORE SG 888 19.50</t>
  </si>
  <si>
    <t>13 APR UNIQLO CHANGI CITY POINT SINGAPORE SG 000 181.10</t>
  </si>
  <si>
    <t>13 APR CHALLENGER-CCP SINGAPORE SG 000 980.10</t>
  </si>
  <si>
    <t>13 APR FAIRPRICE XTRA-CHANGI BIZSINGAPORE SG 000 56.25</t>
  </si>
  <si>
    <t>13 APR HAN'S CAFE - CHANGI CITY SINGAPORE SG 000 5.10</t>
  </si>
  <si>
    <t>13 APR HAN'S CAFE - CHANGI CITY SINGAPORE SG 000 3.40</t>
  </si>
  <si>
    <t>12 APR HAN'S CAFE - CHANGI CITY SINGAPORE SG 000 5.10</t>
  </si>
  <si>
    <t>11 APR FAIRPRICE XTRA-CHANGI BIZSINGAPORE SG 000 12.75</t>
  </si>
  <si>
    <t>CITI PREMIERMILES CARD 4147 4630 0278 9291 Payment Due Date: May 30, 2018</t>
  </si>
  <si>
    <t>EPSTCSX / 013242-2OF8 / 96952 1000</t>
  </si>
  <si>
    <t>10 APR THOMSON FERTILITY CENTRE SINGAPORE SG 000 2,750.75</t>
  </si>
  <si>
    <t>10 APR POPEYES - SQUARE 2 SINGAPORE SG 888 15.00</t>
  </si>
  <si>
    <t>10 APR GRAB *2111813-3-015 SINGAPORE SG 000 14.00</t>
  </si>
  <si>
    <t>09 APR HAN'S CAFE - CHANGI CITY SINGAPORE SG 000 3.40</t>
  </si>
  <si>
    <t>08 APR POPULAR BOOK COMPANY-TML SINGAPORE SG 000 9.90</t>
  </si>
  <si>
    <t>07 APR THOMSON FERTILITY CENTRE SINGAPORE SG 000 230.05</t>
  </si>
  <si>
    <t>07 APR COTTON ON SINGAPORE SG 000 72.50</t>
  </si>
  <si>
    <t>07 APR SPICE JUNCTION SINGAPORE SG 000 53.85</t>
  </si>
  <si>
    <t>07 APR FAIRPRICE XTRA-CHANGI BIZSINGAPORE SG 000 22.70</t>
  </si>
  <si>
    <t>07 APR GRAB *2111813-3-014 SINGAPORE SG 000 8.00</t>
  </si>
  <si>
    <t>07 APR AYUSH AYURVEDIC PTE LTD SINGAPORE SG 888 29.96</t>
  </si>
  <si>
    <t>07 APR AmazonPrime Membership amzn.com/prmeUS 000 17.63</t>
  </si>
  <si>
    <t>05 APR HAN'S CAFE - CHANGI CITY SINGAPORE SG 000 3.40</t>
  </si>
  <si>
    <t>29 MAR TRANSIT 30000666008255 SINGAPORE SG 000 30.00</t>
  </si>
  <si>
    <t>28 MAR THOMSON FERTILITY CENTRE SINGAPORE SG 000 41.95</t>
  </si>
  <si>
    <t>28 MAR TRANSIT 30000485018075 SINGAPORE SG 000 20.00</t>
  </si>
  <si>
    <t>23 MAR CCY CONVERSION FEE SGD 17.75 000 0.17</t>
  </si>
  <si>
    <t>23 MAR UBER TRIP N6CWO HELP.UBERhelp.uber.comNL 000 17.75</t>
  </si>
  <si>
    <t>22 MAR CCY CONVERSION FEE SGD 4.96 000 0.04</t>
  </si>
  <si>
    <t>22 MAR UBER TRIP KRWT3 HELP.UBERhelp.uber.comNL 000 4.96</t>
  </si>
  <si>
    <t>21 MAR CCY CONVERSION FEE SGD 4.83 000 0.04</t>
  </si>
  <si>
    <t>21 MAR UBER TRIP IECCX HELP.UBERhelp.uber.comNL 000 4.83</t>
  </si>
  <si>
    <t>20 MAR UBER BV 800-592-8996 NL 000 4.83</t>
  </si>
  <si>
    <t>19 MAR CCY CONVERSION FEE SGD 4.77 000 0.04</t>
  </si>
  <si>
    <t>19 MAR NTUC FP-EASTPOINT SINGAPORE SG 000 46.65</t>
  </si>
  <si>
    <t>19 MAR UBER WUXVN HELP.UBER.COM help.uber.comNL 000 4.77</t>
  </si>
  <si>
    <t>17 MAR SING MUI HENG SINGAPORE SG 000 149.30</t>
  </si>
  <si>
    <t>16 MAR WATSON'S SINGAPORE SG 000 17.45</t>
  </si>
  <si>
    <t>15 MAR SRI MURUGAN TRDG-EAST P SINGAPORE SG 000 15.80</t>
  </si>
  <si>
    <t>15 MAR NTUC FP-EASTPOINT SINGAPORE SG 000 15.70</t>
  </si>
  <si>
    <t>08 MAR CCY CONVERSION FEE SGD 13.98 000 0.13</t>
  </si>
  <si>
    <t>CITI PREMIERMILES CARD 4147 4630 0278 9291 Payment Due Date: April 30, 2018</t>
  </si>
  <si>
    <t>EPSTCSX / 013317-3OF8 / 97837 1000</t>
  </si>
  <si>
    <t>07 MAR ITUNES.COM/BILL ITUNES.COM IE 000 13.98</t>
  </si>
  <si>
    <t>05 MAR CCY CONVERSION FEE SGD 4.99 000 0.04</t>
  </si>
  <si>
    <t>05 MAR UBER LTJLZ HELP.UBER.COM help.uber.comNL 000 4.99</t>
  </si>
  <si>
    <t>04 MAR PAYPAL *HAZELBEE 4029357733 SG 000 6.85</t>
  </si>
  <si>
    <t>02 MAR SRI MURUGAN TRDG-EAST P SINGAPORE SG 000 9.20</t>
  </si>
  <si>
    <t>SUB-TOTAL: 5,181.75</t>
  </si>
  <si>
    <t>02 APR StarHub Recurring SINGAPORE SG 000 295.95</t>
  </si>
  <si>
    <t>02 APR FITNESS FIRST SINGAPOR SINGAPORE SG 000 160.00</t>
  </si>
  <si>
    <t>01 APR FAIRPRICE XTRA-CHANGI BIZSINGAPORE SG 000 27.10</t>
  </si>
  <si>
    <t>01 APR GRAB *2111813-3-012 SINGAPORE SG 000 10.00</t>
  </si>
  <si>
    <t>31 MAR GRAB *2111813-3-011 SINGAPORE SG 000 21.00</t>
  </si>
  <si>
    <t>29 MAR FAIRPRICE XTRA-CHANGI BIZSINGAPORE SG 000 32.35</t>
  </si>
  <si>
    <t>29 MAR SAKUNTHALA'S RESTAURANT SINGAPORE SG 000 7.80</t>
  </si>
  <si>
    <t>28 MAR GRAB *2111813-3-010 SINGAPORE SG 000 15.00</t>
  </si>
  <si>
    <t>27 MAR FAIRPRICE XTRA-CHANGI BIZSINGAPORE SG 000 13.70</t>
  </si>
  <si>
    <t>27 MAR HAN'S CAFE - CHANGI CITY SINGAPORE SG 000 1.70</t>
  </si>
  <si>
    <t>26 MAR HAN'S CAFE - CHANGI CITY SINGAPORE SG 000 3.40</t>
  </si>
  <si>
    <t>24 MAR SAKUNTHALA'S RESTAURANT SINGAPORE SG 000 18.50</t>
  </si>
  <si>
    <t>23 MAR FAIRPRICE XTRA-CHANGI BIZSINGAPORE SG 000 40.95</t>
  </si>
  <si>
    <t>23 MAR HAN'S CAFE - CHANGI CITY SINGAPORE SG 000 3.40</t>
  </si>
  <si>
    <t>23 MAR YUM CHA RESTN PL-UE BIZHUSINGAPORE SG 000 54.80</t>
  </si>
  <si>
    <t>21 MAR CCY CONVERSION FEE SGD 9.42 000 0.09</t>
  </si>
  <si>
    <t>21 MAR HAN'S CAFE - CHANGI CITY SINGAPORE SG 000 3.40</t>
  </si>
  <si>
    <t>20 MAR UBER K5EU6 HELP.UBER.COM help.uber.comNL 000 9.42</t>
  </si>
  <si>
    <t>20 MAR FAIRPRICE XTRA-CHANGI BIZSINGAPORE SG 000 29.90</t>
  </si>
  <si>
    <t>20 MAR FAIRPRICE FINEST-CHANGI CSINGAPORE SG 000 24.10</t>
  </si>
  <si>
    <t>20 MAR HAN'S CAFE - CHANGI CITY SINGAPORE SG 000 3.40</t>
  </si>
  <si>
    <t>19 MAR CCY CONVERSION FEE SGD 26.98 000 0.26</t>
  </si>
  <si>
    <t>18 MAR PERFUME LES PARIS-TECH SINGAPORE SG 000 100.00</t>
  </si>
  <si>
    <t>18 MAR ANANDA BHAVAN-SERANGOON LSINGAPORE SG 888 28.60</t>
  </si>
  <si>
    <t>17 MAR CCY CONVERSION FEE SGD 12.89 000 0.12</t>
  </si>
  <si>
    <t>17 MAR CCY CONVERSION FEE SGD 14.35 000 0.14</t>
  </si>
  <si>
    <t>17 MAR CCY CONVERSION FEE SGD 14.96 000 0.14</t>
  </si>
  <si>
    <t>17 MAR FAIRPRICE XTRA-CHANGI BIZSINGAPORE SG 000 55.40</t>
  </si>
  <si>
    <t>17 MAR ITUNES.COM/BILL ITUNES.COM IE 000 26.98</t>
  </si>
  <si>
    <t>FOREIGN AMOUNT MALAYSIAN RINGGIT 188.80</t>
  </si>
  <si>
    <t>17 MAR SPICE VILLA JOHOR BAHRU MY 000 65.63</t>
  </si>
  <si>
    <t>16 MAR UBER DFBF5 HELP.UBER.COM help.uber.comNL 000 12.89</t>
  </si>
  <si>
    <t>16 MAR UBER CAHJZ HELP.UBER.COM help.uber.comNL 000 14.35</t>
  </si>
  <si>
    <t>16 MAR UBER 3G5B2 HELP.UBER.COM help.uber.comNL 000 14.96</t>
  </si>
  <si>
    <t>15 MAR HAN'S CAFE - CHANGI CITY SINGAPORE SG 000 3.40</t>
  </si>
  <si>
    <t>14 MAR HAN'S CAFE - CHANGI CITY SINGAPORE SG 000 1.70</t>
  </si>
  <si>
    <t>13 MAR CCY CONVERSION FEE SGD 16.92 000 0.16</t>
  </si>
  <si>
    <t>13 MAR FAIRPRICE XTRA-CHANGI BIZSINGAPORE SG 000 19.55</t>
  </si>
  <si>
    <t>13 MAR HAN'S CAFE - CHANGI CITY SINGAPORE SG 000 3.60</t>
  </si>
  <si>
    <t>12 MAR UBER 6FPA2 HELP.UBER.COM help.uber.comNL 000 16.92</t>
  </si>
  <si>
    <t>12 MAR HYATT SG-MEZZA9 SINGAPORE SG 888 42.02</t>
  </si>
  <si>
    <t>FOREIGN AMOUNT MALAYSIAN RINGGIT 121.00</t>
  </si>
  <si>
    <t>10 MAR FIZZIO HOTELS &amp; REFLEX JOHOR BAHRU MY 000 42.06</t>
  </si>
  <si>
    <t>09 MAR HAN'S CAFE - CHANGI CITY SINGAPORE SG 000 3.40</t>
  </si>
  <si>
    <t>09 MAR HAN'S CAFE - CHANGI CITY SINGAPORE SG 000 1.70</t>
  </si>
  <si>
    <t>08 MAR CCY CONVERSION FEE SGD 15.72 000 0.15</t>
  </si>
  <si>
    <t>08 MAR CCY CONVERSION FEE SGD 24.94 000 0.24</t>
  </si>
  <si>
    <t>08 MAR CCY CONVERSION FEE SGD 50.00 000 0.50</t>
  </si>
  <si>
    <t>08 MAR THOMSON FERTILITY CENTRE SINGAPORE SG 000 2,926.65</t>
  </si>
  <si>
    <t>08 MAR FAIRPRICE XTRA-CHANGI BIZSINGAPORE SG 000 7.85</t>
  </si>
  <si>
    <t>08 MAR SAKUNTHALA'S RESTAURANT SINGAPORE SG 000 25.80</t>
  </si>
  <si>
    <t>08 MAR UBER APMRG HELP.UBER.COM help.uber.comNL 000 15.72</t>
  </si>
  <si>
    <t>08 MAR UBER B5QNW HELP.UBER.COM help.uber.comNL 000 24.94</t>
  </si>
  <si>
    <t>07 MAR HAN'S CAFE - CHANGI CITY SINGAPORE SG 000 3.40</t>
  </si>
  <si>
    <t>07 MAR JPMC CORP CHALLENGE 6567330392 US 000 50.00</t>
  </si>
  <si>
    <t>07 MAR AmazonPrime Membership amzn.com/prmeUS 000 17.63</t>
  </si>
  <si>
    <t>06 MAR CCY CONVERSION FEE SGD 16.25 000 0.16</t>
  </si>
  <si>
    <t>EPSTCSX / 013317-2OF8 / 97836 1000</t>
  </si>
  <si>
    <t>06 MAR CCY CONVERSION FEE SGD 16.75 000 0.16</t>
  </si>
  <si>
    <t>06 MAR NCI GOLF PTE LTD SINGAPORE SG 000 32.10</t>
  </si>
  <si>
    <t>06 MAR WATSON'S SINGAPORE SG 000 5.45</t>
  </si>
  <si>
    <t>06 MAR HAN'S CAFE - CHANGI CITY SINGAPORE SG 000 3.40</t>
  </si>
  <si>
    <t>05 MAR UBER F4N4B HELP.UBER.COM help.uber.comNL 000 16.25</t>
  </si>
  <si>
    <t>05 MAR UBER Z2WIM HELP.UBER.COM help.uber.comNL 000 16.75</t>
  </si>
  <si>
    <t>05 MAR TMC - RETAIL PHARMACY SINGAPORE SG 000 15.40</t>
  </si>
  <si>
    <t>05 MAR StarHub Recurring SINGAPORE SG 000 405.48</t>
  </si>
  <si>
    <t>05 MAR THE O&amp;G SPECIALIST CLINICSINGAPORE SG 000 261.08</t>
  </si>
  <si>
    <t>04 MAR POPULAR ROADSHOW-SCHEVENTSINGAPORE SG 000 12.00</t>
  </si>
  <si>
    <t>04 MAR GV TAMPINES SINGAPORE SG 888 26.00</t>
  </si>
  <si>
    <t>03 MAR FAIRPRICE XTRA-CHANGI BIZSINGAPORE SG 000 21.70</t>
  </si>
  <si>
    <t>FOREIGN AMOUNT MALAYSIAN RINGGIT 166.00</t>
  </si>
  <si>
    <t>03 MAR BANGKOK FAMILY SPA JOHOR MY 000 57.90</t>
  </si>
  <si>
    <t>02 MAR CCY CONVERSION FEE SGD 4.93 000 0.04</t>
  </si>
  <si>
    <t>02 MAR UBER HWT6J HELP.UBER.COM help.uber.comNL 000 4.93</t>
  </si>
  <si>
    <t>28 FEB CCY CONVERSION FEE SGD 4.87 000 0.04</t>
  </si>
  <si>
    <t>28 FEB CCY CONVERSION FEE SGD 3.48 000 0.03</t>
  </si>
  <si>
    <t>28 FEB UBER QWFST HELP.UBER.COM help.uber.comNL 000 4.87</t>
  </si>
  <si>
    <t>27 FEB UBER BV 800-592-8996 NL 000 3.48</t>
  </si>
  <si>
    <t>23 FEB CCY CONVERSION FEE SGD 4.61 000 0.04</t>
  </si>
  <si>
    <t>23 FEB CCY CONVERSION FEE SGD 6.00 000 0.06</t>
  </si>
  <si>
    <t>23 FEB UBER DVOB4 HELP.UBER.COM help.uber.comNL 000 4.61</t>
  </si>
  <si>
    <t>23 FEB UBER 3ZB6L HELP.UBER.COM help.uber.comNL 000 6.00</t>
  </si>
  <si>
    <t>22 FEB NTUC FP-EASTPOINT SINGAPORE SG 000 8.30</t>
  </si>
  <si>
    <t>22 FEB CHANGI SIMEI CO SINGAPORE SG 000 450.00</t>
  </si>
  <si>
    <t>22 FEB PAYPAL *NAMRATA SHR 4029357733 SG 000 8.17</t>
  </si>
  <si>
    <t>21 FEB CCY CONVERSION FEE SGD 4.63 000 0.04</t>
  </si>
  <si>
    <t>21 FEB PAYPAL *BANSOONSEWI 4029357733 SG 000 618.00</t>
  </si>
  <si>
    <t>21 FEB UBER 7AFRP HELP.UBER.COM help.uber.comNL 000 4.63</t>
  </si>
  <si>
    <t>20 FEB CCY CONVERSION FEE SGD 4.99 000 0.04</t>
  </si>
  <si>
    <t>20 FEB UBER DQ6KT HELP.UBER.COM help.uber.comNL 000 4.99</t>
  </si>
  <si>
    <t>CITI PREMIERMILES CARD 4147 4630 0278 9291 Payment Due Date: March 29, 2018</t>
  </si>
  <si>
    <t>EPSTCSX / 013508-3OF8 / 98779 1000</t>
  </si>
  <si>
    <t>19 FEB CCY CONVERSION FEE SGD 5.98 000 0.05</t>
  </si>
  <si>
    <t>18 FEB BREADTALK-EASTPOINT SINGAPORE SG 000 12.70</t>
  </si>
  <si>
    <t>18 FEB NTUC FP-EASTPOINT SINGAPORE SG 000 2.95</t>
  </si>
  <si>
    <t>16 FEB ITUNES.COM/BILL ITUNES.COM IE 000 5.98</t>
  </si>
  <si>
    <t>15 FEB CCY CONVERSION FEE SGD 4.97 000 0.04</t>
  </si>
  <si>
    <t>14 FEB NTUC FP-EASTPOINT SINGAPORE SG 000 9.95</t>
  </si>
  <si>
    <t>14 FEB UBER BV 800-592-8996 NL 000 4.97</t>
  </si>
  <si>
    <t>13 FEB CCY CONVERSION FEE SGD 5.11 000 0.05</t>
  </si>
  <si>
    <t>13 FEB UBER N2UJK HELP.UBER.COM help.uber.comNL 000 5.11</t>
  </si>
  <si>
    <t>12 FEB CCY CONVERSION FEE SGD 4.87 000 0.04</t>
  </si>
  <si>
    <t>12 FEB UBER FQOEX HELP.UBER.COM help.uber.comNL 000 4.87</t>
  </si>
  <si>
    <t>10 FEB POPULAR BOOK COMPANY-2EP SINGAPORE SG 000 25.15</t>
  </si>
  <si>
    <t>10 FEB BREADTALK-EASTPOINT SINGAPORE SG 000 12.50</t>
  </si>
  <si>
    <t>10 FEB NTUC FP-EASTPOINT SINGAPORE SG 000 22.80</t>
  </si>
  <si>
    <t>09 FEB CCY CONVERSION FEE SGD 2.07 000 0.02</t>
  </si>
  <si>
    <t>09 FEB UBER 5EMJ4 HELP.UBER.COM help.uber.comNL 000 2.07</t>
  </si>
  <si>
    <t>08 FEB SRI MURUGAN TRDG-EAST P SINGAPORE SG 000 12.40</t>
  </si>
  <si>
    <t>07 FEB CCY CONVERSION FEE SGD 2.18 000 0.02</t>
  </si>
  <si>
    <t>07 FEB UBER UQKPY HELP.UBER.COM help.uber.comNL 000 2.18</t>
  </si>
  <si>
    <t>06 FEB CCY CONVERSION FEE SGD 2.04 000 0.02</t>
  </si>
  <si>
    <t>06 FEB CCY CONVERSION FEE SGD 16.01 000 0.16</t>
  </si>
  <si>
    <t>06 FEB CCY CONVERSION FEE SGD 13.22 000 0.13</t>
  </si>
  <si>
    <t>06 FEB UBER NCQG2 HELP.UBER.COM help.uber.comNL 000 2.04</t>
  </si>
  <si>
    <t>05 FEB CCY CONVERSION FEE SGD 2.11 000 0.02</t>
  </si>
  <si>
    <t>05 FEB CCY CONVERSION FEE SGD 13.98 000 0.13</t>
  </si>
  <si>
    <t>05 FEB UBER 7EL24 HELP.UBER.COM help.uber.comNL 000 16.01</t>
  </si>
  <si>
    <t>05 FEB UBER YJQZ4 HELP.UBER.COM help.uber.comNL 000 13.22</t>
  </si>
  <si>
    <t>05 FEB UBER IL3PU HELP.UBER.COM help.uber.comNL 000 2.11</t>
  </si>
  <si>
    <t>04 FEB ITUNES.COM/BILL ITUNES.COM IE 000 13.98</t>
  </si>
  <si>
    <t>SUB-TOTAL: 6,130.70</t>
  </si>
  <si>
    <t>02 MAR BLVD HOLDING PL-CHANGI CISINGAPORE SG 000 243.70</t>
  </si>
  <si>
    <t>02 MAR SANKRANTI SINGAPORE SG 000 15.10</t>
  </si>
  <si>
    <t>01 MAR FITNESS FIRST SINGAPOR SINGAPORE SG 000 160.00</t>
  </si>
  <si>
    <t>28 FEB FAIRPRICE XTRA-CHANGI BIZSINGAPORE SG 000 1.95</t>
  </si>
  <si>
    <t>28 FEB HAN'S CAFE - CHANGI CITY SINGAPORE SG 000 3.40</t>
  </si>
  <si>
    <t>28 FEB COMPASS GROUP - JPMORG SINGAPORE SG 000 5.30</t>
  </si>
  <si>
    <t>27 FEB CCY CONVERSION FEE SGD 26.98 000 0.26</t>
  </si>
  <si>
    <t>27 FEB GREAT EASTERN LIFE ASSURASINGAPORE SG 000 712.74</t>
  </si>
  <si>
    <t>27 FEB GREAT EASTERN LIFE ASSURASINGAPORE SG 000 518.26</t>
  </si>
  <si>
    <t>27 FEB HAN'S CAFE - CHANGI CITY SINGAPORE SG 000 1.70</t>
  </si>
  <si>
    <t>26 FEB QOO10 SINGAPORE SG 000 53.40</t>
  </si>
  <si>
    <t>26 FEB ITUNES.COM/BILL ITUNES.COM IE 000 26.98</t>
  </si>
  <si>
    <t>25 FEB FAIRPRICE XTRA-CHANGI BIZSINGAPORE SG 000 8.00</t>
  </si>
  <si>
    <t>24 FEB FAIRPRICE XTRA-CHANGI BIZSINGAPORE SG 000 23.50</t>
  </si>
  <si>
    <t>FOREIGN AMOUNT MALAYSIAN RINGGIT 472.12</t>
  </si>
  <si>
    <t>24 FEB TANJONG PTR GLF RSRT-F/O PASIR GUDANG MY 000 165.28</t>
  </si>
  <si>
    <t>23 FEB WINE CONNECTION-CHANGI CISINGAPORE SG 000 23.90</t>
  </si>
  <si>
    <t>23 FEB HAN'S CAFE - CHANGI CITY SINGAPORE SG 000 3.40</t>
  </si>
  <si>
    <t>23 FEB FAIRPRICE FINEST-CHANGI CSINGAPORE SG 000 11.75</t>
  </si>
  <si>
    <t>22 FEB BREADTALK-CCP SINGAPORE SG 000 18.60</t>
  </si>
  <si>
    <t>22 FEB HAN'S CAFE - CHANGI CITY SINGAPORE SG 000 3.40</t>
  </si>
  <si>
    <t>21 FEB FAIRPRICE XTRA-CHANGI BIZSINGAPORE SG 000 1.95</t>
  </si>
  <si>
    <t>20 FEB CCY CONVERSION FEE SGD 2.11 000 0.02</t>
  </si>
  <si>
    <t>20 FEB UBER XHNZA HELP.UBER.COM help.uber.comNL 000 2.11</t>
  </si>
  <si>
    <t>19 FEB CCY CONVERSION FEE SGD 21.29 000 0.21</t>
  </si>
  <si>
    <t>19 FEB HAN'S CAFE - CHANGI CITY SINGAPORE SG 000 5.10</t>
  </si>
  <si>
    <t>17 FEB FAIRPRICE XTRA-CHANGI BIZSINGAPORE SG 000 97.30</t>
  </si>
  <si>
    <t>17 FEB ANANDA BHAVAN-SERANGOON LSINGAPORE SG 888 30.90</t>
  </si>
  <si>
    <t>15 FEB UBER 57PAS HELP.UBER.COM help.uber.comNL 000 21.29</t>
  </si>
  <si>
    <t>15 FEB SWENSEN_TM SINGAPORE SG 000 86.27</t>
  </si>
  <si>
    <t>14 FEB HAN'S CAFE - CHANGI CITY SINGAPORE SG 000 1.70</t>
  </si>
  <si>
    <t>13 FEB HAN'S CAFE - CHANGI CITY SINGAPORE SG 000 3.40</t>
  </si>
  <si>
    <t>12 FEB GREAT EASTERN LIFE ASSURASINGAPORE SG 000 570.00</t>
  </si>
  <si>
    <t>12 FEB GREAT EASTERN LIFE ASSURASINGAPORE SG 000 294.00</t>
  </si>
  <si>
    <t>EPSTCSX / 013508-2OF8 / 98778 1000</t>
  </si>
  <si>
    <t>12 FEB FAIRPRICE XTRA-CHANGI BIZSINGAPORE SG 000 2.30</t>
  </si>
  <si>
    <t>10 FEB FAIRPRICE XTRA-CHANGI BIZSINGAPORE SG 000 14.60</t>
  </si>
  <si>
    <t>08 FEB CCY CONVERSION FEE SGD 24.59 000 0.24</t>
  </si>
  <si>
    <t>08 FEB WATSON'S SINGAPORE SG 000 7.85</t>
  </si>
  <si>
    <t>08 FEB FAIRPRICE XTRA-CHANGI BIZSINGAPORE SG 000 24.85</t>
  </si>
  <si>
    <t>08 FEB HAN'S CAFE - CHANGI CITY SINGAPORE SG 000 7.40</t>
  </si>
  <si>
    <t>07 FEB UBER 4MPW5 HELP.UBER.COM help.uber.comNL 000 24.59</t>
  </si>
  <si>
    <t>FOREIGN AMOUNT U.S. DOLLAR 10.99</t>
  </si>
  <si>
    <t>07 FEB AmazonPrime Membership amzn.com/prmeUS 000 14.96</t>
  </si>
  <si>
    <t>05 FEB THE O&amp;G SPECIALIST CLINICSINGAPORE SG 000 374.50</t>
  </si>
  <si>
    <t>05 FEB COMPASS GROUP - JPMORG SINGAPORE SG 000 10.80</t>
  </si>
  <si>
    <t>03 FEB STARHUB LTD SINGAPORE SG 000 1,203.00</t>
  </si>
  <si>
    <t>03 FEB NTUC FP-EASTPOINT SINGAPORE SG 000 46.30</t>
  </si>
  <si>
    <t>02 FEB CCY CONVERSION FEE SGD 2.01 000 0.02</t>
  </si>
  <si>
    <t>02 FEB UBER U2TY4 HELP.UBER.COM help.uber.comNL 000 2.01</t>
  </si>
  <si>
    <t>31 JAN CCY CONVERSION FEE SGD 5.46 000 0.05</t>
  </si>
  <si>
    <t>30 JAN UBER UK33T HELP.UBER.COM help.uber.comNL 000 5.46</t>
  </si>
  <si>
    <t>26 JAN CCY CONVERSION FEE SGD 7.70 000 0.07</t>
  </si>
  <si>
    <t>26 JAN UBER PJK2U HELP.UBER.COM help.uber.comNL 000 7.70</t>
  </si>
  <si>
    <t>25 JAN CCY CONVERSION FEE SGD 6.22 000 0.06</t>
  </si>
  <si>
    <t>25 JAN UBER 4G7SJ HELP.UBER.COM help.uber.comNL 000 6.22</t>
  </si>
  <si>
    <t>24 JAN CCY CONVERSION FEE SGD 4.83 000 0.04</t>
  </si>
  <si>
    <t>24 JAN CCY CONVERSION FEE SGD 5.81 000 0.05</t>
  </si>
  <si>
    <t>24 JAN UBER VMBHX HELP.UBER.COM help.uber.comNL 000 4.83</t>
  </si>
  <si>
    <t>23 JAN UBER BV 800-592-8996 NL 000 5.81</t>
  </si>
  <si>
    <t>22 JAN CCY CONVERSION FEE SGD 5.32 000 0.05</t>
  </si>
  <si>
    <t>22 JAN PAYPAL *A1INDIAGROU 4029357733 SG 000 56.95</t>
  </si>
  <si>
    <t>CITI PREMIERMILES CARD 4147 4630 0278 9291 Payment Due Date: March 01, 2018</t>
  </si>
  <si>
    <t>EPSTCSX / 013613-3OF8 / 99881 1000</t>
  </si>
  <si>
    <t>22 JAN UBER MSP52 HELP.UBER.COM help.uber.comNL 000 5.32</t>
  </si>
  <si>
    <t>18 JAN CCY CONVERSION FEE SGD 1.24 000 0.01</t>
  </si>
  <si>
    <t>18 JAN NTUC FP-EASTPOINT SINGAPORE SG 000 31.55</t>
  </si>
  <si>
    <t>18 JAN NTUC FP-EASTPOINT SINGAPORE SG 000 24.35</t>
  </si>
  <si>
    <t>18 JAN UBER 3O7IY HELP.UBER.COM help.uber.comNL 000 1.24</t>
  </si>
  <si>
    <t>15 JAN CCY CONVERSION FEE SGD 5.30 000 0.05</t>
  </si>
  <si>
    <t>15 JAN UBER TRIP NLP6L HELP.UBERhelp.uber.comNL 000 5.30</t>
  </si>
  <si>
    <t>14 JAN BREADTALK-EASTPOINT SINGAPORE SG 000 9.30</t>
  </si>
  <si>
    <t>05 JAN CCY CONVERSION FEE SGD 13.98 000 0.13</t>
  </si>
  <si>
    <t>05 JAN PAYPAL *GRACEFEARON 4029357733 SG 000 2.74</t>
  </si>
  <si>
    <t>04 JAN ITUNES.COM/BILL ITUNES.COM IE 000 13.98</t>
  </si>
  <si>
    <t>SUB-TOTAL: 7,624.83</t>
  </si>
  <si>
    <t>01 FEB FITNESS FIRST SINGAPOR SINGAPORE SG 000 160.00</t>
  </si>
  <si>
    <t>31 JAN StarHub Recurring SINGAPORE SG 000 314.94</t>
  </si>
  <si>
    <t>29 JAN CCY CONVERSION FEE SGD 8.69 000 0.08</t>
  </si>
  <si>
    <t>29 JAN BURGER KING - UE BIZHUB SINGAPORE SG 000 7.95</t>
  </si>
  <si>
    <t>29 JAN STARBUCKS COFFEE (LT) SINGAPORE SG 888 6.70</t>
  </si>
  <si>
    <t>28 JAN MCDONALD'S (CA2) SINGAPORE SG 000 15.55</t>
  </si>
  <si>
    <t>28 JAN UBER W7SDJ HELP.UBER.COM help.uber.comNL 000 8.69</t>
  </si>
  <si>
    <t>27 JAN CCY CONVERSION FEE SGD 26.98 000 0.26</t>
  </si>
  <si>
    <t>27 JAN SPICE JUNCTION SINGAPORE SG 000 76.60</t>
  </si>
  <si>
    <t>27 JAN FAIRPRICE XTRA-CHANGI BIZSINGAPORE SG 000 33.80</t>
  </si>
  <si>
    <t>27 JAN FAIRPRICE XTRA-CHANGI BIZSINGAPORE SG 000 56.05</t>
  </si>
  <si>
    <t>27 JAN AYUSH AYURVEDIC PTE LTD SINGAPORE SG 888 29.96</t>
  </si>
  <si>
    <t>26 JAN HAN'S CAFE - CHANGI CITY SINGAPORE SG 000 5.80</t>
  </si>
  <si>
    <t>26 JAN HAN'S CAFE - CHANGI CITY SINGAPORE SG 000 3.40</t>
  </si>
  <si>
    <t>26 JAN ITUNES.COM/BILL ITUNES.COM IE 000 26.98</t>
  </si>
  <si>
    <t>25 JAN CCY CONVERSION FEE SGD 5.87 000 0.05</t>
  </si>
  <si>
    <t>25 JAN NTUC FP-EASTPOINT SINGAPORE SG 000 10.25</t>
  </si>
  <si>
    <t>25 JAN NTUC FP-EASTPOINT SINGAPORE SG 000 13.90</t>
  </si>
  <si>
    <t>24 JAN UBER YT73I HELP.UBER.COM help.uber.comNL 000 5.87</t>
  </si>
  <si>
    <t>FOREIGN AMOUNT YUAN RENMINBI 59.00</t>
  </si>
  <si>
    <t>24 JAN STARBUCKS BEIJING CN 000 12.53</t>
  </si>
  <si>
    <t>24 JAN DFS VENTURE S P/L - TERMISINGAPORE SG 888 26.60</t>
  </si>
  <si>
    <t>22 JAN STARBUCKS BEIJING CN 000 12.52</t>
  </si>
  <si>
    <t>FOREIGN AMOUNT YUAN RENMINBI 48.00</t>
  </si>
  <si>
    <t>22 JAN Beijing TGI Fridays RestaBEIJING CN 000 10.19</t>
  </si>
  <si>
    <t>FOREIGN AMOUNT YUAN RENMINBI 60.00</t>
  </si>
  <si>
    <t>21 JAN STARBUCKS BEIJING CN 000 12.76</t>
  </si>
  <si>
    <t>FOREIGN AMOUNT YUAN RENMINBI 138.90</t>
  </si>
  <si>
    <t>21 JAN BAI SHENG SHANG YE FA ZHABEIJING CN 000 29.53</t>
  </si>
  <si>
    <t>15 JAN CCY CONVERSION FEE SGD 10.40 000 0.10</t>
  </si>
  <si>
    <t>15 JAN KRISSHOPINFLIGHT SINGAPORE SG 000 25.00</t>
  </si>
  <si>
    <t>14 JAN THE COCOA TREES SINGAPORE SG 000 35.80</t>
  </si>
  <si>
    <t>14 JAN UBER TRIP DQGQ6 HELP.UBERhelp.uber.comNL 000 10.40</t>
  </si>
  <si>
    <t>FOREIGN AMOUNT YUAN RENMINBI 31.00</t>
  </si>
  <si>
    <t>14 JAN STARBUCKS SHANGHAISHI CN 000 6.55</t>
  </si>
  <si>
    <t>13 JAN WINTER TIME@TM SINGAPORE SG 000 5.50</t>
  </si>
  <si>
    <t>13 JAN FAIRPRICE XTRA-CHANGI BIZSINGAPORE SG 000 11.65</t>
  </si>
  <si>
    <t>13 JAN WINTER TIME - TM SINGAPORE SG 888 45.80</t>
  </si>
  <si>
    <t>13 JAN DING TAI FUNG-TM SINGAPORE SG 888 80.27</t>
  </si>
  <si>
    <t>12 JAN FIVE IZAKAYA BAR SINGAPORE SG 000 41.20</t>
  </si>
  <si>
    <t>FOREIGN AMOUNT U.S. DOLLAR 69.01</t>
  </si>
  <si>
    <t>12 JAN AMAZON.COM AMZN.COM/BILL AMZN.COM/BILLUS 000 94.39</t>
  </si>
  <si>
    <t>11 JAN CCY CONVERSION FEE SGD 5.61 000 0.05</t>
  </si>
  <si>
    <t>11 JAN WATSON'S SINGAPORE SG 000 7.50</t>
  </si>
  <si>
    <t>11 JAN BATA SINGAPORE SG 000 80.00</t>
  </si>
  <si>
    <t>11 JAN UNIQLO CHANGI CITY POINT SINGAPORE SG 000 39.90</t>
  </si>
  <si>
    <t>11 JAN COMPASS GROUP - JPMORG SINGAPORE SG 000 5.30</t>
  </si>
  <si>
    <t>10 JAN UBER TRIP 5HFIV HELP.UBERhelp.uber.comNL 000 5.61</t>
  </si>
  <si>
    <t>10 JAN WATSON'S SINGAPORE SG 000 8.50</t>
  </si>
  <si>
    <t>09 JAN NTUC FP-EASTPOINT SINGAPORE SG 000 22.95</t>
  </si>
  <si>
    <t>08 JAN PUMA-TEMP EVENT SINGAPORE SG 000 50.00</t>
  </si>
  <si>
    <t>08 JAN CHALLENGER-CCP SINGAPORE SG 000 10.97</t>
  </si>
  <si>
    <t>08 JAN HAN'S CAFE - CHANGI CITY SINGAPORE SG 000 3.40</t>
  </si>
  <si>
    <t>EPSTCSX / 013613-2OF8 / 99880 1000</t>
  </si>
  <si>
    <t>07 JAN WATSON'S SINGAPORE SG 000 15.00</t>
  </si>
  <si>
    <t>07 JAN AmazonPrime Membership amzn.com/prmeUS 000 15.02</t>
  </si>
  <si>
    <t>06 JAN WATSON'S SINGAPORE SG 000 10.20</t>
  </si>
  <si>
    <t>05 JAN CCY CONVERSION FEE SGD 16.58 000 0.16</t>
  </si>
  <si>
    <t>05 JAN KFC CBP 501 SINGAPORE SG 000 16.50</t>
  </si>
  <si>
    <t>05 JAN FAIRPRICE XTRA-CHANGI BIZSINGAPORE SG 000 11.60</t>
  </si>
  <si>
    <t>05 JAN FAIRPRICE XTRA-CHANGI BIZSINGAPORE SG 000 13.70</t>
  </si>
  <si>
    <t>04 JAN UBER TRIP MLS4A HELP.UBERhelp.uber.comNL 000 16.58</t>
  </si>
  <si>
    <t>04 JAN TMC-PATIENT SERVICE CTR SINGAPORE SG 000 3,144.85</t>
  </si>
  <si>
    <t>04 JAN TMC-PATIENT SERVICE CTR SINGAPORE SG 000 2,750.00</t>
  </si>
  <si>
    <t>04 JAN DELIFRANCE (S)-TMC SINGAPORE SG 000 11.70</t>
  </si>
  <si>
    <t>04 JAN THE O&amp;G SPECIALIST CLINICSINGAPORE SG 000 6.42</t>
  </si>
  <si>
    <t>02 JAN LES PARFUM SINGAPORE SG 000 141.30</t>
  </si>
  <si>
    <t>31 DEC FAIRPRICE FINEST-CHANGI CSINGAPORE SG 000 21.35</t>
  </si>
  <si>
    <t>28 DEC BATA SINGAPORE SG 000 47.95</t>
  </si>
  <si>
    <t>27 DEC FAIRPRICE XTRA-CHANGI BIZSINGAPORE SG 000 128.00</t>
  </si>
  <si>
    <t>19 DEC FAIRPRICE FINEST-CHANGI CSINGAPORE SG 000 21.65</t>
  </si>
  <si>
    <t>14 DEC NTUC FP-EASTPOINT SINGAPORE SG 000 21.75</t>
  </si>
  <si>
    <t>10 DEC WATSON'S SINGAPORE SG 000 12.00</t>
  </si>
  <si>
    <t>08 DEC CCY CONVERSION FEE SGD 9.95 000 0.09</t>
  </si>
  <si>
    <t>08 DEC AMAZON PRIME NOW SG SINGAPORE SG 000 43.23</t>
  </si>
  <si>
    <t>07 DEC UBER TRIP 2JUWN HELP.UBERhelp.uber.comNL 000 9.95</t>
  </si>
  <si>
    <t>SUB-TOTAL: 1,324.18</t>
  </si>
  <si>
    <t>04 JAN CCY CONVERSION FEE SGD 15.60 000 0.15</t>
  </si>
  <si>
    <t>04 JAN UBER TRIP MGOVW HELP.UBERhelp.uber.comNL 000 15.60</t>
  </si>
  <si>
    <t>02 JAN StarHub Recurring SINGAPORE SG 000 294.14</t>
  </si>
  <si>
    <t>02 JAN FITNESS FIRST SINGAPOR SINGAPORE SG 000 160.00</t>
  </si>
  <si>
    <t>02 JAN GNC @ CHANGI CITY SINGAPORE SG 888 47.00</t>
  </si>
  <si>
    <t>01 JAN FAIRPRICE XTRA-CHANGI BIZSINGAPORE SG 000 6.60</t>
  </si>
  <si>
    <t>29 DEC RAS BITES SINGAPORE SG 000 72.00</t>
  </si>
  <si>
    <t>29 DEC FAIRPRICE XTRA-CHANGI BIZSINGAPORE SG 000 50.25</t>
  </si>
  <si>
    <t>27 DEC CCY CONVERSION FEE SGD 26.98 000 0.26</t>
  </si>
  <si>
    <t>26 DEC CCY CONVERSION FEE SGD 15.47 000 0.15</t>
  </si>
  <si>
    <t>26 DEC FAIRPRICE XTRA-CHANGI BIZSINGAPORE SG 000 14.90</t>
  </si>
  <si>
    <t>26 DEC ITUNES.COM/BILL ITUNES.COM IE 000 26.98</t>
  </si>
  <si>
    <t>24 DEC DIGITAL LIGHT CANVAS SINGAPORE SG 000 15.00</t>
  </si>
  <si>
    <t>24 DEC UBER TRIP DF3XX HELP.UBERhelp.uber.comNL 000 15.47</t>
  </si>
  <si>
    <t>24 DEC HIGH SOCIETY SINGAPORE SG 000 22.40</t>
  </si>
  <si>
    <t>24 DEC NTUC FP-EASTPOINT SINGAPORE SG 000 26.65</t>
  </si>
  <si>
    <t>22 DEC CCY CONVERSION FEE SGD 15.51 000 0.15</t>
  </si>
  <si>
    <t>21 DEC UBER BV 800-592-8996 NL 000 15.51</t>
  </si>
  <si>
    <t>FOREIGN AMOUNT MALAYSIAN RINGGIT 422.12</t>
  </si>
  <si>
    <t>21 DEC TANJONG PTR GLF RSRT-F/O PASIR GUDANG MY 000 143.81</t>
  </si>
  <si>
    <t>FOREIGN AMOUNT MALAYSIAN RINGGIT 143.10</t>
  </si>
  <si>
    <t>21 DEC TANJONG PTR GLF RSRT-GOLFPASIR GUDANG MY 000 48.75</t>
  </si>
  <si>
    <t>20 DEC CCY CONVERSION FEE SGD 6.00 000 0.06</t>
  </si>
  <si>
    <t>20 DEC GST ON MEMBERSHIP FEE REVERSAL 000 (12.60)</t>
  </si>
  <si>
    <t>20 DEC ANNUAL MEMBER FEE REV 000 (180.00)</t>
  </si>
  <si>
    <t>19 DEC CCY CONVERSION FEE SGD 14.76 000 0.14</t>
  </si>
  <si>
    <t>19 DEC FAIRPRICE XTRA-CHANGI BIZSINGAPORE SG 000 11.80</t>
  </si>
  <si>
    <t>19 DEC UBER BV 800-592-8996 NL 000 6.00</t>
  </si>
  <si>
    <t>19 DEC UBER TRIP 3DYHP HELP.UBERhelp.uber.comNL 000 14.76</t>
  </si>
  <si>
    <t>18 DEC KFC TPH 514 SINGAPORE SG 000 7.70</t>
  </si>
  <si>
    <t>17 DEC KFC TPH 514 SINGAPORE SG 000 7.70</t>
  </si>
  <si>
    <t>17 DEC KFC TPH 514 SINGAPORE SG 000 8.80</t>
  </si>
  <si>
    <t>17 DEC PHS TPH 356 SINGAPORE SG 000 7.80</t>
  </si>
  <si>
    <t>17 DEC AH KHOO SINGAPORE SG 000 1.80</t>
  </si>
  <si>
    <t>16 DEC KFC TPH 514 SINGAPORE SG 000 8.70</t>
  </si>
  <si>
    <t>16 DEC AH KHOO SINGAPORE SG 000 3.80</t>
  </si>
  <si>
    <t>15 DEC KFC TPH 514 SINGAPORE SG 000 7.70</t>
  </si>
  <si>
    <t>15 DEC AH KHOO SINGAPORE SG 000 1.80</t>
  </si>
  <si>
    <t>14 DEC NTUC FP - TAMPINES HUB SINGAPORE SG 000 1.40</t>
  </si>
  <si>
    <t>14 DEC KFC TPH 514 SINGAPORE SG 000 9.00</t>
  </si>
  <si>
    <t>14 DEC FAIRPRICE XTRA-CHANGI BIZSINGAPORE SG 000 21.00</t>
  </si>
  <si>
    <t>13 DEC CCY CONVERSION FEE SGD 24.38 000 0.24</t>
  </si>
  <si>
    <t>13 DEC KFC TPH 514 SINGAPORE SG 000 7.70</t>
  </si>
  <si>
    <t>13 DEC AH KHOO SINGAPORE SG 000 1.80</t>
  </si>
  <si>
    <t>13 DEC GUARDIAN OUR TAMPINES HUBSINGAPORE SG 888 8.80</t>
  </si>
  <si>
    <t>CITI PREMIERMILES CARD 4147 4630 0278 9291 Payment Due Date: January 29, 2018</t>
  </si>
  <si>
    <t>EPSTCSX / 013714-2OF8 / 115794 1000</t>
  </si>
  <si>
    <t>12 DEC UBER TRIP VEUEJ HELP.UBERhelp.uber.comNL 000 24.38</t>
  </si>
  <si>
    <t>12 DEC KFC TPH 514 SINGAPORE SG 000 7.70</t>
  </si>
  <si>
    <t>11 DEC CCY CONVERSION FEE SGD 17.39 000 0.17</t>
  </si>
  <si>
    <t>11 DEC THOMSON FERTILITY CENTRE SINGAPORE SG 000 230.05</t>
  </si>
  <si>
    <t>11 DEC UBER TRIP TDKBU HELP.UBERhelp.uber.comNL 000 17.39</t>
  </si>
  <si>
    <t>10 DEC FAIRPRICE FINEST-CHANGI CSINGAPORE SG 000 19.00</t>
  </si>
  <si>
    <t>07 DEC AmazonPrime Membership amzn.com/prmeUS 000 15.26</t>
  </si>
  <si>
    <t>06 DEC HAN'S CAFE - CHANGI CITY SINGAPORE SG 000 3.40</t>
  </si>
  <si>
    <t>04 DEC HAN'S CAFE - CHANGI CITY SINGAPORE SG 000 3.40</t>
  </si>
  <si>
    <t>03 DEC QOO10 SINGAPORE SG 000 3.89</t>
  </si>
  <si>
    <t>FOREIGN AMOUNT MALAYSIAN RINGGIT 219.00</t>
  </si>
  <si>
    <t>02 DEC BANGKOK FAMILY SPA JOHOR MY 000 74.47</t>
  </si>
  <si>
    <t>02 DEC CCY CONVERSION FEE SGD 6.37 000 0.06</t>
  </si>
  <si>
    <t>02 DEC CCY CONVERSION FEE SGD 5.28 000 0.05</t>
  </si>
  <si>
    <t>01 DEC CCY CONVERSION FEE SGD 5.34 000 0.05</t>
  </si>
  <si>
    <t>01 DEC UBER TRIP AMTE4 HELP.UBERhelp.uber.comNL 000 6.37</t>
  </si>
  <si>
    <t>01 DEC UBER TRIP CQX7A HELP.UBERhelp.uber.comNL 000 5.28</t>
  </si>
  <si>
    <t>30 NOV UBER TRIP AYKET HELP.UBERhelp.uber.comNL 000 5.34</t>
  </si>
  <si>
    <t>30 NOV NTUC FP-EASTPOINT SINGAPORE SG 000 43.00</t>
  </si>
  <si>
    <t>27 NOV CCY CONVERSION FEE SGD 13.98 000 0.13</t>
  </si>
  <si>
    <t>25 NOV WATSON'S SINGAPORE SG 000 12.70</t>
  </si>
  <si>
    <t>25 NOV PAYPAL *BELLASUNSHI 4029357733 SG 000 13.26</t>
  </si>
  <si>
    <t>25 NOV ITUNES.COM/BILL ITUNES.COM IE 000 13.98</t>
  </si>
  <si>
    <t>24 NOV FAIRPRICE XTRA-CHANGI BIZSINGAPORE SG 000 63.55</t>
  </si>
  <si>
    <t>21 NOV CCY CONVERSION FEE SGD 8.45 000 0.08</t>
  </si>
  <si>
    <t>21 NOV CCY CONVERSION FEE SGD 7.57 000 0.07</t>
  </si>
  <si>
    <t>21 NOV NTUC FP - CIA2 SINGAPORE SG 000 19.90</t>
  </si>
  <si>
    <t>20 NOV UBER TRIP LZUBJ HELP.UBERhelp.uber.comNL 000 8.45</t>
  </si>
  <si>
    <t>20 NOV UBER TRIP Y7QIY HELP.UBERhelp.uber.comNL 000 7.57</t>
  </si>
  <si>
    <t>18 NOV CCY CONVERSION FEE SGD 8.26 000 0.08</t>
  </si>
  <si>
    <t>18 NOV NTUC FP-TAMPINES MALL SINGAPORE SG 000 19.55</t>
  </si>
  <si>
    <t>17 NOV UBER BV 800-592-8996 NL 000 8.26</t>
  </si>
  <si>
    <t>16 NOV HONESTBEE.COM SINGAPORE SG 000 114.60</t>
  </si>
  <si>
    <t>15 NOV WATSON'S SINGAPORE SG 000 17.65</t>
  </si>
  <si>
    <t>08 NOV HONESTBEE.COM SINGAPORE SG 000 62.47</t>
  </si>
  <si>
    <t>06 NOV CCY CONVERSION FEE SGD 13.98 000 0.13</t>
  </si>
  <si>
    <t>06 NOV CCY CONVERSION FEE SGD 8.01 000 0.08</t>
  </si>
  <si>
    <t>05 NOV ITUNES.COM/BILL ITUNES.COM IE 000 13.98</t>
  </si>
  <si>
    <t>CITI PREMIERMILES CARD 4147 4630 0278 9291 Payment Due Date: December 29, 2017</t>
  </si>
  <si>
    <t>EPSTCSX / 013999-3OF8 / 102805 1000</t>
  </si>
  <si>
    <t>04 NOV PAYPAL *BLUECALLA 4029357733 CA 000 8.01</t>
  </si>
  <si>
    <t>SUB-TOTAL: 2,601.26</t>
  </si>
  <si>
    <t>04 DEC GST ON ANNUAL MEMBERSHIP FEE 000 12.60</t>
  </si>
  <si>
    <t>04 DEC ANNUAL MEMBERSHIP FEE 000 180.00</t>
  </si>
  <si>
    <t>01 DEC StarHub Recurring SINGAPORE SG 000 283.45</t>
  </si>
  <si>
    <t>01 DEC FITNESS FIRST SINGAPOR SINGAPORE SG 000 160.00</t>
  </si>
  <si>
    <t>01 DEC HUGGS COFFEE-CECIL ST SINGAPORE SG 888 3.30</t>
  </si>
  <si>
    <t>28 NOV CCY CONVERSION FEE SGD 11.48 000 0.11</t>
  </si>
  <si>
    <t>FOREIGN AMOUNT U.S. DOLLAR 500.00</t>
  </si>
  <si>
    <t>28 NOV ISACA 8476605546 US 000 692.85</t>
  </si>
  <si>
    <t>28 NOV TWELVE CUPCAKES PTE LTD SINGAPORE SG 000 12.00</t>
  </si>
  <si>
    <t>28 NOV HUGGS COFFEE-CECIL ST SINGAPORE SG 888 5.10</t>
  </si>
  <si>
    <t>27 NOV CCY CONVERSION FEE SGD 6.24 000 0.06</t>
  </si>
  <si>
    <t>27 NOV FAIRPRICE XTRA-CHANGI BIZSINGAPORE SG 000 35.65</t>
  </si>
  <si>
    <t>27 NOV HAN'S CAFE - CHANGI CITY SINGAPORE SG 000 3.40</t>
  </si>
  <si>
    <t>27 NOV ITUNES.COM/BILL ITUNES.COM IE 000 11.48</t>
  </si>
  <si>
    <t>27 NOV ID:2014734010 Pay-with-points cashback 000 (22.25)</t>
  </si>
  <si>
    <t>26 NOV UBER TRIP TMLK6 HELP.UBERhelp.uber.comNL 000 6.24</t>
  </si>
  <si>
    <t>25 NOV CCY CONVERSION FEE SGD 5.50 000 0.05</t>
  </si>
  <si>
    <t>25 NOV NTUC FP-EASTPOINT SINGAPORE SG 000 22.25</t>
  </si>
  <si>
    <t>24 NOV UBER TRIP 32CY4 HELP.UBERhelp.uber.comNL 000 5.50</t>
  </si>
  <si>
    <t>24 NOV FAIRPRICE XTRA-CHANGI BIZSINGAPORE SG 000 12.50</t>
  </si>
  <si>
    <t>24 NOV SANKRANTI SINGAPORE SG 000 20.20</t>
  </si>
  <si>
    <t>23 NOV CCY CONVERSION FEE SGD 78.44 000 0.78</t>
  </si>
  <si>
    <t>22 NOV AMAZON MKTPLACE PMTS AMAZON.COM US 000 78.44</t>
  </si>
  <si>
    <t>21 NOV CCY CONVERSION FEE SGD 28.78 000 0.28</t>
  </si>
  <si>
    <t>FOREIGN AMOUNT U.S. DOLLAR 230.00</t>
  </si>
  <si>
    <t>21 NOV ISACA 8476605546 US 000 320.46</t>
  </si>
  <si>
    <t>21 NOV SUBWAY - BUGIS+ SINGAPORE SG 888 8.00</t>
  </si>
  <si>
    <t>20 NOV CCY CONVERSION FEE SGD 11.48 000 0.11</t>
  </si>
  <si>
    <t>20 NOV GENKI SUSHI @ BUGIS+ SINGAPORE SG 000 24.72</t>
  </si>
  <si>
    <t>20 NOV UBER BV 800-592-8996 NL 000 28.78</t>
  </si>
  <si>
    <t>19 NOV ITUNES.COM/BILL ITUNES.COM IE 000 11.48</t>
  </si>
  <si>
    <t>17 NOV CCY CONVERSION FEE SGD 6.50 000 0.06</t>
  </si>
  <si>
    <t>17 NOV CCY CONVERSION FEE SGD 8.00 000 0.08</t>
  </si>
  <si>
    <t>17 NOV CCY CONVERSION FEE SGD 8.50 000 0.08</t>
  </si>
  <si>
    <t>17 NOV FAIRPRICE XTRA-CHANGI BIZSINGAPORE SG 000 28.95</t>
  </si>
  <si>
    <t>17 NOV HAN'S CAFE - CHANGI CITY SINGAPORE SG 000 3.40</t>
  </si>
  <si>
    <t>17 NOV FAIRPRICE FINEST-CHANGI CSINGAPORE SG 000 4.55</t>
  </si>
  <si>
    <t>17 NOV UBER TRIP P5DSV HELP.UBERhelp.uber.comNL 000 6.50</t>
  </si>
  <si>
    <t>16 NOV MCDONALD'S (CCP) SINGAPORE SG 000 5.30</t>
  </si>
  <si>
    <t>16 NOV UBER TRIP PYDTL HELP.UBERhelp.uber.comNL 000 8.00</t>
  </si>
  <si>
    <t>16 NOV NORTHEAST (SIMEI) MEDICALSINGAPORE SG 000 40.65</t>
  </si>
  <si>
    <t>16 NOV HANIS CAFE - EASTPONT MALSINGAPORE SG 000 1.70</t>
  </si>
  <si>
    <t>16 NOV UBER BV 800-592-8996 NL 000 8.50</t>
  </si>
  <si>
    <t>15 NOV CCY CONVERSION FEE SGD 5.00 000 0.05</t>
  </si>
  <si>
    <t>15 NOV WATSON'S SINGAPORE SG 000 54.25</t>
  </si>
  <si>
    <t>15 NOV WATSON'S SINGAPORE SG 000 7.05</t>
  </si>
  <si>
    <t>15 NOV UBER TRIP CMY6T HELP.UBERhelp.uber.comNL 000 5.00</t>
  </si>
  <si>
    <t>14 NOV CCY CONVERSION FEE SGD 11.48 000 0.11</t>
  </si>
  <si>
    <t>13 NOV ITUNES.COM/BILL ITUNES.COM IE 000 11.48</t>
  </si>
  <si>
    <t>11 NOV CCY CONVERSION FEE SGD 3.50 000 0.03</t>
  </si>
  <si>
    <t>11 NOV SONG FA BAK KUT TEH - CBPSINGAPORE SG 000 28.31</t>
  </si>
  <si>
    <t>11 NOV FAIRPRICE XTRA-CHANGI BIZSINGAPORE SG 000 114.00</t>
  </si>
  <si>
    <t>10 NOV CCY CONVERSION FEE SGD 2.04 000 0.02</t>
  </si>
  <si>
    <t>10 NOV UBER TRIP BQPTB HELP.UBERhelp.uber.comNL 000 3.50</t>
  </si>
  <si>
    <t>10 NOV FAIRPRICE XTRA-CHANGI BIZSINGAPORE SG 000 63.95</t>
  </si>
  <si>
    <t>10 NOV HAN'S CAFE - CHANGI CITY SINGAPORE SG 000 1.70</t>
  </si>
  <si>
    <t>10 NOV UBER TRIP T7CJO HELP.UBERhelp.uber.comNL 000 2.04</t>
  </si>
  <si>
    <t>09 NOV FAIRPRICE FINEST-CHANGI CSINGAPORE SG 000 15.55</t>
  </si>
  <si>
    <t>09 NOV UBER TRIP CT36R HELP.UBERhelp.uber.comNL 000 0.57</t>
  </si>
  <si>
    <t>08 NOV HAN'S CAFE - CHANGI CITY SINGAPORE SG 000 3.40</t>
  </si>
  <si>
    <t>08 NOV HUGGS COFFEE-CECIL ST SINGAPORE SG 888 9.10</t>
  </si>
  <si>
    <t>07 NOV BURGER KING - UE BIZHUB SINGAPORE SG 000 16.80</t>
  </si>
  <si>
    <t>07 NOV HAN'S CAFE - CHANGI CITY SINGAPORE SG 000 3.40</t>
  </si>
  <si>
    <t>EPSTCSX / 013999-2OF8 / 102804 1000</t>
  </si>
  <si>
    <t>07 NOV HUGGS COFFEE-CECIL ST SINGAPORE SG 888 1.80</t>
  </si>
  <si>
    <t>07 NOV AmazonPrime Membership amzn.com/prmeUS 000 15.43</t>
  </si>
  <si>
    <t>06 NOV CCY CONVERSION FEE SGD 6.00 000 0.06</t>
  </si>
  <si>
    <t>06 NOV CCY CONVERSION FEE SGD 22.96 000 0.22</t>
  </si>
  <si>
    <t>06 NOV CBS REPORT SINGAPORE SG 000 6.42</t>
  </si>
  <si>
    <t>06 NOV HUGGS COFFEE-CECIL ST SINGAPORE SG 888 3.60</t>
  </si>
  <si>
    <t>05 NOV UBER TRIP RGRGF HELP.UBERhelp.uber.comNL 000 6.00</t>
  </si>
  <si>
    <t>05 NOV ITUNES.COM/BILL ITUNES.COM IE 000 22.96</t>
  </si>
  <si>
    <t>04 NOV NTUC FP-EASTPOINT SINGAPORE SG 000 20.95</t>
  </si>
  <si>
    <t>FOREIGN AMOUNT MALAYSIAN RINGGIT 332.00</t>
  </si>
  <si>
    <t>04 NOV BANGKOK FAMILY SPA JOHOR MY 000 110.24</t>
  </si>
  <si>
    <t>FOREIGN AMOUNT MALAYSIAN RINGGIT 134.20</t>
  </si>
  <si>
    <t>04 NOV LOVING PHARMACY JOHOR MY 000 44.56</t>
  </si>
  <si>
    <t>was updated</t>
  </si>
  <si>
    <t>polyp removal</t>
  </si>
  <si>
    <t>TMC-PATIENT SERVICE CTR SINGAPORE S</t>
  </si>
  <si>
    <t>scan. Found polyp</t>
  </si>
  <si>
    <t>Cycle started</t>
  </si>
  <si>
    <t>Transfer - last embryo</t>
  </si>
  <si>
    <t>Achan passed away</t>
  </si>
  <si>
    <t>Ammamma passed away</t>
  </si>
  <si>
    <t>Blood test negative</t>
  </si>
  <si>
    <t>Next cycle started</t>
  </si>
  <si>
    <t>Pergoveris Inj 150/75 IU</t>
  </si>
  <si>
    <t>Gonal-F Inj 1050 IU (1200)</t>
  </si>
  <si>
    <t>Compleal Cap</t>
  </si>
  <si>
    <t>Cycle Day</t>
  </si>
  <si>
    <t>Injection Day</t>
  </si>
  <si>
    <t>Cycle started about 8am. Sent email at 7pm or so after our baths</t>
  </si>
  <si>
    <t>Right side tummy - 2 fingerwidths below belly button</t>
  </si>
  <si>
    <t>Gonal F 300 + Pergoveris 150</t>
  </si>
  <si>
    <t>GF + P - Stomach Left side.</t>
  </si>
  <si>
    <t>Got call at about 8.30 am to come in at 10am. Reached at 10.05am. We saw doc at 11.15 or so. He did scan Said more eggs in left ovary than right. We can start IVF. Took blood for tests. Showed how to mix Gonal F 300 (liquid) and Pergoveris -150 (powder) and inject. Back home by 12.30pm. Took injection at 11.05pm.</t>
  </si>
  <si>
    <t>Injection at 11.10pm. Hurt a tiny bit. Left a red dot. Chum reduced a little. Slight cramps</t>
  </si>
  <si>
    <t>GF + P - Stomach Right side.</t>
  </si>
  <si>
    <t>Injection at 11 pm. Chum a lot less. One dose of both medicines left</t>
  </si>
  <si>
    <t>sukanyap</t>
  </si>
  <si>
    <t>Kitchenaid 7 qt</t>
  </si>
  <si>
    <t>Rambo</t>
  </si>
  <si>
    <t>Injection at 11.10 pm. Gonal F at almost 375 instead of 300 but came down to 300 after adding to P 150. R watched. Chum over. going with Misha to Fish@Bugis. Brought back fish. Went to pet shop to buy aquarium and other stuff. Added fish in at 11pm</t>
  </si>
  <si>
    <t>Gonal F 450 + Pergoveris 150. Cetrotide 0.25mg</t>
  </si>
  <si>
    <t>Second scan at 9.40am. Children's Day so misha at home. Reached at 9.25am or so. Took cab. Misha at home with yanti. Saw doc at about 10.45 or so. Ony 5 follicles - left -13mm, 12mm, 9mm. Right side - 2 follicles - 9.2mm and 8.8mm. Doc said will push harder. paid and left by train at about 12pm. Injection at 11.10pm. slight bleeding frm cetrotide. Feeling a bit depressed.</t>
  </si>
  <si>
    <t>GF + P - Stomach Right side. Cetrotide - Left side.</t>
  </si>
  <si>
    <t>GF + P - Stomach Left side. Cetrotide - Right side.</t>
  </si>
  <si>
    <t>injection at 11.15pm. Little blood when withdrawing cetrotide needle.</t>
  </si>
  <si>
    <t>Gymnastics class then got mishas eyes checked at eastpoint mall. Machine said about power of 3 each eye. But checkd with specs and abt 1. Have to get checked at eye doc. Injection at 11.15p,</t>
  </si>
  <si>
    <t>Gonal F 375 + Pergoveris 150. Cetrotide 0.25mg</t>
  </si>
  <si>
    <t>Cetrotide Inj 0.25 mg (Cetrorelix)</t>
  </si>
  <si>
    <t>Gonal-F Inj 300 IU (0.5ml)</t>
  </si>
  <si>
    <t>Pregnyl inj 5000 IU</t>
  </si>
  <si>
    <t>Zithromax tab 250mg</t>
  </si>
  <si>
    <t>Pregnyl 10,000 IU</t>
  </si>
  <si>
    <t>Third scan at 10.10am. Reached at 10. got soaked in the rain. Scan at about 11.15. Follicles same. 2 on right 15 and 11mm and 3 on left with few smaller (12,15,11,9,8mm). Uterus at 92mm. Injections for 2 more doses. Gave the signed forms. Askd r 'to clear his sperms' lolol. Injection by 11pm. Slight leaking after injection of cetrotide</t>
  </si>
  <si>
    <t>left side bum</t>
  </si>
  <si>
    <t>Folic acid 5mg</t>
  </si>
  <si>
    <t>Utrogestan capsule 200mg</t>
  </si>
  <si>
    <t>TFC Embryo lab</t>
  </si>
  <si>
    <t>Professional fee- egg pickup</t>
  </si>
  <si>
    <t>Standard oxygen mask</t>
  </si>
  <si>
    <t>Embryo transfer professional fee</t>
  </si>
  <si>
    <t>TFC Embryo lab - embryo transfer lab work</t>
  </si>
  <si>
    <t>TFC Embryo lab - ICSI (4-15 eggs)</t>
  </si>
  <si>
    <t>Intralipid</t>
  </si>
  <si>
    <t>IV drip</t>
  </si>
  <si>
    <t xml:space="preserve">left home at about 8.30pm and reached TMC 24 hr family clinic at 8.55pm. They checked and asked me to wait - from 9pm to 9.27pm). Took shot at9.30pm exactly. Home y 10pm. mishaslept off by then. Trigger shot at 9.30pm at TMC 24 hr emergency clinic. Be there at 9pm. Get signature from nurse. </t>
  </si>
  <si>
    <t>went to Newman Optics to get Mishas eyes checked, both r and went with misha. She was good with optoetrist. Said she has astigmatism of 3 &amp; 3.5. to do excercises to strengthen muscles and to wear specs fll time. will get them n friday. to reduce tv time. Anoop (r's friend) said excercise is gud but specs not reqd as for kids at 4 yrs old, thisis common. geting to get second opinion from doc at national eye ceter/KKH. Injection by 11pm. No blood/ leaking while injecting. ;ast day of home injections</t>
  </si>
  <si>
    <t>took antibiotic (Zithromax tab 250mg - 2 tabs each both rakesh and myself) at 5.30pm only instead of after lunch as told by doc. Ayyoo. take antbiotic for both of us. No food after 12 am including water. Retrieval tmrw</t>
  </si>
  <si>
    <t>TFC called at 1pm saying that all 5 eggs were fertilised</t>
  </si>
  <si>
    <t>Went out for breakfast. To temple in the evening then dinner and then beach Back home at 9.30, Misha slept at 9.40pm. Forgot to leave the key outside so yanti was waiting outside till we came :(</t>
  </si>
  <si>
    <t>Dropped Misha in school and in TFC by 8.40am or so. Was in OT by 9 maybe and back on bed after procedure by 10.30am. Approx 6 follicles - 5 eggs. Discharged at about 11 and home by 12.30. retrieval at 9.30am. Be at TFC at 8.30am with socks and pad. weight about 64.5. waist - 93cms</t>
  </si>
  <si>
    <t>BHCG (pregnancy blood test) at 8.30am at TFC. D18 of embryo. Already paid with transfer payment</t>
  </si>
  <si>
    <t>Transfer at 9.30 so had to reach TFC by 9. got there at 9.10 as dropped misha in school and then bad traffic. Transfer was done by 10 - 3 eggs grew so 2 transfered on D3 and one frozen. The remaining embryo will be monitored and frozen if looking good. Forgot to get my socks. But was feeling ok. Wore black and white striped dress - misha wants same dress like mine choochy choochy. then went to TMC for intralipid drip - only 100ml but white in color and quite cold. home by 11.15am. R went to pick up misha in grab. Start Uterogestan 200mg (1 tab thrice a day), Progynova 2 mg (2 tabs once a day) and folic acid 5 mg (1 tab once a day)</t>
  </si>
  <si>
    <t>Progesterone blood test in TFC at 8.35am. D7 of embryo. Already paid with transfer payment. Reached at 8.30 and left by 8.45. took bus no 5 and got dow at Eastpoint mal to get electric aquarium pump and charcoal pack. The didn’t call back so levels r ok. shud be above 100 otherwise will have 3 injections.</t>
  </si>
  <si>
    <t>Bad gas pain was lying down a lot. Yanti took misha to gymnastics class then came bak and went out again to ball pit as she wanted to mop and sweep. She was very slpy.was feeling better in the evening. R didn’t go for golf a his foot was hurting a bit. Cervix a bit hard and low</t>
  </si>
  <si>
    <t>cervix not as hard and high up. Msha slept at 9.30pm</t>
  </si>
  <si>
    <t>at home all day. Slept while keeping medicine. Ordered biriyani for lunch. Dinner first for misha then bath. Cervix hard andlow in the mrng but high at night. Achu was supposed to go home from edappal today but aftr scan they said that she has to get a stitch in cervix. been in edappal since sep 7.</t>
  </si>
  <si>
    <t>procdure for achu today</t>
  </si>
  <si>
    <t>red circles on blue - amma- finished by 18th oct</t>
  </si>
  <si>
    <t>chua.co.</t>
  </si>
  <si>
    <t>peach flowers on white canvas - bah</t>
  </si>
  <si>
    <t>KA black</t>
  </si>
  <si>
    <t>70cm * 60 cm</t>
  </si>
  <si>
    <t>36H x 38W x 29D</t>
  </si>
  <si>
    <t>Kenwood Chef XL Titanium (15 inch tall / 16 inch width / 12 inch depth</t>
  </si>
  <si>
    <t>15 inch tall x 12 inch deep x 16 inch wide</t>
  </si>
  <si>
    <t>16*17*13</t>
  </si>
  <si>
    <t>Kitchenaid Professional 7qt</t>
  </si>
  <si>
    <t>cheryl102</t>
  </si>
  <si>
    <t>mint green/ grey plain</t>
  </si>
  <si>
    <t>Kenwood XL sense in fabric</t>
  </si>
  <si>
    <t>Teacher Linda</t>
  </si>
  <si>
    <t>easy phone charger cover - 5 boys, 3 girls</t>
  </si>
  <si>
    <t>Thermomix  cover</t>
  </si>
  <si>
    <t>Thermomix cover</t>
  </si>
  <si>
    <t>mumantz</t>
  </si>
  <si>
    <t>KA Artisan</t>
  </si>
  <si>
    <t>Oven cover</t>
  </si>
  <si>
    <t>8 covers - easy pouch with the straps</t>
  </si>
  <si>
    <t>Rajis oven</t>
  </si>
  <si>
    <t>order oven</t>
  </si>
  <si>
    <t>19*27</t>
  </si>
  <si>
    <t>dipshail</t>
  </si>
  <si>
    <t>24" L x 6' W</t>
  </si>
  <si>
    <t>Main panel &amp; lining</t>
  </si>
  <si>
    <t>Yoga mat cover without lining/ with pocket  &amp; main zip</t>
  </si>
  <si>
    <t>red and white stripes</t>
  </si>
  <si>
    <t>wanted for $20 + $10 from her listing</t>
  </si>
  <si>
    <t>sk248</t>
  </si>
  <si>
    <t>Aragon Bag</t>
  </si>
  <si>
    <t>secondary lining</t>
  </si>
  <si>
    <t>SMH interfacing 1340F(44"W)</t>
  </si>
  <si>
    <t>bleeding started</t>
  </si>
  <si>
    <t>Magnetic snap (1) &amp; purse feet (6) &amp; elastic (30")</t>
  </si>
  <si>
    <t>Morsel Lunch bag</t>
  </si>
  <si>
    <t>Kenwood Kmix</t>
  </si>
  <si>
    <t>14H x 15w x 11D</t>
  </si>
  <si>
    <t>ready on 27 dec 19. asked to hold. Msgd again 16 jan, 25 jan. Paid $130 on 4th Feb 2020. Postage was$7 but she paid $5.</t>
  </si>
  <si>
    <t>eleenliy</t>
  </si>
  <si>
    <t>Kenwood kmix cover</t>
  </si>
  <si>
    <t>navy blue self print  from bah</t>
  </si>
  <si>
    <t>Kenwood kmix</t>
  </si>
  <si>
    <t>2 covers</t>
  </si>
  <si>
    <t>chinese colors?</t>
  </si>
  <si>
    <t>Dilya - Ashvis mom</t>
  </si>
  <si>
    <t>Peek a poo pouch</t>
  </si>
  <si>
    <t>Laurn mormino</t>
  </si>
  <si>
    <t>main</t>
  </si>
  <si>
    <t>side</t>
  </si>
  <si>
    <t>Zip &amp; zip head</t>
  </si>
  <si>
    <t>zip tab</t>
  </si>
  <si>
    <t>20 inches</t>
  </si>
  <si>
    <t xml:space="preserve">int zip </t>
  </si>
  <si>
    <t>10 inches</t>
  </si>
  <si>
    <t>ext zip</t>
  </si>
  <si>
    <t>30 inches</t>
  </si>
  <si>
    <t>cxqvt.</t>
  </si>
  <si>
    <t>KA - baby pink binding</t>
  </si>
  <si>
    <t>dreamdandelion</t>
  </si>
  <si>
    <t>Inquiry</t>
  </si>
  <si>
    <t>inezaa</t>
  </si>
  <si>
    <t>KA - pink</t>
  </si>
  <si>
    <t>pink flowers/ dark pink polka</t>
  </si>
  <si>
    <t>cross-hatch qulting - $5</t>
  </si>
  <si>
    <t>salsababe</t>
  </si>
  <si>
    <t>Artisan mini</t>
  </si>
  <si>
    <t>Brother A150 sewing machine</t>
  </si>
  <si>
    <t>Brother A150 sewng machine</t>
  </si>
  <si>
    <t>13H x 19w x 8D</t>
  </si>
  <si>
    <t>14 inch tall x 9 inch deep x 20 inch wide</t>
  </si>
  <si>
    <t>Brother A150</t>
  </si>
  <si>
    <t>miclow8</t>
  </si>
  <si>
    <t>active2015</t>
  </si>
  <si>
    <t>yellowtag</t>
  </si>
  <si>
    <t>vinyl with red binding</t>
  </si>
  <si>
    <t>Kitchenaid Mini Artisan</t>
  </si>
  <si>
    <t>rachtham</t>
  </si>
  <si>
    <t>patchwork block flamingo, beige</t>
  </si>
  <si>
    <t>Brother A150sewing machine</t>
  </si>
  <si>
    <t>vinyl with pocket - baby pink binding</t>
  </si>
  <si>
    <t>Said 20</t>
  </si>
  <si>
    <t>L-46cm,W-20cm,H32cm</t>
  </si>
  <si>
    <t>18/8/13 inches</t>
  </si>
  <si>
    <t>blue flowers on whie background - corduroy</t>
  </si>
  <si>
    <t>turquoise bg with small black circles</t>
  </si>
  <si>
    <t>KA- cnfirmed colors on 19may2020</t>
  </si>
  <si>
    <t>per 10m</t>
  </si>
  <si>
    <t>per 3m</t>
  </si>
  <si>
    <t>due first week july</t>
  </si>
  <si>
    <t>Thermomix</t>
  </si>
  <si>
    <t>rice cooker</t>
  </si>
  <si>
    <t>painted birds/ yellow chevron</t>
  </si>
  <si>
    <t>15inch tall x 14 inch deep x 15 inch wide</t>
  </si>
  <si>
    <t>Rice Cooker</t>
  </si>
  <si>
    <t>12H x 13w x 16D</t>
  </si>
  <si>
    <t>13 inch tall x 17 inch deep x 14 inch wide</t>
  </si>
  <si>
    <t>16*19</t>
  </si>
  <si>
    <t>Rice cooker</t>
  </si>
  <si>
    <t>pocket (sides)</t>
  </si>
  <si>
    <t>pocket (front and back)</t>
  </si>
  <si>
    <t>jokersale</t>
  </si>
  <si>
    <t>brenda.ng.0920</t>
  </si>
  <si>
    <t>Tefal Optima 33L oven</t>
  </si>
  <si>
    <t>11H x 16w x 13D</t>
  </si>
  <si>
    <t>12 inch tall x 14 inch deep x 17 inch wide</t>
  </si>
  <si>
    <t>Top panel area</t>
  </si>
  <si>
    <t>19*16</t>
  </si>
  <si>
    <t>Tefal oven Optima 33L</t>
  </si>
  <si>
    <t>others</t>
  </si>
  <si>
    <t>twnllea</t>
  </si>
  <si>
    <t>luckysonyjulietginger</t>
  </si>
  <si>
    <t>sindiluvspooh</t>
  </si>
  <si>
    <t>due mid july</t>
  </si>
  <si>
    <t>red/ white checks - make vinyl moremeknow pouch?</t>
  </si>
  <si>
    <t>Sunshine crossbody pouch</t>
  </si>
  <si>
    <t>Bagstock Patterns</t>
  </si>
  <si>
    <t>Exterior</t>
  </si>
  <si>
    <t>Interior</t>
  </si>
  <si>
    <t>Yardage</t>
  </si>
  <si>
    <t>Ext contrast</t>
  </si>
  <si>
    <t>Batting</t>
  </si>
  <si>
    <t>Zippers</t>
  </si>
  <si>
    <t>per meters</t>
  </si>
  <si>
    <t>Cost/yard</t>
  </si>
  <si>
    <t>Madhu hea retthi Changi Court</t>
  </si>
  <si>
    <t>purple flowers like Yantis</t>
  </si>
  <si>
    <t>Artisan Mini cover</t>
  </si>
  <si>
    <t>`</t>
  </si>
  <si>
    <t>Clematis</t>
  </si>
  <si>
    <t>Blue Calla</t>
  </si>
  <si>
    <t>Vinyl</t>
  </si>
  <si>
    <t>chapathi cover</t>
  </si>
  <si>
    <t>black background pretty cupcakes cotton</t>
  </si>
  <si>
    <t>easy phone charger cover</t>
  </si>
  <si>
    <t>blue white fabric from ikea</t>
  </si>
  <si>
    <t>double oven mitt</t>
  </si>
  <si>
    <t>Apron</t>
  </si>
  <si>
    <t>body</t>
  </si>
  <si>
    <t>neck strap</t>
  </si>
  <si>
    <t>waist ties</t>
  </si>
  <si>
    <t>Reversible Apron</t>
  </si>
  <si>
    <t>reversible apron -25</t>
  </si>
  <si>
    <t>non reversible apron -20</t>
  </si>
  <si>
    <t>reversible - 25</t>
  </si>
  <si>
    <t>non- reversible - 20</t>
  </si>
  <si>
    <t>Mask with adjustable strap</t>
  </si>
  <si>
    <t>Adult</t>
  </si>
  <si>
    <t>Kids</t>
  </si>
  <si>
    <t>Prechoolers</t>
  </si>
  <si>
    <t>finishd -7x3.5"</t>
  </si>
  <si>
    <t>Final</t>
  </si>
  <si>
    <t>luckysonyjulietginger - NUH lab - Juliana</t>
  </si>
  <si>
    <t>Cuckoo CRP M1059F</t>
  </si>
  <si>
    <t>14*18</t>
  </si>
  <si>
    <t>Cancelled 29 june 2020</t>
  </si>
  <si>
    <t>14H x 13w x 13D</t>
  </si>
  <si>
    <t>Vorwerk</t>
  </si>
  <si>
    <t>40cm * 90 cm</t>
  </si>
  <si>
    <t>viyaa</t>
  </si>
  <si>
    <t>blue grren from yorkcoco</t>
  </si>
  <si>
    <t>ree07</t>
  </si>
  <si>
    <t>navy bg with red roses</t>
  </si>
  <si>
    <t>turquoise with drawn flowers</t>
  </si>
  <si>
    <t>Item</t>
  </si>
  <si>
    <t>Kitchenaid</t>
  </si>
  <si>
    <t>Kitchenaid Mini</t>
  </si>
  <si>
    <t>Brandt</t>
  </si>
  <si>
    <t>Mat</t>
  </si>
  <si>
    <t>Order Year</t>
  </si>
  <si>
    <t>Order Month</t>
  </si>
  <si>
    <t>Madhu rhea retthi Changi Court</t>
  </si>
  <si>
    <t>Scroll crossbody</t>
  </si>
  <si>
    <t>Crafty Gemini</t>
  </si>
  <si>
    <t>Hardware &amp; strap</t>
  </si>
  <si>
    <t>add $0.5 for int pocket - 23H</t>
  </si>
  <si>
    <t>Raji kujji</t>
  </si>
  <si>
    <t>Family Traveller Organiser</t>
  </si>
  <si>
    <t>Linds Handmade</t>
  </si>
  <si>
    <t>Accent</t>
  </si>
  <si>
    <t>Elastic &amp; Kam snaps</t>
  </si>
  <si>
    <t>raaymondmilex</t>
  </si>
  <si>
    <t>orange patchwork amma</t>
  </si>
  <si>
    <t>Book  shelf</t>
  </si>
  <si>
    <t>cutlery shelf</t>
  </si>
  <si>
    <t>coffee table</t>
  </si>
  <si>
    <t>bar cabinet</t>
  </si>
  <si>
    <t>sewing table</t>
  </si>
  <si>
    <t>shoe rack</t>
  </si>
  <si>
    <t>1 cubic metre</t>
  </si>
  <si>
    <t>in cubic m</t>
  </si>
  <si>
    <t>sewing machines</t>
  </si>
  <si>
    <t>sewing stuff</t>
  </si>
  <si>
    <t>crochet stuff</t>
  </si>
  <si>
    <t>side tables*2</t>
  </si>
  <si>
    <t>dressing table</t>
  </si>
  <si>
    <t>toy boxes*3</t>
  </si>
  <si>
    <t>sewing cabinets big</t>
  </si>
  <si>
    <t>sewing cabinets small</t>
  </si>
  <si>
    <t>kitchen inc store</t>
  </si>
  <si>
    <t>clothes - 1 each</t>
  </si>
  <si>
    <t>linens and extras</t>
  </si>
  <si>
    <t>to buy</t>
  </si>
  <si>
    <t>bed</t>
  </si>
  <si>
    <t>queen</t>
  </si>
  <si>
    <t>dining table &amp; chairs</t>
  </si>
  <si>
    <t>4-6 seater</t>
  </si>
  <si>
    <t>IKEA</t>
  </si>
  <si>
    <t>name</t>
  </si>
  <si>
    <t>price (AUD)</t>
  </si>
  <si>
    <t>INGATORP/ INGOLF</t>
  </si>
  <si>
    <t>COLOR</t>
  </si>
  <si>
    <t>white</t>
  </si>
  <si>
    <t>slattum</t>
  </si>
  <si>
    <t>grey - upholstered</t>
  </si>
  <si>
    <t>hauga</t>
  </si>
  <si>
    <t>mattress</t>
  </si>
  <si>
    <t>hovag</t>
  </si>
  <si>
    <t>firm-dark grey</t>
  </si>
  <si>
    <t>mattress alternate</t>
  </si>
  <si>
    <t>hamarvik</t>
  </si>
  <si>
    <t>rating 5</t>
  </si>
  <si>
    <t>medium firm-dark grey</t>
  </si>
  <si>
    <t>luddros</t>
  </si>
  <si>
    <t>fitted sheet</t>
  </si>
  <si>
    <t>ullvide</t>
  </si>
  <si>
    <t>quilt cover/ pillowcase</t>
  </si>
  <si>
    <t>mojlighet</t>
  </si>
  <si>
    <t>jattevallmo</t>
  </si>
  <si>
    <t>cover/ 1 pillowcase</t>
  </si>
  <si>
    <t>cover/ 2 pillowcase</t>
  </si>
  <si>
    <t xml:space="preserve">duvet </t>
  </si>
  <si>
    <t>200x200cm</t>
  </si>
  <si>
    <t>extra warm</t>
  </si>
  <si>
    <t>smasporre</t>
  </si>
  <si>
    <t>silvertopp</t>
  </si>
  <si>
    <t>light warm</t>
  </si>
  <si>
    <t>mattress protector</t>
  </si>
  <si>
    <t>sofa bed</t>
  </si>
  <si>
    <t>tremmarn light grey</t>
  </si>
  <si>
    <t>vretstorp</t>
  </si>
  <si>
    <t>3 seat sofa bed</t>
  </si>
  <si>
    <t>friheten</t>
  </si>
  <si>
    <t>sofa bed alternate</t>
  </si>
  <si>
    <t>skiftebo blue</t>
  </si>
  <si>
    <t>x</t>
  </si>
  <si>
    <t>BUY</t>
  </si>
  <si>
    <t>Desc</t>
  </si>
  <si>
    <t>lalalyla</t>
  </si>
  <si>
    <t>Nescafe Dolce Gusto Piccolo XS</t>
  </si>
  <si>
    <t>Pink gold big shell</t>
  </si>
  <si>
    <t>Nescafe Dolce Piccolo XS</t>
  </si>
  <si>
    <t>14cm (W) x 28cm (H) x 27cm (D)</t>
  </si>
  <si>
    <t>5.5 W x 11H x 11D</t>
  </si>
  <si>
    <t>12 inch tall x 12 inch deep x 7 inch wide</t>
  </si>
  <si>
    <t>Lindshandmade</t>
  </si>
  <si>
    <t>Amma gave</t>
  </si>
  <si>
    <t>kaiserkraft</t>
  </si>
  <si>
    <t>amazon</t>
  </si>
  <si>
    <t>dentist</t>
  </si>
  <si>
    <t>I paid</t>
  </si>
  <si>
    <t>kmart</t>
  </si>
  <si>
    <t>mixer</t>
  </si>
  <si>
    <t>ipad cover</t>
  </si>
  <si>
    <t>nail buffers</t>
  </si>
  <si>
    <t>temu</t>
  </si>
  <si>
    <t>sentro knitting</t>
  </si>
  <si>
    <t>pool gems</t>
  </si>
  <si>
    <t>phone cover</t>
  </si>
  <si>
    <t>pill crusher</t>
  </si>
  <si>
    <t>phone screen</t>
  </si>
  <si>
    <t>acrylic paint</t>
  </si>
  <si>
    <t>travel brushes</t>
  </si>
  <si>
    <t>steel palette cup</t>
  </si>
  <si>
    <t>Shop</t>
  </si>
  <si>
    <t>Amma paid</t>
  </si>
  <si>
    <t>House in epping</t>
  </si>
  <si>
    <t>gifts for aniketh/ anushka</t>
  </si>
  <si>
    <t>glasses/ gift for sajithachechi</t>
  </si>
  <si>
    <t>Amazon</t>
  </si>
  <si>
    <t>travel brushes/ stevia</t>
  </si>
  <si>
    <t>sephora</t>
  </si>
  <si>
    <t>nike</t>
  </si>
  <si>
    <t>siddhus shoes</t>
  </si>
  <si>
    <t>whisky glass</t>
  </si>
  <si>
    <t>Total Quantity</t>
  </si>
  <si>
    <t>Total Sale</t>
  </si>
  <si>
    <t>Sale</t>
  </si>
  <si>
    <t>Measurement</t>
  </si>
  <si>
    <t>Type of fabric</t>
  </si>
  <si>
    <t>Sizing</t>
  </si>
  <si>
    <t>Final Price</t>
  </si>
  <si>
    <t>Annies Soft and stable</t>
  </si>
  <si>
    <t>Raji's Microwave Oven cover</t>
  </si>
  <si>
    <t>Order Oven cover</t>
  </si>
  <si>
    <t>Raji's Grinder cover</t>
  </si>
  <si>
    <t>Rakesh's lunch bag</t>
  </si>
  <si>
    <t>Mom's cushion cover</t>
  </si>
  <si>
    <t>KitchenAid Blender 5KSB555</t>
  </si>
  <si>
    <t>Cotton Batting</t>
  </si>
  <si>
    <t>Extra Wide Fabric</t>
  </si>
  <si>
    <t>Fabric</t>
  </si>
  <si>
    <t>59" 150Cm Wofabric</t>
  </si>
  <si>
    <t>Fusible Batting</t>
  </si>
  <si>
    <t>Daiso Ribbon (1.6Cm Width)</t>
  </si>
  <si>
    <t>Daiso Ribbon (2Cm Width)</t>
  </si>
  <si>
    <t>Vinyl - 0.25Mm 54" Width</t>
  </si>
  <si>
    <t>Vinyl - 0.30Mm 54" Width</t>
  </si>
  <si>
    <t>Vinyl - 0.50Mm 54" Width</t>
  </si>
  <si>
    <t>Insulated Batting</t>
  </si>
  <si>
    <t>Korean Batting</t>
  </si>
  <si>
    <t>Oil Filter Batting</t>
  </si>
  <si>
    <t>Smh 1340F Interfacing</t>
  </si>
  <si>
    <t>Smh 200Gm Cotton Batting</t>
  </si>
  <si>
    <t>Felt</t>
  </si>
  <si>
    <t>Phone Charger Pouch</t>
  </si>
  <si>
    <t>Quilted Makeup Brush Roll</t>
  </si>
  <si>
    <t>Owl Security Blanket Crochet</t>
  </si>
  <si>
    <t>Fat Cat</t>
  </si>
  <si>
    <t>Crochet Dress</t>
  </si>
  <si>
    <t>2 Sided Zippouch</t>
  </si>
  <si>
    <t>Cutlery Cover</t>
  </si>
  <si>
    <t>Kettle Cover</t>
  </si>
  <si>
    <t>Kitchenaid Ksm7990 6.9L</t>
  </si>
  <si>
    <t>Oven/ Microwave Cover</t>
  </si>
  <si>
    <t>Mixie Cover</t>
  </si>
  <si>
    <t>Mayer Breadmaker Mmbm12</t>
  </si>
  <si>
    <t>Janome Hd3000</t>
  </si>
  <si>
    <t>Philips Hr-7920</t>
  </si>
  <si>
    <t>Kitchenaid Diamond Blender</t>
  </si>
  <si>
    <t>Cd Player/ Base</t>
  </si>
  <si>
    <t>Iphone Crossbody Pouch</t>
  </si>
  <si>
    <t>Cookie Bars</t>
  </si>
  <si>
    <t>Chapathi Cover</t>
  </si>
  <si>
    <t>Yoga Mat (With/ Without Lining)</t>
  </si>
  <si>
    <t>Privacy Pouch</t>
  </si>
  <si>
    <t>Hanging Basket</t>
  </si>
  <si>
    <t>Bosch Mixer</t>
  </si>
  <si>
    <t>Panasonic   Mj-M171P Juicer</t>
  </si>
  <si>
    <t>Kitchenaid Artisan Blender 5Ksb555</t>
  </si>
  <si>
    <t>Kitchenaid Professional 7Qt</t>
  </si>
  <si>
    <t>Cotton Candy Pouch Small</t>
  </si>
  <si>
    <t>Brother A150Sewing Machine</t>
  </si>
  <si>
    <t>Apron (Reversible -25/Non - 20)</t>
  </si>
  <si>
    <t>Beachcomber Pouch</t>
  </si>
  <si>
    <t>Family Traveller Passport</t>
  </si>
  <si>
    <t>Nescafe Dolce Gusto Piccolo Xs</t>
  </si>
  <si>
    <t>Blue Elephant</t>
  </si>
  <si>
    <t>Purple Fq</t>
  </si>
  <si>
    <t>Black And Gold Emma&amp;Mila</t>
  </si>
  <si>
    <t>Black With Hearts</t>
  </si>
  <si>
    <t>Baby Pink Chevron</t>
  </si>
  <si>
    <t>Cream With Pink Roses Canvas</t>
  </si>
  <si>
    <t>Green Square Elite</t>
  </si>
  <si>
    <t>Purple/Pink/White Owl Lovey</t>
  </si>
  <si>
    <t>Maroon</t>
  </si>
  <si>
    <t>Pink, White, Stripe</t>
  </si>
  <si>
    <t>Pink Flowers On White Bg</t>
  </si>
  <si>
    <t>Butterfly &amp; Navy Blue Pouch</t>
  </si>
  <si>
    <t>Green (From Smh) And Hot Pink</t>
  </si>
  <si>
    <t>Pink And Gold For &lt;$25Each - Due By 6 Dec</t>
  </si>
  <si>
    <t>Yellow Chevron - Before 24 Nov</t>
  </si>
  <si>
    <t>Green (From Smh) And Green Leaves With Pink Bias - Due By 9 Dec - Finishd On Time But Client Not Well</t>
  </si>
  <si>
    <t>Green (From Smh) With Pink Canvas - Due By 24 Dec</t>
  </si>
  <si>
    <t>Pink Flowers With Purple With Dots Lining - Due Mid Jan</t>
  </si>
  <si>
    <t>Paisley Print With Solid Orange Lining - Due Mid Jan</t>
  </si>
  <si>
    <t>Will Be 40</t>
  </si>
  <si>
    <t>Courdroy &amp; Lining From Kayley Ang - Due End Jan</t>
  </si>
  <si>
    <t>Cupcake From Tracey Wong And My Lining Multi Checks - Due End Jan - Comp 20 Jan</t>
  </si>
  <si>
    <t>Wants A Dozen R Jan</t>
  </si>
  <si>
    <t/>
  </si>
  <si>
    <t>Pink And Gold -Fnshd 30Jan</t>
  </si>
  <si>
    <t>Hot Pink Small Flower &amp; Pink Flower On White Background</t>
  </si>
  <si>
    <t>Rainbow Scale (Yorkcoco) 15 Feb Done</t>
  </si>
  <si>
    <t>Red Scale (Yorkcoco)</t>
  </si>
  <si>
    <t>For $25??? Told Her Min $35</t>
  </si>
  <si>
    <t>To Let Me Know Fabric Preferences</t>
  </si>
  <si>
    <t>Green Anchor &amp; Pink Coral Shape (3Rd Week Feb - Finished On 19 Feb)</t>
  </si>
  <si>
    <t>Turquoise Print From Amma  - Old One</t>
  </si>
  <si>
    <t>Rainbow Scale (Yorkcoco)</t>
  </si>
  <si>
    <t>Rainbow Scale (Yorkcoco) &amp; Dark Blue Denim</t>
  </si>
  <si>
    <t>White Polka Dots On Red</t>
  </si>
  <si>
    <t>Orange/ Yellow Chevron Print</t>
  </si>
  <si>
    <t>Contact In April For Fabric Choice - Measurements Provided In Carousell</t>
  </si>
  <si>
    <t>Hydrangea Print Or Gold On Black - Measurements Sent Via Carousell</t>
  </si>
  <si>
    <t>Pink With Drawn Flowers &amp; Purple Print Frm India</t>
  </si>
  <si>
    <t>Cherry Print From Tracey Yong</t>
  </si>
  <si>
    <t>Pink With Rainbow Flags</t>
  </si>
  <si>
    <t>Green Anchor?</t>
  </si>
  <si>
    <t>Sea Green</t>
  </si>
  <si>
    <t>Japanese Print?</t>
  </si>
  <si>
    <t>Pink/ Light Blue Flowery Print With Ammas Green Big Polka Dots</t>
  </si>
  <si>
    <t>Green Base With Pink Flowers Canvas</t>
  </si>
  <si>
    <t>Green Base With Pink Flowers Canvas - Alteration Reqd - Cutout At Back With Elastic</t>
  </si>
  <si>
    <t>Fabric Sent On 20 June</t>
  </si>
  <si>
    <t>Will Contact Me If They Hv Any Desgn In Mind</t>
  </si>
  <si>
    <t>Purple Shell (Yorkcoco) &amp; Hot Pnk Canvas</t>
  </si>
  <si>
    <t>Red Paisley Fabric Iphone Pouch Like Ammas</t>
  </si>
  <si>
    <t>Red Paisley Like Ammas</t>
  </si>
  <si>
    <t>2 Pouches - 1 Red Shells Like Ammas &amp; Gold Flowers On Navy Blue</t>
  </si>
  <si>
    <t>Iphone Pouch - Purple Flowers</t>
  </si>
  <si>
    <t>Yellow Butterflies On Red</t>
  </si>
  <si>
    <t>Gold Flowers On Navy Blue</t>
  </si>
  <si>
    <t>Pink Yellow Geometric</t>
  </si>
  <si>
    <t>Pale Yellow Flowers On Navy Blue</t>
  </si>
  <si>
    <t>Red And Green Mix Fabric</t>
  </si>
  <si>
    <t>Dozen Cookie Bars</t>
  </si>
  <si>
    <t>Full Cookie Cake</t>
  </si>
  <si>
    <t>Yellow Orange Chevron</t>
  </si>
  <si>
    <t>Yellow Chevron</t>
  </si>
  <si>
    <t>Black Print India</t>
  </si>
  <si>
    <t>Abstract Print Cottonhouse</t>
  </si>
  <si>
    <t xml:space="preserve">Green Paisley/ Grey Polka Dot  </t>
  </si>
  <si>
    <t>Rainbow Shells &amp; Chinese Red Flowers</t>
  </si>
  <si>
    <t>Providing Fabric</t>
  </si>
  <si>
    <t>Turquoise Color With Flowers</t>
  </si>
  <si>
    <t>White With Purple Accent</t>
  </si>
  <si>
    <t>Minnie Mouse</t>
  </si>
  <si>
    <t>Ikea Fabric With Yellow Chevron Lining</t>
  </si>
  <si>
    <t>Anchor Green And Pink Dot Lining</t>
  </si>
  <si>
    <t>Light Bue Floral From Smh</t>
  </si>
  <si>
    <t>Orange Butterfly From Cottonhouse</t>
  </si>
  <si>
    <t>Blue Steps Print From Amma</t>
  </si>
  <si>
    <t>Pink Flowers On Cream (Cross Hatch Quilting) - $38+$5</t>
  </si>
  <si>
    <t>Denim</t>
  </si>
  <si>
    <t>Pink With White Tulips</t>
  </si>
  <si>
    <t>Grey With Flowers Canvas</t>
  </si>
  <si>
    <t>India - Black With Pink Paisley</t>
  </si>
  <si>
    <t>Green Flowers - Amma 85Pm</t>
  </si>
  <si>
    <t>Small Red Flowers On Black Bg</t>
  </si>
  <si>
    <t>Small Blue/Red Flowers On Black Bg</t>
  </si>
  <si>
    <t>Will Provide Fabric</t>
  </si>
  <si>
    <t>Red Circles On Blue - Amma- Finished By 18Th Oct</t>
  </si>
  <si>
    <t>Peach Flowers On White Canvas - Bah</t>
  </si>
  <si>
    <t>Mint Green/ Grey Plain</t>
  </si>
  <si>
    <t>8 Covers - Easy Pouch With The Straps - $4 Each</t>
  </si>
  <si>
    <t>Red And White Stripes - Confirmed Due Date And Fabrc On 3 Dec)</t>
  </si>
  <si>
    <t>Rainbow Shells - Actual Price - $35</t>
  </si>
  <si>
    <t>3-5 Covers For Appliances</t>
  </si>
  <si>
    <t>2 Covers - Easy Pouch With The Straps - $4 Each</t>
  </si>
  <si>
    <t>Kenwood Kmix Cover</t>
  </si>
  <si>
    <t>Blue Shells</t>
  </si>
  <si>
    <t>Anything Less Than $30</t>
  </si>
  <si>
    <t>Vinyl With Pocket - Baby Pink Binding - Finishd 25 June 2020</t>
  </si>
  <si>
    <t>Pink Flowers/ Dark Pink Polka. Crosshatch Quilting - Finished 15 May2020</t>
  </si>
  <si>
    <t>Couple Of Stuff</t>
  </si>
  <si>
    <t>Blue Flowers On White Background - Corduroy - Finished 16June</t>
  </si>
  <si>
    <t>Turquoise Bg With Small Black Circles - Finished 16June</t>
  </si>
  <si>
    <t>Vinyl With Red Binding</t>
  </si>
  <si>
    <t>Braid Patchwork Block Flamingo, Beige</t>
  </si>
  <si>
    <t>Vinyl With Hot Pink Binding - Finishd 25 June 2020</t>
  </si>
  <si>
    <t>Painted Birds/ Yellow Chevron - Pockets Front And Back</t>
  </si>
  <si>
    <t>Blue Flowers On White Ikea/ Dark Blue Self Dot. Pocket In Blue - Pockets On Sides</t>
  </si>
  <si>
    <t>Painted Birds/ Yellow Chevron</t>
  </si>
  <si>
    <t>Blue White Fabric From Ikea</t>
  </si>
  <si>
    <t>Hot Pink - Not Confirmed By His Gf</t>
  </si>
  <si>
    <t>To Check With Friend</t>
  </si>
  <si>
    <t>Sent Fabric  Pics Only On 8Th So Cancelled. He Bought Off Lazada</t>
  </si>
  <si>
    <t>Red/ White Checks.</t>
  </si>
  <si>
    <t>Purple Flowers Like Yantis</t>
  </si>
  <si>
    <t>Black Background Pretty Cupcakes Cotton</t>
  </si>
  <si>
    <t>Blue Green From Yorkcoco</t>
  </si>
  <si>
    <t>Navy Bg With Red Roses</t>
  </si>
  <si>
    <t>Turquoise With Drawn Flowers</t>
  </si>
  <si>
    <t>Blue Fabric From Aliexpress</t>
  </si>
  <si>
    <t>Autumn Leaves</t>
  </si>
  <si>
    <t>Orange Patchwork Amma</t>
  </si>
  <si>
    <t>Black Bg With Multicolor Hearts</t>
  </si>
  <si>
    <t>Baking Fabric</t>
  </si>
  <si>
    <t>Pink Gold Big Shell</t>
  </si>
  <si>
    <t>Pouch</t>
  </si>
  <si>
    <t>Purple Ka Artisan</t>
  </si>
  <si>
    <t>Black Ka Artisan</t>
  </si>
  <si>
    <t>Baby Pink Ka Artisan</t>
  </si>
  <si>
    <t>Crosshatch Quilt Artisan</t>
  </si>
  <si>
    <t>Roll Up</t>
  </si>
  <si>
    <t>Owl Stuffie Lovey</t>
  </si>
  <si>
    <t>Dress</t>
  </si>
  <si>
    <t>Fushia Ka Artisan</t>
  </si>
  <si>
    <t>13 Pch (1@5 &amp; 12 @ $4)</t>
  </si>
  <si>
    <t>2 Sided Zip Pouch</t>
  </si>
  <si>
    <t>Yellow Ka</t>
  </si>
  <si>
    <t>Green Ka</t>
  </si>
  <si>
    <t>Kenwood Kmm760</t>
  </si>
  <si>
    <t>Red Ka</t>
  </si>
  <si>
    <t>Candy Red Ka - Gave Wrong Address So Returned On 8 Feb. Resent On 9 Feb</t>
  </si>
  <si>
    <t>Quilted Makeup Roll</t>
  </si>
  <si>
    <t>Kenwood Kmm770</t>
  </si>
  <si>
    <t>Kitchenaid Ka</t>
  </si>
  <si>
    <t>Effiehandmade Quilted Makeup Roll</t>
  </si>
  <si>
    <t>To Confirm Fabric</t>
  </si>
  <si>
    <t>Checking Model</t>
  </si>
  <si>
    <t>Ka Turquoise</t>
  </si>
  <si>
    <t>Readymade</t>
  </si>
  <si>
    <t>Everyday Tote - 6 Inh Base? 12 Inch Strap Drop</t>
  </si>
  <si>
    <t>Oven Cover - 60L Same As Kujji</t>
  </si>
  <si>
    <t>Plumeria Bag</t>
  </si>
  <si>
    <t>Oven Cover - 40L Same Brand As Sis?</t>
  </si>
  <si>
    <t>Orange Ka Confirmed</t>
  </si>
  <si>
    <t>Kenwood A701A - 1989 Model</t>
  </si>
  <si>
    <t>Ka Yellow</t>
  </si>
  <si>
    <t xml:space="preserve">Ka Diamond Blender 5Ksb1585 </t>
  </si>
  <si>
    <t>Kitchenaid Classic (Same As Artisan)</t>
  </si>
  <si>
    <t>She Will Be Bak In End June</t>
  </si>
  <si>
    <t>She Is Bak In End June</t>
  </si>
  <si>
    <t>Electrolux Ekm4000 (Same As Ka)</t>
  </si>
  <si>
    <t>Cd Player</t>
  </si>
  <si>
    <t>Cd Player Base</t>
  </si>
  <si>
    <t>Ka Mini. Told Her I Will B Bak In Midjune</t>
  </si>
  <si>
    <t>Double Oven Mitts</t>
  </si>
  <si>
    <t>Mat - Free</t>
  </si>
  <si>
    <t>Everyday Tote For Diaper Bag Or Other Pattern?</t>
  </si>
  <si>
    <t>Sent With Amma On 4Th July 2018</t>
  </si>
  <si>
    <t>Paid Already - $20</t>
  </si>
  <si>
    <t>Brandt Stand Mixer - Km1557Bg</t>
  </si>
  <si>
    <t>Gave 14 Pieces Coz They Were Flat Lol</t>
  </si>
  <si>
    <t>Chapati Cover With Flaps</t>
  </si>
  <si>
    <t>Small Bag Organiser</t>
  </si>
  <si>
    <t>Yoga Mat Cover With Lining. Maduka Brand Yoga Mat. 76" By 26". 7 Inch Diameter</t>
  </si>
  <si>
    <t>Yoga Mat Cover</t>
  </si>
  <si>
    <t>Diaper Pouch</t>
  </si>
  <si>
    <t>2 Phone Charger Pouch</t>
  </si>
  <si>
    <t>Kenwood Kvl4100S</t>
  </si>
  <si>
    <t>Kenwood Patissier Km270W</t>
  </si>
  <si>
    <t>Ka</t>
  </si>
  <si>
    <t>Manduka Mat 28 Inches Wide</t>
  </si>
  <si>
    <t>Yoga Mat Bag With Pocket And Lining</t>
  </si>
  <si>
    <t>Kenwood Mixer</t>
  </si>
  <si>
    <t>Bosch Mum Mixer Mumxl20C</t>
  </si>
  <si>
    <t>Ka 150</t>
  </si>
  <si>
    <t>Ka150</t>
  </si>
  <si>
    <t>Kenwood Xl Sense</t>
  </si>
  <si>
    <t>Tadah Tea Party Dress - 10 Yr Old</t>
  </si>
  <si>
    <t>Ka Black</t>
  </si>
  <si>
    <t>Easy Phone Charger Cover - 5 Boys, 3 Girls</t>
  </si>
  <si>
    <t>Ka Artisan</t>
  </si>
  <si>
    <t>Oven Cover</t>
  </si>
  <si>
    <t>Guardian Yoga Mat Cover - With Main Zip, With Lining With Pocket</t>
  </si>
  <si>
    <t>Vinyl Provided - $10 Each Confirmed</t>
  </si>
  <si>
    <t>Chinese Design</t>
  </si>
  <si>
    <t>Rain Pale Green Rain From Bah. Sent Speedpost - $6</t>
  </si>
  <si>
    <t>Black Fabric. Ka</t>
  </si>
  <si>
    <t>Ka - Baby Pink Binding</t>
  </si>
  <si>
    <t>Ka - Pink. Crosshatch Quilting - $5 Extra</t>
  </si>
  <si>
    <t>Ka- Cnfirmed Colors On 19May2020</t>
  </si>
  <si>
    <t>Tefal Oven Optima 33L</t>
  </si>
  <si>
    <t>Ka - Classic</t>
  </si>
  <si>
    <t>Red Ka. Made Free Bowl Cover With Same Fabric</t>
  </si>
  <si>
    <t>Easy Phone Charger Cover</t>
  </si>
  <si>
    <t>Used Ribbon To Cover Edges</t>
  </si>
  <si>
    <t>Old One With Yellow Binding</t>
  </si>
  <si>
    <t>Jordan Fabric Apron Tutorial</t>
  </si>
  <si>
    <t>Paylah</t>
  </si>
  <si>
    <t>Paynow</t>
  </si>
  <si>
    <t>Qqexpress - Paylah</t>
  </si>
  <si>
    <t>With Janie</t>
  </si>
  <si>
    <t>Singpost 1.5</t>
  </si>
  <si>
    <t>Self collect</t>
  </si>
  <si>
    <t>Collected by Jayaram</t>
  </si>
  <si>
    <t>Qexpress 5</t>
  </si>
  <si>
    <t>Reg Singpost</t>
  </si>
  <si>
    <t>Classification</t>
  </si>
  <si>
    <t>Crochet</t>
  </si>
  <si>
    <t>Appliance cover</t>
  </si>
  <si>
    <t>Cutlery</t>
  </si>
  <si>
    <t>Oven</t>
  </si>
  <si>
    <t>Bag</t>
  </si>
  <si>
    <t>Sewing machine cover</t>
  </si>
  <si>
    <t>Food</t>
  </si>
  <si>
    <t>Yoga mat cover</t>
  </si>
  <si>
    <t>Basket</t>
  </si>
  <si>
    <t>Oven Mitt</t>
  </si>
  <si>
    <t>Passport holder</t>
  </si>
  <si>
    <t>CD player cover</t>
  </si>
  <si>
    <t>Makeup roll</t>
  </si>
  <si>
    <t>Diaper pouch</t>
  </si>
  <si>
    <t>Phone charger pouch</t>
  </si>
  <si>
    <t>Cost of items</t>
  </si>
  <si>
    <t>Brother A150 Sewing Machine</t>
  </si>
  <si>
    <t>Yoga mat cover without lining/ with pocket &amp; main zip</t>
  </si>
  <si>
    <t>Fat Cat Crochet</t>
  </si>
  <si>
    <t>Hanging Basket crochet</t>
  </si>
  <si>
    <t>Kenwood XL sense (vinyl)</t>
  </si>
  <si>
    <t>Kenwood XL sense (fabric)</t>
  </si>
  <si>
    <t>Total Cost</t>
  </si>
  <si>
    <t>LNS Cotton Wadding</t>
  </si>
  <si>
    <t>LNS Medium/Fusible Interfacing Lif58606W</t>
  </si>
  <si>
    <t xml:space="preserve">LNS Fusible Fleece 200Gsm Lbf45420Wf </t>
  </si>
  <si>
    <t>LNS Medium Wadding Lbf45002</t>
  </si>
  <si>
    <t>LNS Heavy Wadding Lbf4030W</t>
  </si>
  <si>
    <t>Aliko Oil Filter Batting</t>
  </si>
  <si>
    <t>Cost of Items</t>
  </si>
  <si>
    <t>Kitchenaid Artisan less</t>
  </si>
  <si>
    <t>Profit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</si>
</sst>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Red]\-&quot;$&quot;#,##0"/>
    <numFmt numFmtId="8" formatCode="&quot;$&quot;#,##0.00;[Red]\-&quot;$&quot;#,##0.00"/>
    <numFmt numFmtId="164" formatCode="_ * #,##0.00_ ;_ * \-#,##0.00_ ;_ * &quot;-&quot;??_ ;_ @_ "/>
    <numFmt numFmtId="165" formatCode="_ * #,##0.000_ ;_ * \-#,##0.000_ ;_ * &quot;-&quot;??_ ;_ @_ "/>
    <numFmt numFmtId="166" formatCode="#,##0.00_ ;\-#,##0.00\ "/>
    <numFmt numFmtId="167" formatCode="_ * #,##0_ ;_ * \-#,##0_ ;_ * &quot;-&quot;??_ ;_ @_ "/>
    <numFmt numFmtId="168" formatCode="0.0"/>
    <numFmt numFmtId="169" formatCode="[$-3409]dd\-mmm\-yy;@"/>
    <numFmt numFmtId="170" formatCode="#,##0.0"/>
    <numFmt numFmtId="171" formatCode="#,##0.00_ ;[Red]\-#,##0.00\ "/>
    <numFmt numFmtId="172" formatCode="_-* #,##0_-;\-* #,##0_-;_-* &quot;-&quot;??_-;_-@_-"/>
  </numFmts>
  <fonts count="49">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10"/>
      <color rgb="FF000000"/>
      <name val="Arial"/>
      <family val="2"/>
    </font>
    <font>
      <sz val="10"/>
      <color rgb="FF000000"/>
      <name val="Arial"/>
      <family val="2"/>
    </font>
    <font>
      <sz val="10"/>
      <color theme="0"/>
      <name val="Arial"/>
      <family val="2"/>
    </font>
    <font>
      <sz val="10"/>
      <color rgb="FF5D5D5D"/>
      <name val="Arial"/>
      <family val="2"/>
    </font>
    <font>
      <i/>
      <sz val="10"/>
      <color theme="1"/>
      <name val="Arial"/>
      <family val="2"/>
    </font>
    <font>
      <sz val="10"/>
      <name val="Arial"/>
      <family val="2"/>
    </font>
    <font>
      <b/>
      <sz val="10"/>
      <color theme="0"/>
      <name val="Arial"/>
      <family val="2"/>
    </font>
    <font>
      <b/>
      <sz val="10"/>
      <color rgb="FFFF0000"/>
      <name val="Arial"/>
      <family val="2"/>
    </font>
    <font>
      <sz val="10"/>
      <color rgb="FFFF0000"/>
      <name val="Arial"/>
      <family val="2"/>
    </font>
    <font>
      <sz val="11"/>
      <color theme="1"/>
      <name val="Arial"/>
      <family val="2"/>
    </font>
    <font>
      <b/>
      <sz val="11"/>
      <color theme="1"/>
      <name val="Arial"/>
      <family val="2"/>
    </font>
    <font>
      <b/>
      <sz val="11"/>
      <color theme="1"/>
      <name val="Calibri"/>
      <family val="2"/>
      <scheme val="minor"/>
    </font>
    <font>
      <sz val="10"/>
      <color theme="1"/>
      <name val="Arial"/>
      <family val="2"/>
    </font>
    <font>
      <b/>
      <sz val="10"/>
      <color theme="1"/>
      <name val="Arial"/>
      <family val="2"/>
    </font>
    <font>
      <sz val="10"/>
      <color theme="1"/>
      <name val="Arial"/>
      <family val="2"/>
    </font>
    <font>
      <sz val="10"/>
      <name val="Arial"/>
      <family val="2"/>
    </font>
    <font>
      <sz val="10"/>
      <color rgb="FFFF0000"/>
      <name val="Arial"/>
      <family val="2"/>
    </font>
    <font>
      <sz val="11"/>
      <color theme="0"/>
      <name val="Arial"/>
      <family val="2"/>
    </font>
    <font>
      <sz val="11"/>
      <name val="Arial"/>
      <family val="2"/>
    </font>
    <font>
      <sz val="10"/>
      <color theme="8" tint="-0.249977111117893"/>
      <name val="Arial"/>
      <family val="2"/>
    </font>
    <font>
      <sz val="10"/>
      <name val="Arial"/>
      <family val="2"/>
    </font>
    <font>
      <sz val="10"/>
      <color indexed="72"/>
      <name val="SansSerif"/>
    </font>
    <font>
      <b/>
      <sz val="10"/>
      <color indexed="72"/>
      <name val="SansSerif"/>
    </font>
    <font>
      <b/>
      <sz val="10"/>
      <color indexed="72"/>
      <name val="Arial"/>
      <family val="2"/>
    </font>
    <font>
      <sz val="10"/>
      <color indexed="72"/>
      <name val="Arial"/>
      <family val="2"/>
    </font>
    <font>
      <sz val="11"/>
      <color rgb="FF000000"/>
      <name val="Calibri"/>
      <family val="2"/>
    </font>
    <font>
      <sz val="8"/>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ont>
    <font>
      <b/>
      <sz val="10"/>
      <name val="Arial"/>
      <family val="2"/>
    </font>
    <font>
      <b/>
      <sz val="16"/>
      <color theme="1"/>
      <name val="Arial"/>
      <family val="2"/>
    </font>
  </fonts>
  <fills count="70">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000099"/>
        <bgColor indexed="64"/>
      </patternFill>
    </fill>
    <fill>
      <patternFill patternType="solid">
        <fgColor rgb="FF92D050"/>
        <bgColor indexed="64"/>
      </patternFill>
    </fill>
    <fill>
      <patternFill patternType="solid">
        <fgColor rgb="FFFFC000"/>
        <bgColor indexed="64"/>
      </patternFill>
    </fill>
    <fill>
      <patternFill patternType="solid">
        <fgColor theme="3" tint="-0.249977111117893"/>
        <bgColor indexed="64"/>
      </patternFill>
    </fill>
    <fill>
      <patternFill patternType="solid">
        <fgColor rgb="FF00B050"/>
        <bgColor indexed="64"/>
      </patternFill>
    </fill>
    <fill>
      <patternFill patternType="solid">
        <fgColor theme="8" tint="0.79998168889431442"/>
        <bgColor indexed="64"/>
      </patternFill>
    </fill>
    <fill>
      <patternFill patternType="solid">
        <fgColor rgb="FF66FF33"/>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2" tint="-0.74999237037263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rgb="FF00B0F0"/>
        <bgColor indexed="64"/>
      </patternFill>
    </fill>
    <fill>
      <patternFill patternType="solid">
        <fgColor theme="9" tint="-0.499984740745262"/>
        <bgColor indexed="64"/>
      </patternFill>
    </fill>
    <fill>
      <patternFill patternType="solid">
        <fgColor rgb="FF00CC99"/>
        <bgColor indexed="64"/>
      </patternFill>
    </fill>
    <fill>
      <patternFill patternType="solid">
        <fgColor rgb="FFFF66FF"/>
        <bgColor indexed="64"/>
      </patternFill>
    </fill>
    <fill>
      <patternFill patternType="solid">
        <fgColor rgb="FFFFCC66"/>
        <bgColor indexed="64"/>
      </patternFill>
    </fill>
    <fill>
      <patternFill patternType="solid">
        <fgColor rgb="FF669900"/>
        <bgColor indexed="64"/>
      </patternFill>
    </fill>
    <fill>
      <patternFill patternType="solid">
        <fgColor rgb="FF9933FF"/>
        <bgColor indexed="64"/>
      </patternFill>
    </fill>
    <fill>
      <patternFill patternType="solid">
        <fgColor rgb="FF990000"/>
        <bgColor indexed="64"/>
      </patternFill>
    </fill>
    <fill>
      <patternFill patternType="solid">
        <fgColor rgb="FF666633"/>
        <bgColor indexed="64"/>
      </patternFill>
    </fill>
    <fill>
      <patternFill patternType="solid">
        <fgColor rgb="FF0070C0"/>
        <bgColor indexed="64"/>
      </patternFill>
    </fill>
    <fill>
      <patternFill patternType="solid">
        <fgColor rgb="FFFF0066"/>
        <bgColor indexed="64"/>
      </patternFill>
    </fill>
    <fill>
      <patternFill patternType="solid">
        <fgColor theme="0" tint="-4.9989318521683403E-2"/>
        <bgColor indexed="64"/>
      </patternFill>
    </fill>
    <fill>
      <patternFill patternType="solid">
        <fgColor indexed="3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style="thin">
        <color rgb="FFCCCCCC"/>
      </right>
      <top style="thin">
        <color rgb="FFCCCCCC"/>
      </top>
      <bottom/>
      <diagonal/>
    </border>
    <border>
      <left/>
      <right style="thin">
        <color rgb="FFCCCCCC"/>
      </right>
      <top/>
      <bottom/>
      <diagonal/>
    </border>
    <border>
      <left style="thin">
        <color rgb="FFCCCCCC"/>
      </left>
      <right/>
      <top/>
      <bottom/>
      <diagonal/>
    </border>
    <border>
      <left style="thin">
        <color rgb="FFCCCCCC"/>
      </left>
      <right style="thin">
        <color rgb="FFCCCCCC"/>
      </right>
      <top style="thin">
        <color rgb="FFCCCCCC"/>
      </top>
      <bottom style="thin">
        <color rgb="FFCCCCCC"/>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indexed="64"/>
      </left>
      <right style="thin">
        <color indexed="64"/>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48">
    <xf numFmtId="0" fontId="0" fillId="0" borderId="0"/>
    <xf numFmtId="164" fontId="3" fillId="0" borderId="0" applyFont="0" applyFill="0" applyBorder="0" applyAlignment="0" applyProtection="0"/>
    <xf numFmtId="0" fontId="24" fillId="0" borderId="0" applyNumberFormat="0" applyFont="0" applyFill="0" applyBorder="0" applyAlignment="0" applyProtection="0"/>
    <xf numFmtId="0" fontId="9" fillId="0" borderId="0" applyNumberFormat="0" applyFont="0" applyFill="0" applyBorder="0" applyAlignment="0" applyProtection="0"/>
    <xf numFmtId="0" fontId="29" fillId="0" borderId="0" applyNumberFormat="0" applyBorder="0" applyAlignment="0"/>
    <xf numFmtId="9" fontId="3" fillId="0" borderId="0" applyFont="0" applyFill="0" applyBorder="0" applyAlignment="0" applyProtection="0"/>
    <xf numFmtId="0" fontId="31" fillId="0" borderId="0" applyNumberFormat="0" applyFill="0" applyBorder="0" applyAlignment="0" applyProtection="0"/>
    <xf numFmtId="0" fontId="32" fillId="0" borderId="55" applyNumberFormat="0" applyFill="0" applyAlignment="0" applyProtection="0"/>
    <xf numFmtId="0" fontId="33" fillId="0" borderId="56" applyNumberFormat="0" applyFill="0" applyAlignment="0" applyProtection="0"/>
    <xf numFmtId="0" fontId="34" fillId="0" borderId="57" applyNumberFormat="0" applyFill="0" applyAlignment="0" applyProtection="0"/>
    <xf numFmtId="0" fontId="34" fillId="0" borderId="0" applyNumberFormat="0" applyFill="0" applyBorder="0" applyAlignment="0" applyProtection="0"/>
    <xf numFmtId="0" fontId="35" fillId="39" borderId="0" applyNumberFormat="0" applyBorder="0" applyAlignment="0" applyProtection="0"/>
    <xf numFmtId="0" fontId="36" fillId="40" borderId="0" applyNumberFormat="0" applyBorder="0" applyAlignment="0" applyProtection="0"/>
    <xf numFmtId="0" fontId="37" fillId="41" borderId="0" applyNumberFormat="0" applyBorder="0" applyAlignment="0" applyProtection="0"/>
    <xf numFmtId="0" fontId="38" fillId="42" borderId="58" applyNumberFormat="0" applyAlignment="0" applyProtection="0"/>
    <xf numFmtId="0" fontId="39" fillId="43" borderId="59" applyNumberFormat="0" applyAlignment="0" applyProtection="0"/>
    <xf numFmtId="0" fontId="40" fillId="43" borderId="58" applyNumberFormat="0" applyAlignment="0" applyProtection="0"/>
    <xf numFmtId="0" fontId="41" fillId="0" borderId="60" applyNumberFormat="0" applyFill="0" applyAlignment="0" applyProtection="0"/>
    <xf numFmtId="0" fontId="42" fillId="44" borderId="61" applyNumberFormat="0" applyAlignment="0" applyProtection="0"/>
    <xf numFmtId="0" fontId="43" fillId="0" borderId="0" applyNumberFormat="0" applyFill="0" applyBorder="0" applyAlignment="0" applyProtection="0"/>
    <xf numFmtId="0" fontId="3" fillId="45" borderId="62" applyNumberFormat="0" applyFont="0" applyAlignment="0" applyProtection="0"/>
    <xf numFmtId="0" fontId="44" fillId="0" borderId="0" applyNumberFormat="0" applyFill="0" applyBorder="0" applyAlignment="0" applyProtection="0"/>
    <xf numFmtId="0" fontId="15" fillId="0" borderId="63" applyNumberFormat="0" applyFill="0" applyAlignment="0" applyProtection="0"/>
    <xf numFmtId="0" fontId="45"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45"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45"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45"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45"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45" fillId="66" borderId="0" applyNumberFormat="0" applyBorder="0" applyAlignment="0" applyProtection="0"/>
    <xf numFmtId="0" fontId="3" fillId="67" borderId="0" applyNumberFormat="0" applyBorder="0" applyAlignment="0" applyProtection="0"/>
    <xf numFmtId="0" fontId="3" fillId="68" borderId="0" applyNumberFormat="0" applyBorder="0" applyAlignment="0" applyProtection="0"/>
    <xf numFmtId="0" fontId="3" fillId="69" borderId="0" applyNumberFormat="0" applyBorder="0" applyAlignment="0" applyProtection="0"/>
    <xf numFmtId="0" fontId="46" fillId="0" borderId="0" applyNumberFormat="0" applyFont="0" applyFill="0" applyBorder="0" applyAlignment="0" applyProtection="0"/>
  </cellStyleXfs>
  <cellXfs count="549">
    <xf numFmtId="0" fontId="0" fillId="0" borderId="0" xfId="0"/>
    <xf numFmtId="0" fontId="1" fillId="0" borderId="0" xfId="0" applyFont="1"/>
    <xf numFmtId="15" fontId="1" fillId="0" borderId="0" xfId="0" applyNumberFormat="1" applyFont="1"/>
    <xf numFmtId="4" fontId="1" fillId="0" borderId="0" xfId="0" applyNumberFormat="1" applyFont="1"/>
    <xf numFmtId="3" fontId="1" fillId="0" borderId="0" xfId="0" applyNumberFormat="1" applyFont="1"/>
    <xf numFmtId="164" fontId="1" fillId="0" borderId="0" xfId="1" applyFont="1"/>
    <xf numFmtId="165" fontId="1" fillId="0" borderId="0" xfId="1" applyNumberFormat="1" applyFont="1"/>
    <xf numFmtId="0" fontId="2" fillId="2" borderId="0" xfId="0" applyFont="1" applyFill="1"/>
    <xf numFmtId="15" fontId="2" fillId="2" borderId="0" xfId="0" applyNumberFormat="1" applyFont="1" applyFill="1"/>
    <xf numFmtId="3" fontId="2" fillId="2" borderId="0" xfId="0" applyNumberFormat="1" applyFont="1" applyFill="1"/>
    <xf numFmtId="4" fontId="2" fillId="2" borderId="0" xfId="0" applyNumberFormat="1" applyFont="1" applyFill="1"/>
    <xf numFmtId="0" fontId="1" fillId="0" borderId="1" xfId="0" applyFont="1" applyBorder="1"/>
    <xf numFmtId="16" fontId="1" fillId="0" borderId="1" xfId="0" applyNumberFormat="1" applyFont="1" applyBorder="1"/>
    <xf numFmtId="0" fontId="1" fillId="0" borderId="1" xfId="0" applyFont="1" applyBorder="1" applyAlignment="1">
      <alignment wrapText="1"/>
    </xf>
    <xf numFmtId="164" fontId="2" fillId="2" borderId="0" xfId="1" applyFont="1" applyFill="1"/>
    <xf numFmtId="0" fontId="2" fillId="2" borderId="1" xfId="0" applyFont="1" applyFill="1" applyBorder="1"/>
    <xf numFmtId="0" fontId="2" fillId="2" borderId="1" xfId="0" applyFont="1" applyFill="1" applyBorder="1" applyAlignment="1">
      <alignment wrapText="1"/>
    </xf>
    <xf numFmtId="0" fontId="1" fillId="0" borderId="0" xfId="0" applyFont="1" applyAlignment="1">
      <alignment wrapText="1"/>
    </xf>
    <xf numFmtId="164" fontId="1" fillId="0" borderId="1" xfId="1" applyFont="1" applyBorder="1"/>
    <xf numFmtId="0" fontId="4" fillId="3" borderId="2" xfId="0" applyFont="1" applyFill="1" applyBorder="1" applyAlignment="1">
      <alignment horizontal="center" vertical="center" wrapText="1"/>
    </xf>
    <xf numFmtId="0" fontId="5" fillId="3" borderId="2" xfId="0" applyFont="1" applyFill="1" applyBorder="1" applyAlignment="1">
      <alignment wrapText="1"/>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 fillId="3" borderId="2" xfId="0" applyFont="1" applyFill="1" applyBorder="1" applyAlignment="1">
      <alignment wrapText="1"/>
    </xf>
    <xf numFmtId="16" fontId="1" fillId="2" borderId="1" xfId="0" applyNumberFormat="1" applyFont="1" applyFill="1" applyBorder="1"/>
    <xf numFmtId="164" fontId="1" fillId="2" borderId="1" xfId="1" applyFont="1" applyFill="1" applyBorder="1"/>
    <xf numFmtId="15" fontId="1" fillId="2" borderId="0" xfId="0" applyNumberFormat="1" applyFont="1" applyFill="1"/>
    <xf numFmtId="0" fontId="1" fillId="2" borderId="0" xfId="0" applyFont="1" applyFill="1"/>
    <xf numFmtId="4" fontId="1" fillId="2" borderId="0" xfId="0" applyNumberFormat="1" applyFont="1" applyFill="1"/>
    <xf numFmtId="0" fontId="1" fillId="0" borderId="7" xfId="0" applyFont="1" applyBorder="1"/>
    <xf numFmtId="0" fontId="1" fillId="0" borderId="8" xfId="0" applyFont="1" applyBorder="1"/>
    <xf numFmtId="0" fontId="1" fillId="0" borderId="9" xfId="0" applyFont="1" applyBorder="1"/>
    <xf numFmtId="0" fontId="1" fillId="0" borderId="10" xfId="0" applyFont="1" applyBorder="1" applyAlignment="1">
      <alignment wrapText="1"/>
    </xf>
    <xf numFmtId="0" fontId="1" fillId="0" borderId="11" xfId="0" applyFont="1" applyBorder="1"/>
    <xf numFmtId="0" fontId="1" fillId="0" borderId="12" xfId="0" applyFont="1" applyBorder="1"/>
    <xf numFmtId="0" fontId="1" fillId="0" borderId="13" xfId="0" applyFont="1" applyBorder="1"/>
    <xf numFmtId="0" fontId="2" fillId="0" borderId="10" xfId="0" applyFont="1" applyBorder="1" applyAlignment="1">
      <alignment horizontal="center" vertical="center" wrapText="1"/>
    </xf>
    <xf numFmtId="14" fontId="1" fillId="0" borderId="10" xfId="0" applyNumberFormat="1" applyFont="1" applyBorder="1" applyAlignment="1">
      <alignment wrapText="1"/>
    </xf>
    <xf numFmtId="4" fontId="1" fillId="0" borderId="10" xfId="0" applyNumberFormat="1" applyFont="1" applyBorder="1" applyAlignment="1">
      <alignment wrapText="1"/>
    </xf>
    <xf numFmtId="16" fontId="6" fillId="6" borderId="1" xfId="0" applyNumberFormat="1" applyFont="1" applyFill="1" applyBorder="1"/>
    <xf numFmtId="164" fontId="6" fillId="6" borderId="1" xfId="1" applyFont="1" applyFill="1" applyBorder="1"/>
    <xf numFmtId="0" fontId="6" fillId="6" borderId="1" xfId="0" applyFont="1" applyFill="1" applyBorder="1" applyAlignment="1">
      <alignment wrapText="1"/>
    </xf>
    <xf numFmtId="16" fontId="6" fillId="5" borderId="1" xfId="0" applyNumberFormat="1" applyFont="1" applyFill="1" applyBorder="1"/>
    <xf numFmtId="164" fontId="6" fillId="5" borderId="1" xfId="1" applyFont="1" applyFill="1" applyBorder="1"/>
    <xf numFmtId="0" fontId="1" fillId="0" borderId="3" xfId="0" applyFont="1" applyBorder="1"/>
    <xf numFmtId="0" fontId="1" fillId="0" borderId="0" xfId="0" applyFont="1" applyAlignment="1">
      <alignment horizontal="left" wrapText="1" indent="1"/>
    </xf>
    <xf numFmtId="0" fontId="7" fillId="0" borderId="0" xfId="0" applyFont="1"/>
    <xf numFmtId="16" fontId="1" fillId="0" borderId="0" xfId="0" applyNumberFormat="1" applyFont="1"/>
    <xf numFmtId="0" fontId="1" fillId="0" borderId="0" xfId="0" pivotButton="1" applyFont="1"/>
    <xf numFmtId="164" fontId="1" fillId="0" borderId="0" xfId="0" applyNumberFormat="1" applyFont="1"/>
    <xf numFmtId="166" fontId="1" fillId="0" borderId="0" xfId="1" applyNumberFormat="1" applyFont="1"/>
    <xf numFmtId="166" fontId="1" fillId="2" borderId="0" xfId="1" applyNumberFormat="1" applyFont="1" applyFill="1"/>
    <xf numFmtId="2" fontId="1" fillId="0" borderId="0" xfId="1" applyNumberFormat="1" applyFont="1"/>
    <xf numFmtId="2" fontId="1" fillId="0" borderId="0" xfId="0" applyNumberFormat="1" applyFont="1"/>
    <xf numFmtId="0" fontId="1" fillId="7" borderId="0" xfId="0" applyFont="1" applyFill="1"/>
    <xf numFmtId="9" fontId="1" fillId="0" borderId="0" xfId="0" applyNumberFormat="1" applyFont="1"/>
    <xf numFmtId="15" fontId="1" fillId="0" borderId="1" xfId="0" applyNumberFormat="1" applyFont="1" applyBorder="1"/>
    <xf numFmtId="15" fontId="6" fillId="6" borderId="1" xfId="0" applyNumberFormat="1" applyFont="1" applyFill="1" applyBorder="1"/>
    <xf numFmtId="15" fontId="6" fillId="5" borderId="1" xfId="0" applyNumberFormat="1" applyFont="1" applyFill="1" applyBorder="1"/>
    <xf numFmtId="15" fontId="1" fillId="2" borderId="1" xfId="0" applyNumberFormat="1" applyFont="1" applyFill="1" applyBorder="1"/>
    <xf numFmtId="1" fontId="1" fillId="0" borderId="0" xfId="0" applyNumberFormat="1" applyFont="1"/>
    <xf numFmtId="0" fontId="1" fillId="0" borderId="0" xfId="0" applyFont="1" applyAlignment="1">
      <alignment horizontal="center"/>
    </xf>
    <xf numFmtId="1" fontId="1" fillId="2" borderId="0" xfId="0" applyNumberFormat="1" applyFont="1" applyFill="1"/>
    <xf numFmtId="15" fontId="10" fillId="9" borderId="1" xfId="0" applyNumberFormat="1" applyFont="1" applyFill="1" applyBorder="1"/>
    <xf numFmtId="16" fontId="10" fillId="9" borderId="1" xfId="0" applyNumberFormat="1" applyFont="1" applyFill="1" applyBorder="1"/>
    <xf numFmtId="164" fontId="10" fillId="9" borderId="1" xfId="1" applyFont="1" applyFill="1" applyBorder="1"/>
    <xf numFmtId="0" fontId="10" fillId="9" borderId="1" xfId="0" applyFont="1" applyFill="1" applyBorder="1" applyAlignment="1">
      <alignment wrapText="1"/>
    </xf>
    <xf numFmtId="0" fontId="10" fillId="9" borderId="1" xfId="0" applyFont="1" applyFill="1" applyBorder="1"/>
    <xf numFmtId="1" fontId="0" fillId="0" borderId="0" xfId="0" applyNumberFormat="1"/>
    <xf numFmtId="17" fontId="1" fillId="0" borderId="0" xfId="0" applyNumberFormat="1" applyFont="1"/>
    <xf numFmtId="0" fontId="11" fillId="2" borderId="0" xfId="0" applyFont="1" applyFill="1" applyAlignment="1">
      <alignment horizontal="center"/>
    </xf>
    <xf numFmtId="4" fontId="2" fillId="2" borderId="16" xfId="0" applyNumberFormat="1" applyFont="1" applyFill="1" applyBorder="1"/>
    <xf numFmtId="2" fontId="1" fillId="2" borderId="0" xfId="0" applyNumberFormat="1" applyFont="1" applyFill="1"/>
    <xf numFmtId="168" fontId="1" fillId="0" borderId="0" xfId="0" applyNumberFormat="1" applyFont="1"/>
    <xf numFmtId="0" fontId="12" fillId="0" borderId="0" xfId="0" applyFont="1"/>
    <xf numFmtId="2" fontId="12" fillId="0" borderId="0" xfId="0" applyNumberFormat="1" applyFont="1"/>
    <xf numFmtId="0" fontId="1" fillId="10" borderId="0" xfId="0" applyFont="1" applyFill="1"/>
    <xf numFmtId="2" fontId="1" fillId="10" borderId="0" xfId="0" applyNumberFormat="1" applyFont="1" applyFill="1"/>
    <xf numFmtId="0" fontId="9" fillId="0" borderId="0" xfId="0" applyFont="1"/>
    <xf numFmtId="0" fontId="1" fillId="0" borderId="17" xfId="0" applyFont="1" applyBorder="1"/>
    <xf numFmtId="15" fontId="1" fillId="0" borderId="17" xfId="0" applyNumberFormat="1" applyFont="1" applyBorder="1"/>
    <xf numFmtId="4" fontId="1" fillId="0" borderId="17" xfId="0" applyNumberFormat="1" applyFont="1" applyBorder="1"/>
    <xf numFmtId="0" fontId="1" fillId="0" borderId="1" xfId="0" applyFont="1" applyBorder="1" applyAlignment="1">
      <alignment vertical="center" wrapText="1"/>
    </xf>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6" fillId="6" borderId="1" xfId="0" applyFont="1" applyFill="1" applyBorder="1" applyAlignment="1">
      <alignment vertical="center" wrapText="1"/>
    </xf>
    <xf numFmtId="0" fontId="1" fillId="0" borderId="1" xfId="0" applyFont="1" applyBorder="1" applyAlignment="1">
      <alignment vertical="center"/>
    </xf>
    <xf numFmtId="0" fontId="6" fillId="5" borderId="1" xfId="0" applyFont="1" applyFill="1" applyBorder="1" applyAlignment="1">
      <alignment vertical="center" wrapText="1"/>
    </xf>
    <xf numFmtId="0" fontId="1" fillId="2" borderId="1" xfId="0" applyFont="1" applyFill="1" applyBorder="1" applyAlignment="1">
      <alignment vertical="center" wrapText="1"/>
    </xf>
    <xf numFmtId="0" fontId="10" fillId="9" borderId="1" xfId="0" applyFont="1" applyFill="1" applyBorder="1" applyAlignment="1">
      <alignment vertical="center" wrapText="1"/>
    </xf>
    <xf numFmtId="0" fontId="1" fillId="0" borderId="0" xfId="0" applyFont="1" applyAlignment="1">
      <alignment vertical="center" wrapText="1"/>
    </xf>
    <xf numFmtId="1" fontId="1" fillId="0" borderId="17" xfId="0" applyNumberFormat="1" applyFont="1" applyBorder="1"/>
    <xf numFmtId="0" fontId="13" fillId="0" borderId="0" xfId="0" applyFont="1"/>
    <xf numFmtId="4" fontId="13" fillId="0" borderId="0" xfId="0" applyNumberFormat="1" applyFont="1"/>
    <xf numFmtId="0" fontId="14" fillId="2" borderId="0" xfId="0" applyFont="1" applyFill="1"/>
    <xf numFmtId="4" fontId="14" fillId="2" borderId="0" xfId="0" applyNumberFormat="1" applyFont="1" applyFill="1"/>
    <xf numFmtId="0" fontId="14" fillId="12" borderId="0" xfId="0" applyFont="1" applyFill="1"/>
    <xf numFmtId="4" fontId="14" fillId="12" borderId="0" xfId="0" applyNumberFormat="1" applyFont="1" applyFill="1"/>
    <xf numFmtId="0" fontId="14" fillId="13" borderId="0" xfId="0" applyFont="1" applyFill="1"/>
    <xf numFmtId="0" fontId="15" fillId="0" borderId="0" xfId="0" applyFont="1"/>
    <xf numFmtId="0" fontId="15" fillId="2" borderId="0" xfId="0" applyFont="1" applyFill="1"/>
    <xf numFmtId="0" fontId="15" fillId="14" borderId="0" xfId="0" applyFont="1" applyFill="1"/>
    <xf numFmtId="0" fontId="15" fillId="15" borderId="0" xfId="0" applyFont="1" applyFill="1"/>
    <xf numFmtId="0" fontId="15" fillId="16" borderId="0" xfId="0" applyFont="1" applyFill="1"/>
    <xf numFmtId="0" fontId="15" fillId="5" borderId="0" xfId="0" applyFont="1" applyFill="1"/>
    <xf numFmtId="0" fontId="15" fillId="17" borderId="0" xfId="0" applyFont="1" applyFill="1"/>
    <xf numFmtId="0" fontId="15" fillId="18" borderId="0" xfId="0" applyFont="1" applyFill="1"/>
    <xf numFmtId="0" fontId="15" fillId="19" borderId="0" xfId="0" applyFont="1" applyFill="1"/>
    <xf numFmtId="0" fontId="15" fillId="20" borderId="0" xfId="0" applyFont="1" applyFill="1"/>
    <xf numFmtId="0" fontId="15" fillId="21" borderId="0" xfId="0" applyFont="1" applyFill="1"/>
    <xf numFmtId="0" fontId="15" fillId="7" borderId="0" xfId="0" applyFont="1" applyFill="1"/>
    <xf numFmtId="0" fontId="15" fillId="22" borderId="0" xfId="0" applyFont="1" applyFill="1"/>
    <xf numFmtId="0" fontId="15" fillId="23" borderId="0" xfId="0" applyFont="1" applyFill="1"/>
    <xf numFmtId="0" fontId="15" fillId="24" borderId="0" xfId="0" applyFont="1" applyFill="1"/>
    <xf numFmtId="0" fontId="15" fillId="25" borderId="0" xfId="0" applyFont="1" applyFill="1"/>
    <xf numFmtId="0" fontId="15" fillId="26" borderId="0" xfId="0" applyFont="1" applyFill="1"/>
    <xf numFmtId="0" fontId="15" fillId="27" borderId="0" xfId="0" applyFont="1" applyFill="1"/>
    <xf numFmtId="0" fontId="15" fillId="28" borderId="0" xfId="0" applyFont="1" applyFill="1"/>
    <xf numFmtId="0" fontId="15" fillId="29" borderId="0" xfId="0" applyFont="1" applyFill="1"/>
    <xf numFmtId="0" fontId="15" fillId="30" borderId="0" xfId="0" applyFont="1" applyFill="1"/>
    <xf numFmtId="0" fontId="15" fillId="31" borderId="0" xfId="0" applyFont="1" applyFill="1"/>
    <xf numFmtId="0" fontId="15" fillId="32" borderId="0" xfId="0" applyFont="1" applyFill="1"/>
    <xf numFmtId="0" fontId="15" fillId="33" borderId="0" xfId="0" applyFont="1" applyFill="1"/>
    <xf numFmtId="0" fontId="2" fillId="2" borderId="16" xfId="0" applyFont="1" applyFill="1" applyBorder="1"/>
    <xf numFmtId="0" fontId="13" fillId="28" borderId="0" xfId="0" applyFont="1" applyFill="1"/>
    <xf numFmtId="4" fontId="13" fillId="28" borderId="0" xfId="0" applyNumberFormat="1" applyFont="1" applyFill="1"/>
    <xf numFmtId="1" fontId="13" fillId="0" borderId="0" xfId="0" applyNumberFormat="1" applyFont="1"/>
    <xf numFmtId="0" fontId="16" fillId="0" borderId="0" xfId="0" applyFont="1"/>
    <xf numFmtId="0" fontId="16" fillId="0" borderId="0" xfId="0" quotePrefix="1" applyFont="1"/>
    <xf numFmtId="2" fontId="16" fillId="0" borderId="0" xfId="0" applyNumberFormat="1" applyFont="1"/>
    <xf numFmtId="0" fontId="16" fillId="0" borderId="16" xfId="0" applyFont="1" applyBorder="1"/>
    <xf numFmtId="0" fontId="16" fillId="0" borderId="18" xfId="0" applyFont="1" applyBorder="1"/>
    <xf numFmtId="0" fontId="16" fillId="0" borderId="19" xfId="0" applyFont="1" applyBorder="1"/>
    <xf numFmtId="0" fontId="16" fillId="0" borderId="20" xfId="0" applyFont="1" applyBorder="1"/>
    <xf numFmtId="0" fontId="16" fillId="0" borderId="21" xfId="0" applyFont="1" applyBorder="1"/>
    <xf numFmtId="1" fontId="16" fillId="0" borderId="21" xfId="0" applyNumberFormat="1" applyFont="1" applyBorder="1"/>
    <xf numFmtId="1" fontId="16" fillId="0" borderId="22" xfId="0" applyNumberFormat="1" applyFont="1" applyBorder="1"/>
    <xf numFmtId="1" fontId="16" fillId="31" borderId="26" xfId="0" applyNumberFormat="1" applyFont="1" applyFill="1" applyBorder="1"/>
    <xf numFmtId="1" fontId="16" fillId="31" borderId="29" xfId="0" applyNumberFormat="1" applyFont="1" applyFill="1" applyBorder="1"/>
    <xf numFmtId="0" fontId="16" fillId="0" borderId="25" xfId="0" applyFont="1" applyBorder="1"/>
    <xf numFmtId="168" fontId="16" fillId="4" borderId="26" xfId="0" applyNumberFormat="1" applyFont="1" applyFill="1" applyBorder="1"/>
    <xf numFmtId="168" fontId="16" fillId="4" borderId="29" xfId="0" applyNumberFormat="1" applyFont="1" applyFill="1" applyBorder="1"/>
    <xf numFmtId="0" fontId="16" fillId="0" borderId="1" xfId="0" applyFont="1" applyBorder="1"/>
    <xf numFmtId="1" fontId="16" fillId="0" borderId="1" xfId="0" applyNumberFormat="1" applyFont="1" applyBorder="1"/>
    <xf numFmtId="1" fontId="16" fillId="0" borderId="23" xfId="0" applyNumberFormat="1" applyFont="1" applyBorder="1"/>
    <xf numFmtId="1" fontId="16" fillId="24" borderId="27" xfId="0" applyNumberFormat="1" applyFont="1" applyFill="1" applyBorder="1"/>
    <xf numFmtId="0" fontId="16" fillId="0" borderId="24" xfId="0" applyFont="1" applyBorder="1"/>
    <xf numFmtId="168" fontId="16" fillId="4" borderId="27" xfId="0" applyNumberFormat="1" applyFont="1" applyFill="1" applyBorder="1"/>
    <xf numFmtId="1" fontId="16" fillId="18" borderId="27" xfId="0" applyNumberFormat="1" applyFont="1" applyFill="1" applyBorder="1"/>
    <xf numFmtId="1" fontId="16" fillId="4" borderId="27" xfId="0" applyNumberFormat="1" applyFont="1" applyFill="1" applyBorder="1"/>
    <xf numFmtId="1" fontId="16" fillId="27" borderId="27" xfId="0" applyNumberFormat="1" applyFont="1" applyFill="1" applyBorder="1"/>
    <xf numFmtId="1" fontId="17" fillId="2" borderId="27" xfId="0" applyNumberFormat="1" applyFont="1" applyFill="1" applyBorder="1"/>
    <xf numFmtId="168" fontId="17" fillId="2" borderId="27" xfId="0" applyNumberFormat="1" applyFont="1" applyFill="1" applyBorder="1"/>
    <xf numFmtId="1" fontId="16" fillId="29" borderId="27" xfId="0" applyNumberFormat="1" applyFont="1" applyFill="1" applyBorder="1"/>
    <xf numFmtId="1" fontId="16" fillId="20" borderId="27" xfId="0" applyNumberFormat="1" applyFont="1" applyFill="1" applyBorder="1"/>
    <xf numFmtId="1" fontId="16" fillId="22" borderId="27" xfId="0" applyNumberFormat="1" applyFont="1" applyFill="1" applyBorder="1"/>
    <xf numFmtId="1" fontId="16" fillId="19" borderId="27" xfId="0" applyNumberFormat="1" applyFont="1" applyFill="1" applyBorder="1"/>
    <xf numFmtId="1" fontId="16" fillId="32" borderId="27" xfId="0" applyNumberFormat="1" applyFont="1" applyFill="1" applyBorder="1"/>
    <xf numFmtId="1" fontId="16" fillId="7" borderId="27" xfId="0" applyNumberFormat="1" applyFont="1" applyFill="1" applyBorder="1"/>
    <xf numFmtId="1" fontId="16" fillId="30" borderId="27" xfId="0" applyNumberFormat="1" applyFont="1" applyFill="1" applyBorder="1"/>
    <xf numFmtId="1" fontId="16" fillId="33" borderId="27" xfId="0" applyNumberFormat="1" applyFont="1" applyFill="1" applyBorder="1"/>
    <xf numFmtId="1" fontId="16" fillId="16" borderId="27" xfId="0" applyNumberFormat="1" applyFont="1" applyFill="1" applyBorder="1"/>
    <xf numFmtId="168" fontId="16" fillId="16" borderId="27" xfId="0" applyNumberFormat="1" applyFont="1" applyFill="1" applyBorder="1"/>
    <xf numFmtId="1" fontId="16" fillId="26" borderId="27" xfId="0" applyNumberFormat="1" applyFont="1" applyFill="1" applyBorder="1"/>
    <xf numFmtId="1" fontId="16" fillId="23" borderId="27" xfId="0" applyNumberFormat="1" applyFont="1" applyFill="1" applyBorder="1"/>
    <xf numFmtId="1" fontId="16" fillId="28" borderId="27" xfId="0" applyNumberFormat="1" applyFont="1" applyFill="1" applyBorder="1"/>
    <xf numFmtId="1" fontId="16" fillId="17" borderId="27" xfId="0" applyNumberFormat="1" applyFont="1" applyFill="1" applyBorder="1"/>
    <xf numFmtId="168" fontId="16" fillId="17" borderId="27" xfId="0" applyNumberFormat="1" applyFont="1" applyFill="1" applyBorder="1"/>
    <xf numFmtId="1" fontId="16" fillId="25" borderId="27" xfId="0" applyNumberFormat="1" applyFont="1" applyFill="1" applyBorder="1"/>
    <xf numFmtId="1" fontId="16" fillId="14" borderId="27" xfId="0" applyNumberFormat="1" applyFont="1" applyFill="1" applyBorder="1"/>
    <xf numFmtId="1" fontId="16" fillId="21" borderId="27" xfId="0" applyNumberFormat="1" applyFont="1" applyFill="1" applyBorder="1"/>
    <xf numFmtId="1" fontId="16" fillId="5" borderId="27" xfId="0" applyNumberFormat="1" applyFont="1" applyFill="1" applyBorder="1"/>
    <xf numFmtId="1" fontId="16" fillId="15" borderId="28" xfId="0" applyNumberFormat="1" applyFont="1" applyFill="1" applyBorder="1"/>
    <xf numFmtId="168" fontId="16" fillId="4" borderId="28" xfId="0" applyNumberFormat="1" applyFont="1" applyFill="1" applyBorder="1"/>
    <xf numFmtId="1" fontId="16" fillId="0" borderId="0" xfId="0" applyNumberFormat="1" applyFont="1"/>
    <xf numFmtId="168" fontId="16" fillId="0" borderId="0" xfId="0" applyNumberFormat="1" applyFont="1"/>
    <xf numFmtId="0" fontId="13" fillId="34" borderId="0" xfId="0" applyFont="1" applyFill="1"/>
    <xf numFmtId="2" fontId="13" fillId="34" borderId="0" xfId="0" applyNumberFormat="1" applyFont="1" applyFill="1"/>
    <xf numFmtId="0" fontId="18" fillId="0" borderId="1" xfId="0" applyFont="1" applyBorder="1"/>
    <xf numFmtId="0" fontId="18" fillId="0" borderId="0" xfId="0" applyFont="1"/>
    <xf numFmtId="0" fontId="20" fillId="0" borderId="1" xfId="0" applyFont="1" applyBorder="1"/>
    <xf numFmtId="0" fontId="1" fillId="0" borderId="0" xfId="0" applyFont="1" applyAlignment="1">
      <alignment horizontal="center" vertical="center"/>
    </xf>
    <xf numFmtId="2" fontId="1" fillId="0" borderId="0" xfId="0" applyNumberFormat="1" applyFont="1" applyAlignment="1">
      <alignment horizontal="center" vertical="center"/>
    </xf>
    <xf numFmtId="2" fontId="13" fillId="0" borderId="0" xfId="0" applyNumberFormat="1" applyFont="1"/>
    <xf numFmtId="0" fontId="2" fillId="2" borderId="1" xfId="0" applyFont="1" applyFill="1" applyBorder="1" applyAlignment="1">
      <alignment horizontal="center" vertical="center" wrapText="1"/>
    </xf>
    <xf numFmtId="0" fontId="18" fillId="4" borderId="1" xfId="0" applyFont="1" applyFill="1" applyBorder="1"/>
    <xf numFmtId="0" fontId="20" fillId="4" borderId="1" xfId="0" applyFont="1" applyFill="1" applyBorder="1"/>
    <xf numFmtId="0" fontId="1" fillId="4" borderId="1" xfId="0" applyFont="1" applyFill="1" applyBorder="1"/>
    <xf numFmtId="0" fontId="13" fillId="2" borderId="0" xfId="0" applyFont="1" applyFill="1"/>
    <xf numFmtId="0" fontId="18" fillId="0" borderId="1" xfId="0" applyFont="1" applyBorder="1" applyAlignment="1">
      <alignment wrapText="1"/>
    </xf>
    <xf numFmtId="0" fontId="19" fillId="0" borderId="1" xfId="0" applyFont="1" applyBorder="1" applyAlignment="1">
      <alignment wrapText="1"/>
    </xf>
    <xf numFmtId="0" fontId="1" fillId="4" borderId="1" xfId="0" applyFont="1" applyFill="1" applyBorder="1" applyAlignment="1">
      <alignment wrapText="1"/>
    </xf>
    <xf numFmtId="0" fontId="18" fillId="0" borderId="0" xfId="0" applyFont="1" applyAlignment="1">
      <alignment wrapText="1"/>
    </xf>
    <xf numFmtId="169" fontId="18" fillId="0" borderId="1" xfId="0" applyNumberFormat="1" applyFont="1" applyBorder="1"/>
    <xf numFmtId="169" fontId="1" fillId="0" borderId="1" xfId="0" applyNumberFormat="1" applyFont="1" applyBorder="1"/>
    <xf numFmtId="169" fontId="18" fillId="4" borderId="1" xfId="0" applyNumberFormat="1" applyFont="1" applyFill="1" applyBorder="1"/>
    <xf numFmtId="170" fontId="1" fillId="0" borderId="0" xfId="0" applyNumberFormat="1" applyFont="1"/>
    <xf numFmtId="0" fontId="1" fillId="31" borderId="0" xfId="0" applyFont="1" applyFill="1"/>
    <xf numFmtId="0" fontId="1" fillId="28" borderId="0" xfId="0" applyFont="1" applyFill="1"/>
    <xf numFmtId="170" fontId="1" fillId="28" borderId="0" xfId="0" applyNumberFormat="1" applyFont="1" applyFill="1"/>
    <xf numFmtId="170" fontId="1" fillId="2" borderId="0" xfId="0" applyNumberFormat="1" applyFont="1" applyFill="1"/>
    <xf numFmtId="170" fontId="1" fillId="7" borderId="0" xfId="0" applyNumberFormat="1" applyFont="1" applyFill="1"/>
    <xf numFmtId="0" fontId="9" fillId="4" borderId="1" xfId="0" applyFont="1" applyFill="1" applyBorder="1"/>
    <xf numFmtId="0" fontId="9" fillId="4" borderId="1" xfId="0" applyFont="1" applyFill="1" applyBorder="1" applyAlignment="1">
      <alignment wrapText="1"/>
    </xf>
    <xf numFmtId="169" fontId="9" fillId="4" borderId="1" xfId="0" applyNumberFormat="1" applyFont="1" applyFill="1" applyBorder="1"/>
    <xf numFmtId="0" fontId="2" fillId="13" borderId="0" xfId="0" applyFont="1" applyFill="1"/>
    <xf numFmtId="0" fontId="1" fillId="34" borderId="0" xfId="0" applyFont="1" applyFill="1"/>
    <xf numFmtId="4" fontId="1" fillId="28" borderId="0" xfId="0" applyNumberFormat="1" applyFont="1" applyFill="1"/>
    <xf numFmtId="2" fontId="1" fillId="34" borderId="0" xfId="0" applyNumberFormat="1" applyFont="1" applyFill="1"/>
    <xf numFmtId="0" fontId="2" fillId="12" borderId="0" xfId="0" applyFont="1" applyFill="1"/>
    <xf numFmtId="4" fontId="2" fillId="12" borderId="0" xfId="0" applyNumberFormat="1" applyFont="1" applyFill="1"/>
    <xf numFmtId="3" fontId="2" fillId="2" borderId="1" xfId="0" applyNumberFormat="1" applyFont="1" applyFill="1" applyBorder="1" applyAlignment="1">
      <alignment horizontal="center" vertical="center" wrapText="1"/>
    </xf>
    <xf numFmtId="3" fontId="1" fillId="28" borderId="0" xfId="0" applyNumberFormat="1" applyFont="1" applyFill="1"/>
    <xf numFmtId="3" fontId="1" fillId="2" borderId="0" xfId="0" applyNumberFormat="1" applyFont="1" applyFill="1"/>
    <xf numFmtId="3" fontId="1" fillId="7" borderId="0" xfId="0" applyNumberFormat="1" applyFont="1" applyFill="1"/>
    <xf numFmtId="3" fontId="2" fillId="12" borderId="0" xfId="0" applyNumberFormat="1" applyFont="1" applyFill="1"/>
    <xf numFmtId="0" fontId="9" fillId="0" borderId="17" xfId="0" applyFont="1" applyBorder="1"/>
    <xf numFmtId="0" fontId="1" fillId="0" borderId="21" xfId="0" applyFont="1" applyBorder="1"/>
    <xf numFmtId="169" fontId="1" fillId="4" borderId="1" xfId="0" applyNumberFormat="1" applyFont="1" applyFill="1" applyBorder="1"/>
    <xf numFmtId="0" fontId="18" fillId="4" borderId="1" xfId="0" applyFont="1" applyFill="1" applyBorder="1" applyAlignment="1">
      <alignment wrapText="1"/>
    </xf>
    <xf numFmtId="2" fontId="18" fillId="0" borderId="0" xfId="0" applyNumberFormat="1" applyFont="1" applyAlignment="1">
      <alignment wrapText="1"/>
    </xf>
    <xf numFmtId="0" fontId="13" fillId="4" borderId="0" xfId="0" applyFont="1" applyFill="1"/>
    <xf numFmtId="0" fontId="2" fillId="2" borderId="0" xfId="0" applyFont="1" applyFill="1" applyAlignment="1">
      <alignment wrapText="1"/>
    </xf>
    <xf numFmtId="0" fontId="2" fillId="2" borderId="0" xfId="0" applyFont="1" applyFill="1" applyAlignment="1">
      <alignment horizontal="center" vertical="center" wrapText="1"/>
    </xf>
    <xf numFmtId="2" fontId="2" fillId="2" borderId="0" xfId="0" applyNumberFormat="1" applyFont="1" applyFill="1" applyAlignment="1">
      <alignment horizontal="center" vertical="center" wrapText="1"/>
    </xf>
    <xf numFmtId="2" fontId="2" fillId="2" borderId="0" xfId="0" applyNumberFormat="1" applyFont="1" applyFill="1" applyAlignment="1">
      <alignment wrapText="1"/>
    </xf>
    <xf numFmtId="15" fontId="1" fillId="0" borderId="0" xfId="0" applyNumberFormat="1" applyFont="1" applyAlignment="1">
      <alignment horizontal="center" vertical="center"/>
    </xf>
    <xf numFmtId="171" fontId="1" fillId="0" borderId="0" xfId="0" applyNumberFormat="1" applyFont="1" applyAlignment="1">
      <alignment horizontal="center" vertical="center"/>
    </xf>
    <xf numFmtId="0" fontId="13" fillId="0" borderId="0" xfId="0" quotePrefix="1" applyFont="1"/>
    <xf numFmtId="6" fontId="13" fillId="0" borderId="0" xfId="0" applyNumberFormat="1" applyFont="1"/>
    <xf numFmtId="4" fontId="13" fillId="2" borderId="0" xfId="0" applyNumberFormat="1" applyFont="1" applyFill="1"/>
    <xf numFmtId="6" fontId="13" fillId="2" borderId="0" xfId="0" applyNumberFormat="1" applyFont="1" applyFill="1"/>
    <xf numFmtId="1" fontId="13" fillId="0" borderId="0" xfId="0" quotePrefix="1" applyNumberFormat="1" applyFont="1"/>
    <xf numFmtId="0" fontId="12" fillId="4" borderId="1" xfId="0" applyFont="1" applyFill="1" applyBorder="1"/>
    <xf numFmtId="169" fontId="12" fillId="4" borderId="1" xfId="0" applyNumberFormat="1" applyFont="1" applyFill="1" applyBorder="1"/>
    <xf numFmtId="0" fontId="9" fillId="0" borderId="1" xfId="0" applyFont="1" applyBorder="1"/>
    <xf numFmtId="0" fontId="9" fillId="0" borderId="1" xfId="0" applyFont="1" applyBorder="1" applyAlignment="1">
      <alignment wrapText="1"/>
    </xf>
    <xf numFmtId="169" fontId="9" fillId="0" borderId="1" xfId="0" applyNumberFormat="1" applyFont="1" applyBorder="1"/>
    <xf numFmtId="169" fontId="9" fillId="0" borderId="1" xfId="0" applyNumberFormat="1" applyFont="1" applyBorder="1" applyAlignment="1">
      <alignment wrapText="1"/>
    </xf>
    <xf numFmtId="16" fontId="1" fillId="0" borderId="0" xfId="0" applyNumberFormat="1" applyFont="1" applyAlignment="1">
      <alignment horizontal="center" vertical="center"/>
    </xf>
    <xf numFmtId="169" fontId="9" fillId="4" borderId="1" xfId="0" applyNumberFormat="1" applyFont="1" applyFill="1" applyBorder="1" applyAlignment="1">
      <alignment wrapText="1"/>
    </xf>
    <xf numFmtId="1" fontId="13" fillId="2" borderId="0" xfId="0" applyNumberFormat="1" applyFont="1" applyFill="1"/>
    <xf numFmtId="0" fontId="1" fillId="4" borderId="21" xfId="0" applyFont="1" applyFill="1" applyBorder="1" applyAlignment="1">
      <alignment horizontal="center" wrapText="1"/>
    </xf>
    <xf numFmtId="0" fontId="14" fillId="2" borderId="1" xfId="0" applyFont="1" applyFill="1" applyBorder="1"/>
    <xf numFmtId="0" fontId="13" fillId="0" borderId="1" xfId="0" applyFont="1" applyBorder="1"/>
    <xf numFmtId="9" fontId="13" fillId="0" borderId="1" xfId="0" applyNumberFormat="1" applyFont="1" applyBorder="1"/>
    <xf numFmtId="0" fontId="13" fillId="0" borderId="33" xfId="0" applyFont="1" applyBorder="1"/>
    <xf numFmtId="0" fontId="14" fillId="0" borderId="34" xfId="0" applyFont="1" applyBorder="1"/>
    <xf numFmtId="0" fontId="13" fillId="7" borderId="1" xfId="0" applyFont="1" applyFill="1" applyBorder="1"/>
    <xf numFmtId="9" fontId="13" fillId="7" borderId="1" xfId="0" applyNumberFormat="1" applyFont="1" applyFill="1" applyBorder="1"/>
    <xf numFmtId="8" fontId="13" fillId="0" borderId="0" xfId="0" applyNumberFormat="1" applyFont="1"/>
    <xf numFmtId="0" fontId="13" fillId="0" borderId="36" xfId="0" applyFont="1" applyBorder="1"/>
    <xf numFmtId="0" fontId="13" fillId="0" borderId="37" xfId="0" applyFont="1" applyBorder="1"/>
    <xf numFmtId="0" fontId="13" fillId="0" borderId="38" xfId="0" applyFont="1" applyBorder="1"/>
    <xf numFmtId="0" fontId="13" fillId="0" borderId="39" xfId="0" applyFont="1" applyBorder="1"/>
    <xf numFmtId="0" fontId="13" fillId="0" borderId="17" xfId="0" applyFont="1" applyBorder="1"/>
    <xf numFmtId="0" fontId="13" fillId="0" borderId="40" xfId="0" applyFont="1" applyBorder="1"/>
    <xf numFmtId="0" fontId="13" fillId="0" borderId="41" xfId="0" applyFont="1" applyBorder="1"/>
    <xf numFmtId="0" fontId="13" fillId="0" borderId="42" xfId="0" applyFont="1" applyBorder="1"/>
    <xf numFmtId="0" fontId="13" fillId="0" borderId="30" xfId="0" applyFont="1" applyBorder="1"/>
    <xf numFmtId="0" fontId="13" fillId="7" borderId="30" xfId="0" applyFont="1" applyFill="1" applyBorder="1"/>
    <xf numFmtId="0" fontId="13" fillId="4" borderId="33" xfId="0" applyFont="1" applyFill="1" applyBorder="1"/>
    <xf numFmtId="0" fontId="14" fillId="0" borderId="1" xfId="0" applyFont="1" applyBorder="1"/>
    <xf numFmtId="0" fontId="14" fillId="7" borderId="1" xfId="0" applyFont="1" applyFill="1" applyBorder="1"/>
    <xf numFmtId="2" fontId="13" fillId="7" borderId="1" xfId="0" applyNumberFormat="1" applyFont="1" applyFill="1" applyBorder="1"/>
    <xf numFmtId="2" fontId="13" fillId="2" borderId="0" xfId="0" applyNumberFormat="1" applyFont="1" applyFill="1"/>
    <xf numFmtId="0" fontId="13" fillId="25" borderId="0" xfId="0" applyFont="1" applyFill="1"/>
    <xf numFmtId="2" fontId="13" fillId="25" borderId="0" xfId="0" applyNumberFormat="1" applyFont="1" applyFill="1"/>
    <xf numFmtId="0" fontId="21" fillId="0" borderId="0" xfId="0" applyFont="1"/>
    <xf numFmtId="2" fontId="21" fillId="0" borderId="0" xfId="0" applyNumberFormat="1" applyFont="1"/>
    <xf numFmtId="0" fontId="22" fillId="0" borderId="0" xfId="0" applyFont="1"/>
    <xf numFmtId="2" fontId="22" fillId="0" borderId="0" xfId="0" applyNumberFormat="1" applyFont="1"/>
    <xf numFmtId="169" fontId="1" fillId="4" borderId="1" xfId="0" applyNumberFormat="1" applyFont="1" applyFill="1" applyBorder="1" applyAlignment="1">
      <alignment wrapText="1"/>
    </xf>
    <xf numFmtId="6" fontId="1" fillId="0" borderId="0" xfId="0" applyNumberFormat="1" applyFont="1"/>
    <xf numFmtId="0" fontId="9" fillId="4" borderId="24" xfId="0" applyFont="1" applyFill="1" applyBorder="1"/>
    <xf numFmtId="6" fontId="1" fillId="0" borderId="0" xfId="0" applyNumberFormat="1" applyFont="1" applyAlignment="1">
      <alignment wrapText="1"/>
    </xf>
    <xf numFmtId="0" fontId="11" fillId="0" borderId="0" xfId="0" applyFont="1" applyAlignment="1">
      <alignment wrapText="1"/>
    </xf>
    <xf numFmtId="0" fontId="9" fillId="36" borderId="1" xfId="0" applyFont="1" applyFill="1" applyBorder="1" applyAlignment="1">
      <alignment wrapText="1"/>
    </xf>
    <xf numFmtId="169" fontId="9" fillId="36" borderId="1" xfId="0" applyNumberFormat="1" applyFont="1" applyFill="1" applyBorder="1"/>
    <xf numFmtId="169" fontId="18" fillId="0" borderId="1" xfId="0" applyNumberFormat="1" applyFont="1" applyBorder="1" applyAlignment="1">
      <alignment wrapText="1"/>
    </xf>
    <xf numFmtId="169" fontId="1" fillId="0" borderId="1" xfId="0" applyNumberFormat="1" applyFont="1" applyBorder="1" applyAlignment="1">
      <alignment wrapText="1"/>
    </xf>
    <xf numFmtId="169" fontId="18" fillId="4" borderId="1" xfId="0" applyNumberFormat="1" applyFont="1" applyFill="1" applyBorder="1" applyAlignment="1">
      <alignment wrapText="1"/>
    </xf>
    <xf numFmtId="169" fontId="12" fillId="4" borderId="1" xfId="0" applyNumberFormat="1" applyFont="1" applyFill="1" applyBorder="1" applyAlignment="1">
      <alignment wrapText="1"/>
    </xf>
    <xf numFmtId="169" fontId="9" fillId="36" borderId="1" xfId="0" applyNumberFormat="1" applyFont="1" applyFill="1" applyBorder="1" applyAlignment="1">
      <alignment wrapText="1"/>
    </xf>
    <xf numFmtId="0" fontId="27" fillId="37" borderId="43" xfId="2" applyNumberFormat="1" applyFont="1" applyFill="1" applyBorder="1" applyAlignment="1" applyProtection="1">
      <alignment horizontal="center" vertical="top"/>
    </xf>
    <xf numFmtId="0" fontId="27" fillId="37" borderId="43" xfId="2" applyNumberFormat="1" applyFont="1" applyFill="1" applyBorder="1" applyAlignment="1" applyProtection="1">
      <alignment horizontal="left" vertical="top"/>
    </xf>
    <xf numFmtId="0" fontId="28" fillId="38" borderId="43" xfId="2" applyNumberFormat="1" applyFont="1" applyFill="1" applyBorder="1" applyAlignment="1" applyProtection="1">
      <alignment horizontal="center" vertical="center"/>
    </xf>
    <xf numFmtId="0" fontId="28" fillId="38" borderId="43" xfId="2" applyNumberFormat="1" applyFont="1" applyFill="1" applyBorder="1" applyAlignment="1" applyProtection="1">
      <alignment horizontal="center" vertical="top"/>
    </xf>
    <xf numFmtId="0" fontId="28" fillId="38" borderId="43" xfId="2" applyNumberFormat="1" applyFont="1" applyFill="1" applyBorder="1" applyAlignment="1" applyProtection="1">
      <alignment horizontal="left" vertical="top"/>
    </xf>
    <xf numFmtId="164" fontId="27" fillId="37" borderId="43" xfId="1" applyFont="1" applyFill="1" applyBorder="1" applyAlignment="1" applyProtection="1">
      <alignment horizontal="right" vertical="top"/>
    </xf>
    <xf numFmtId="164" fontId="28" fillId="38" borderId="43" xfId="1" applyFont="1" applyFill="1" applyBorder="1" applyAlignment="1" applyProtection="1">
      <alignment horizontal="right" vertical="top"/>
    </xf>
    <xf numFmtId="164" fontId="13" fillId="0" borderId="0" xfId="1" applyFont="1" applyAlignment="1"/>
    <xf numFmtId="0" fontId="25" fillId="0" borderId="0" xfId="3" applyNumberFormat="1" applyFont="1" applyFill="1" applyBorder="1" applyAlignment="1" applyProtection="1">
      <alignment horizontal="left" vertical="top" wrapText="1"/>
    </xf>
    <xf numFmtId="0" fontId="28" fillId="0" borderId="0" xfId="3" applyNumberFormat="1" applyFont="1" applyFill="1" applyBorder="1" applyAlignment="1" applyProtection="1">
      <alignment horizontal="left" vertical="top" wrapText="1"/>
    </xf>
    <xf numFmtId="9" fontId="0" fillId="0" borderId="0" xfId="5" applyFont="1"/>
    <xf numFmtId="0" fontId="2" fillId="2" borderId="16" xfId="0" applyFont="1" applyFill="1" applyBorder="1" applyAlignment="1">
      <alignment wrapText="1"/>
    </xf>
    <xf numFmtId="0" fontId="1" fillId="0" borderId="37" xfId="0" applyFont="1" applyBorder="1"/>
    <xf numFmtId="0" fontId="1" fillId="0" borderId="48" xfId="0" applyFont="1" applyBorder="1"/>
    <xf numFmtId="0" fontId="1" fillId="0" borderId="38" xfId="0" applyFont="1" applyBorder="1"/>
    <xf numFmtId="0" fontId="1" fillId="0" borderId="39" xfId="0" applyFont="1" applyBorder="1"/>
    <xf numFmtId="0" fontId="1" fillId="0" borderId="50" xfId="0" applyFont="1" applyBorder="1"/>
    <xf numFmtId="0" fontId="1" fillId="0" borderId="16" xfId="0" applyFont="1" applyBorder="1"/>
    <xf numFmtId="0" fontId="1" fillId="0" borderId="41" xfId="0" applyFont="1" applyBorder="1"/>
    <xf numFmtId="0" fontId="1" fillId="0" borderId="42" xfId="0" applyFont="1" applyBorder="1"/>
    <xf numFmtId="0" fontId="1" fillId="0" borderId="40" xfId="0" applyFont="1" applyBorder="1"/>
    <xf numFmtId="0" fontId="1" fillId="8" borderId="41" xfId="0" applyFont="1" applyFill="1" applyBorder="1"/>
    <xf numFmtId="0" fontId="1" fillId="8" borderId="0" xfId="0" applyFont="1" applyFill="1"/>
    <xf numFmtId="0" fontId="1" fillId="8" borderId="49" xfId="0" applyFont="1" applyFill="1" applyBorder="1"/>
    <xf numFmtId="0" fontId="2" fillId="0" borderId="18" xfId="0" applyFont="1" applyBorder="1"/>
    <xf numFmtId="0" fontId="2" fillId="0" borderId="16" xfId="0" applyFont="1" applyBorder="1"/>
    <xf numFmtId="0" fontId="2" fillId="0" borderId="19" xfId="0" applyFont="1" applyBorder="1"/>
    <xf numFmtId="0" fontId="2" fillId="0" borderId="20" xfId="0" applyFont="1" applyBorder="1"/>
    <xf numFmtId="0" fontId="2" fillId="0" borderId="0" xfId="0" applyFont="1"/>
    <xf numFmtId="0" fontId="2" fillId="0" borderId="36" xfId="0" applyFont="1" applyBorder="1"/>
    <xf numFmtId="4" fontId="1" fillId="0" borderId="18" xfId="0" applyNumberFormat="1" applyFont="1" applyBorder="1"/>
    <xf numFmtId="4" fontId="1" fillId="0" borderId="19" xfId="0" applyNumberFormat="1" applyFont="1" applyBorder="1"/>
    <xf numFmtId="4" fontId="1" fillId="0" borderId="20" xfId="0" applyNumberFormat="1" applyFont="1" applyBorder="1"/>
    <xf numFmtId="2" fontId="1" fillId="0" borderId="51" xfId="0" applyNumberFormat="1" applyFont="1" applyBorder="1"/>
    <xf numFmtId="2" fontId="1" fillId="0" borderId="52" xfId="0" applyNumberFormat="1" applyFont="1" applyBorder="1"/>
    <xf numFmtId="2" fontId="1" fillId="0" borderId="53" xfId="0" applyNumberFormat="1" applyFont="1" applyBorder="1"/>
    <xf numFmtId="2" fontId="1" fillId="0" borderId="24" xfId="0" applyNumberFormat="1" applyFont="1" applyBorder="1"/>
    <xf numFmtId="2" fontId="1" fillId="0" borderId="54" xfId="0" applyNumberFormat="1" applyFont="1" applyBorder="1"/>
    <xf numFmtId="0" fontId="1" fillId="0" borderId="29" xfId="0" applyFont="1" applyBorder="1"/>
    <xf numFmtId="0" fontId="1" fillId="0" borderId="27" xfId="0" applyFont="1" applyBorder="1"/>
    <xf numFmtId="0" fontId="1" fillId="0" borderId="28" xfId="0" applyFont="1" applyBorder="1"/>
    <xf numFmtId="15" fontId="1" fillId="29" borderId="1" xfId="0" applyNumberFormat="1" applyFont="1" applyFill="1" applyBorder="1"/>
    <xf numFmtId="16" fontId="1" fillId="29" borderId="1" xfId="0" applyNumberFormat="1" applyFont="1" applyFill="1" applyBorder="1"/>
    <xf numFmtId="164" fontId="1" fillId="29" borderId="1" xfId="1" applyFont="1" applyFill="1" applyBorder="1"/>
    <xf numFmtId="0" fontId="1" fillId="29" borderId="1" xfId="0" applyFont="1" applyFill="1" applyBorder="1" applyAlignment="1">
      <alignment vertical="center" wrapText="1"/>
    </xf>
    <xf numFmtId="164" fontId="1" fillId="0" borderId="1" xfId="1" applyFont="1" applyFill="1" applyBorder="1"/>
    <xf numFmtId="0" fontId="9" fillId="0" borderId="24" xfId="0" applyFont="1" applyBorder="1"/>
    <xf numFmtId="0" fontId="1" fillId="30" borderId="0" xfId="0" applyFont="1" applyFill="1" applyAlignment="1">
      <alignment wrapText="1"/>
    </xf>
    <xf numFmtId="0" fontId="12" fillId="0" borderId="0" xfId="0" applyFont="1" applyAlignment="1">
      <alignment wrapText="1"/>
    </xf>
    <xf numFmtId="2" fontId="18" fillId="0" borderId="23" xfId="0" applyNumberFormat="1" applyFont="1" applyBorder="1" applyAlignment="1">
      <alignment wrapText="1"/>
    </xf>
    <xf numFmtId="2" fontId="1" fillId="0" borderId="23" xfId="0" applyNumberFormat="1" applyFont="1" applyBorder="1" applyAlignment="1">
      <alignment wrapText="1"/>
    </xf>
    <xf numFmtId="2" fontId="18" fillId="4" borderId="23" xfId="0" applyNumberFormat="1" applyFont="1" applyFill="1" applyBorder="1" applyAlignment="1">
      <alignment wrapText="1"/>
    </xf>
    <xf numFmtId="2" fontId="9" fillId="4" borderId="23" xfId="0" applyNumberFormat="1" applyFont="1" applyFill="1" applyBorder="1" applyAlignment="1">
      <alignment wrapText="1"/>
    </xf>
    <xf numFmtId="2" fontId="18" fillId="4" borderId="44" xfId="0" applyNumberFormat="1" applyFont="1" applyFill="1" applyBorder="1" applyAlignment="1">
      <alignment wrapText="1"/>
    </xf>
    <xf numFmtId="2" fontId="18" fillId="4" borderId="22" xfId="0" applyNumberFormat="1" applyFont="1" applyFill="1" applyBorder="1" applyAlignment="1">
      <alignment wrapText="1"/>
    </xf>
    <xf numFmtId="2" fontId="1" fillId="4" borderId="23" xfId="0" applyNumberFormat="1" applyFont="1" applyFill="1" applyBorder="1" applyAlignment="1">
      <alignment wrapText="1"/>
    </xf>
    <xf numFmtId="2" fontId="12" fillId="4" borderId="23" xfId="0" applyNumberFormat="1" applyFont="1" applyFill="1" applyBorder="1" applyAlignment="1">
      <alignment wrapText="1"/>
    </xf>
    <xf numFmtId="2" fontId="18" fillId="4" borderId="22" xfId="0" applyNumberFormat="1" applyFont="1" applyFill="1" applyBorder="1" applyAlignment="1">
      <alignment horizontal="center" vertical="center" wrapText="1"/>
    </xf>
    <xf numFmtId="2" fontId="9" fillId="0" borderId="23" xfId="0" applyNumberFormat="1" applyFont="1" applyBorder="1" applyAlignment="1">
      <alignment wrapText="1"/>
    </xf>
    <xf numFmtId="1" fontId="18" fillId="0" borderId="1" xfId="0" applyNumberFormat="1" applyFont="1" applyBorder="1" applyAlignment="1">
      <alignment horizontal="center" wrapText="1"/>
    </xf>
    <xf numFmtId="4" fontId="1" fillId="0" borderId="15" xfId="0" applyNumberFormat="1" applyFont="1" applyBorder="1"/>
    <xf numFmtId="0" fontId="1" fillId="0" borderId="15" xfId="0" applyFont="1" applyBorder="1"/>
    <xf numFmtId="0" fontId="1" fillId="11" borderId="0" xfId="0" applyFont="1" applyFill="1"/>
    <xf numFmtId="4" fontId="1" fillId="11" borderId="0" xfId="0" applyNumberFormat="1" applyFont="1" applyFill="1"/>
    <xf numFmtId="164" fontId="1" fillId="2" borderId="0" xfId="0" applyNumberFormat="1" applyFont="1" applyFill="1"/>
    <xf numFmtId="0" fontId="18" fillId="0" borderId="0" xfId="0" applyFont="1" applyAlignment="1">
      <alignment horizontal="center" vertical="center" wrapText="1"/>
    </xf>
    <xf numFmtId="0" fontId="18" fillId="20" borderId="0" xfId="0" applyFont="1" applyFill="1"/>
    <xf numFmtId="0" fontId="18" fillId="4" borderId="0" xfId="0" applyFont="1" applyFill="1"/>
    <xf numFmtId="0" fontId="23" fillId="0" borderId="0" xfId="0" applyFont="1"/>
    <xf numFmtId="0" fontId="12" fillId="4" borderId="0" xfId="0" applyFont="1" applyFill="1"/>
    <xf numFmtId="0" fontId="9" fillId="4" borderId="0" xfId="0" applyFont="1" applyFill="1"/>
    <xf numFmtId="0" fontId="1" fillId="4" borderId="0" xfId="0" applyFont="1" applyFill="1"/>
    <xf numFmtId="0" fontId="12" fillId="28" borderId="0" xfId="0" applyFont="1" applyFill="1"/>
    <xf numFmtId="0" fontId="9" fillId="36" borderId="0" xfId="0" applyFont="1" applyFill="1"/>
    <xf numFmtId="0" fontId="9" fillId="2" borderId="0" xfId="0" applyFont="1" applyFill="1"/>
    <xf numFmtId="0" fontId="9" fillId="0" borderId="0" xfId="0" applyFont="1" applyAlignment="1">
      <alignment wrapText="1"/>
    </xf>
    <xf numFmtId="164" fontId="13" fillId="0" borderId="0" xfId="1" applyFont="1"/>
    <xf numFmtId="164" fontId="13" fillId="0" borderId="1" xfId="1" applyFont="1" applyBorder="1"/>
    <xf numFmtId="0" fontId="13" fillId="0" borderId="21" xfId="0" applyFont="1" applyBorder="1"/>
    <xf numFmtId="164" fontId="13" fillId="0" borderId="21" xfId="1" applyFont="1" applyBorder="1"/>
    <xf numFmtId="0" fontId="13" fillId="0" borderId="31" xfId="0" applyFont="1" applyBorder="1"/>
    <xf numFmtId="0" fontId="13" fillId="0" borderId="64" xfId="0" applyFont="1" applyBorder="1"/>
    <xf numFmtId="164" fontId="13" fillId="0" borderId="32" xfId="1" applyFont="1" applyBorder="1"/>
    <xf numFmtId="164" fontId="13" fillId="0" borderId="30" xfId="1" applyFont="1" applyBorder="1"/>
    <xf numFmtId="164" fontId="13" fillId="0" borderId="20" xfId="1" applyFont="1" applyBorder="1"/>
    <xf numFmtId="164" fontId="13" fillId="0" borderId="16" xfId="1" applyFont="1" applyBorder="1"/>
    <xf numFmtId="172" fontId="13" fillId="0" borderId="0" xfId="0" applyNumberFormat="1" applyFont="1"/>
    <xf numFmtId="167" fontId="13" fillId="0" borderId="0" xfId="1" applyNumberFormat="1" applyFont="1"/>
    <xf numFmtId="0" fontId="14" fillId="0" borderId="31" xfId="0" applyFont="1" applyBorder="1"/>
    <xf numFmtId="0" fontId="14" fillId="0" borderId="64" xfId="0" applyFont="1" applyBorder="1"/>
    <xf numFmtId="0" fontId="14" fillId="0" borderId="32" xfId="0" applyFont="1" applyBorder="1"/>
    <xf numFmtId="172" fontId="14" fillId="2" borderId="0" xfId="0" applyNumberFormat="1" applyFont="1" applyFill="1"/>
    <xf numFmtId="0" fontId="13" fillId="2" borderId="42" xfId="0" applyFont="1" applyFill="1" applyBorder="1"/>
    <xf numFmtId="0" fontId="15" fillId="0" borderId="64" xfId="0" applyFont="1" applyBorder="1"/>
    <xf numFmtId="0" fontId="15" fillId="0" borderId="32" xfId="0" applyFont="1" applyBorder="1"/>
    <xf numFmtId="0" fontId="0" fillId="0" borderId="21" xfId="0" applyBorder="1"/>
    <xf numFmtId="0" fontId="0" fillId="0" borderId="1" xfId="0" applyBorder="1"/>
    <xf numFmtId="15" fontId="0" fillId="0" borderId="1" xfId="0" applyNumberFormat="1" applyBorder="1"/>
    <xf numFmtId="0" fontId="15" fillId="0" borderId="31" xfId="0" applyFont="1" applyBorder="1"/>
    <xf numFmtId="0" fontId="18" fillId="0" borderId="21" xfId="0" applyFont="1" applyBorder="1"/>
    <xf numFmtId="0" fontId="18" fillId="0" borderId="21" xfId="0" applyFont="1" applyBorder="1" applyAlignment="1">
      <alignment wrapText="1"/>
    </xf>
    <xf numFmtId="0" fontId="1" fillId="0" borderId="21" xfId="0" applyFont="1" applyBorder="1" applyAlignment="1">
      <alignment wrapText="1"/>
    </xf>
    <xf numFmtId="169" fontId="18" fillId="0" borderId="21" xfId="0" applyNumberFormat="1" applyFont="1" applyBorder="1" applyAlignment="1">
      <alignment wrapText="1"/>
    </xf>
    <xf numFmtId="169" fontId="18" fillId="0" borderId="21" xfId="0" applyNumberFormat="1" applyFont="1" applyBorder="1"/>
    <xf numFmtId="1" fontId="18" fillId="0" borderId="21" xfId="0" applyNumberFormat="1" applyFont="1" applyBorder="1" applyAlignment="1">
      <alignment horizontal="center" wrapText="1"/>
    </xf>
    <xf numFmtId="0" fontId="2" fillId="2" borderId="31"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2" fillId="2" borderId="65"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1" fillId="21" borderId="40" xfId="0" applyFont="1" applyFill="1" applyBorder="1" applyAlignment="1">
      <alignment wrapText="1"/>
    </xf>
    <xf numFmtId="0" fontId="1" fillId="21" borderId="41" xfId="0" applyFont="1" applyFill="1" applyBorder="1" applyAlignment="1">
      <alignment wrapText="1"/>
    </xf>
    <xf numFmtId="0" fontId="1" fillId="21" borderId="36" xfId="0" applyFont="1" applyFill="1" applyBorder="1"/>
    <xf numFmtId="0" fontId="1" fillId="21" borderId="37" xfId="0" applyFont="1" applyFill="1" applyBorder="1"/>
    <xf numFmtId="0" fontId="1" fillId="21" borderId="48" xfId="0" applyFont="1" applyFill="1" applyBorder="1"/>
    <xf numFmtId="0" fontId="1" fillId="21" borderId="38" xfId="0" applyFont="1" applyFill="1" applyBorder="1"/>
    <xf numFmtId="0" fontId="1" fillId="7" borderId="18" xfId="0" applyFont="1" applyFill="1" applyBorder="1"/>
    <xf numFmtId="0" fontId="1" fillId="0" borderId="0" xfId="0" quotePrefix="1" applyFont="1"/>
    <xf numFmtId="0" fontId="1" fillId="35" borderId="0" xfId="0" applyFont="1" applyFill="1"/>
    <xf numFmtId="4" fontId="2" fillId="0" borderId="0" xfId="0" applyNumberFormat="1" applyFont="1"/>
    <xf numFmtId="6" fontId="1" fillId="2" borderId="0" xfId="0" applyNumberFormat="1" applyFont="1" applyFill="1"/>
    <xf numFmtId="1" fontId="1" fillId="0" borderId="0" xfId="0" quotePrefix="1" applyNumberFormat="1" applyFont="1"/>
    <xf numFmtId="8" fontId="1" fillId="0" borderId="0" xfId="0" applyNumberFormat="1" applyFont="1"/>
    <xf numFmtId="0" fontId="1" fillId="0" borderId="44" xfId="0" applyFont="1" applyBorder="1"/>
    <xf numFmtId="0" fontId="1" fillId="0" borderId="45" xfId="0" applyFont="1" applyBorder="1"/>
    <xf numFmtId="0" fontId="1" fillId="0" borderId="46" xfId="0" applyFont="1" applyBorder="1"/>
    <xf numFmtId="0" fontId="1" fillId="0" borderId="47" xfId="0" applyFont="1" applyBorder="1"/>
    <xf numFmtId="0" fontId="1" fillId="0" borderId="22" xfId="0" applyFont="1" applyBorder="1"/>
    <xf numFmtId="0" fontId="1" fillId="0" borderId="25" xfId="0" applyFont="1" applyBorder="1"/>
    <xf numFmtId="0" fontId="2" fillId="27" borderId="18" xfId="0" applyFont="1" applyFill="1" applyBorder="1"/>
    <xf numFmtId="0" fontId="2" fillId="27" borderId="19" xfId="0" applyFont="1" applyFill="1" applyBorder="1"/>
    <xf numFmtId="0" fontId="2" fillId="27" borderId="20" xfId="0" applyFont="1" applyFill="1" applyBorder="1"/>
    <xf numFmtId="0" fontId="2" fillId="27" borderId="16" xfId="0" applyFont="1" applyFill="1" applyBorder="1"/>
    <xf numFmtId="0" fontId="1" fillId="12" borderId="0" xfId="0" applyFont="1" applyFill="1"/>
    <xf numFmtId="1" fontId="1" fillId="34" borderId="0" xfId="0" applyNumberFormat="1" applyFont="1" applyFill="1"/>
    <xf numFmtId="2" fontId="1" fillId="0" borderId="49" xfId="0" applyNumberFormat="1" applyFont="1" applyBorder="1"/>
    <xf numFmtId="0" fontId="1" fillId="0" borderId="49" xfId="0" applyFont="1" applyBorder="1"/>
    <xf numFmtId="2" fontId="1" fillId="0" borderId="50" xfId="0" applyNumberFormat="1" applyFont="1" applyBorder="1"/>
    <xf numFmtId="0" fontId="2" fillId="7" borderId="16" xfId="0" applyFont="1" applyFill="1" applyBorder="1"/>
    <xf numFmtId="0" fontId="2" fillId="7" borderId="19" xfId="0" applyFont="1" applyFill="1" applyBorder="1"/>
    <xf numFmtId="4" fontId="2" fillId="7" borderId="16" xfId="0" applyNumberFormat="1" applyFont="1" applyFill="1" applyBorder="1"/>
    <xf numFmtId="0" fontId="2" fillId="7" borderId="20" xfId="0" applyFont="1" applyFill="1" applyBorder="1"/>
    <xf numFmtId="169" fontId="9" fillId="4" borderId="30" xfId="0" applyNumberFormat="1" applyFont="1" applyFill="1" applyBorder="1"/>
    <xf numFmtId="2" fontId="9" fillId="4" borderId="44" xfId="0" applyNumberFormat="1" applyFont="1" applyFill="1" applyBorder="1" applyAlignment="1">
      <alignment wrapText="1"/>
    </xf>
    <xf numFmtId="1" fontId="18" fillId="0" borderId="30" xfId="0" applyNumberFormat="1" applyFont="1" applyBorder="1" applyAlignment="1">
      <alignment horizontal="center" wrapText="1"/>
    </xf>
    <xf numFmtId="2" fontId="18" fillId="2" borderId="37" xfId="0" applyNumberFormat="1" applyFont="1" applyFill="1" applyBorder="1" applyAlignment="1">
      <alignment wrapText="1"/>
    </xf>
    <xf numFmtId="168" fontId="18" fillId="2" borderId="66" xfId="0" applyNumberFormat="1" applyFont="1" applyFill="1" applyBorder="1" applyAlignment="1">
      <alignment horizontal="center" wrapText="1"/>
    </xf>
    <xf numFmtId="0" fontId="2" fillId="2" borderId="40" xfId="0" applyFont="1" applyFill="1" applyBorder="1"/>
    <xf numFmtId="0" fontId="2" fillId="2" borderId="42" xfId="0" applyFont="1" applyFill="1" applyBorder="1"/>
    <xf numFmtId="168" fontId="18" fillId="2" borderId="67" xfId="0" applyNumberFormat="1" applyFont="1" applyFill="1" applyBorder="1" applyAlignment="1">
      <alignment horizontal="center" wrapText="1"/>
    </xf>
    <xf numFmtId="0" fontId="18" fillId="2" borderId="68" xfId="0" applyFont="1" applyFill="1" applyBorder="1" applyAlignment="1">
      <alignment wrapText="1"/>
    </xf>
    <xf numFmtId="1" fontId="1" fillId="0" borderId="1" xfId="0" applyNumberFormat="1" applyFont="1" applyBorder="1" applyAlignment="1">
      <alignment horizontal="center" wrapText="1"/>
    </xf>
    <xf numFmtId="4" fontId="1" fillId="0" borderId="69" xfId="0" applyNumberFormat="1" applyFont="1" applyBorder="1"/>
    <xf numFmtId="4" fontId="1" fillId="0" borderId="14" xfId="0" applyNumberFormat="1" applyFont="1" applyBorder="1"/>
    <xf numFmtId="0" fontId="1" fillId="0" borderId="34" xfId="0" applyFont="1" applyBorder="1"/>
    <xf numFmtId="0" fontId="1" fillId="0" borderId="69" xfId="0" applyFont="1" applyBorder="1"/>
    <xf numFmtId="0" fontId="1" fillId="0" borderId="14" xfId="0" applyFont="1" applyBorder="1"/>
    <xf numFmtId="2" fontId="1" fillId="0" borderId="14" xfId="0" applyNumberFormat="1" applyFont="1" applyBorder="1"/>
    <xf numFmtId="0" fontId="1" fillId="21" borderId="18" xfId="0" applyFont="1" applyFill="1" applyBorder="1" applyAlignment="1">
      <alignment horizontal="right"/>
    </xf>
    <xf numFmtId="0" fontId="1" fillId="21" borderId="20" xfId="0" applyFont="1" applyFill="1" applyBorder="1" applyAlignment="1">
      <alignment horizontal="right"/>
    </xf>
    <xf numFmtId="0" fontId="17" fillId="0" borderId="18" xfId="0" applyFont="1" applyBorder="1" applyAlignment="1">
      <alignment horizontal="center" vertical="center"/>
    </xf>
    <xf numFmtId="0" fontId="17" fillId="0" borderId="20" xfId="0" applyFont="1" applyBorder="1" applyAlignment="1">
      <alignment horizontal="center" vertical="center"/>
    </xf>
    <xf numFmtId="2" fontId="9" fillId="4" borderId="44" xfId="0" applyNumberFormat="1" applyFont="1" applyFill="1" applyBorder="1" applyAlignment="1">
      <alignment horizontal="center" wrapText="1"/>
    </xf>
    <xf numFmtId="2" fontId="9" fillId="4" borderId="46" xfId="0" applyNumberFormat="1" applyFont="1" applyFill="1" applyBorder="1" applyAlignment="1">
      <alignment horizontal="center" wrapText="1"/>
    </xf>
    <xf numFmtId="2" fontId="9" fillId="4" borderId="22" xfId="0" applyNumberFormat="1" applyFont="1" applyFill="1" applyBorder="1" applyAlignment="1">
      <alignment horizontal="center" wrapText="1"/>
    </xf>
    <xf numFmtId="2" fontId="9" fillId="0" borderId="44" xfId="0" applyNumberFormat="1" applyFont="1" applyBorder="1" applyAlignment="1">
      <alignment horizontal="center" wrapText="1"/>
    </xf>
    <xf numFmtId="2" fontId="9" fillId="0" borderId="22" xfId="0" applyNumberFormat="1" applyFont="1" applyBorder="1" applyAlignment="1">
      <alignment horizontal="center" wrapText="1"/>
    </xf>
    <xf numFmtId="2" fontId="18" fillId="0" borderId="46" xfId="0" applyNumberFormat="1" applyFont="1" applyBorder="1" applyAlignment="1">
      <alignment horizontal="center" wrapText="1"/>
    </xf>
    <xf numFmtId="2" fontId="18" fillId="0" borderId="22" xfId="0" applyNumberFormat="1" applyFont="1" applyBorder="1" applyAlignment="1">
      <alignment horizontal="center" wrapText="1"/>
    </xf>
    <xf numFmtId="2" fontId="18" fillId="4" borderId="44" xfId="0" applyNumberFormat="1" applyFont="1" applyFill="1" applyBorder="1" applyAlignment="1">
      <alignment horizontal="center" wrapText="1"/>
    </xf>
    <xf numFmtId="2" fontId="18" fillId="4" borderId="22" xfId="0" applyNumberFormat="1" applyFont="1" applyFill="1" applyBorder="1" applyAlignment="1">
      <alignment horizontal="center" wrapText="1"/>
    </xf>
    <xf numFmtId="0" fontId="1" fillId="4" borderId="30" xfId="0" applyFont="1" applyFill="1" applyBorder="1" applyAlignment="1">
      <alignment horizontal="center" wrapText="1"/>
    </xf>
    <xf numFmtId="0" fontId="1" fillId="4" borderId="21" xfId="0" applyFont="1" applyFill="1" applyBorder="1" applyAlignment="1">
      <alignment horizontal="center" wrapText="1"/>
    </xf>
    <xf numFmtId="2" fontId="1" fillId="4" borderId="44" xfId="0" applyNumberFormat="1" applyFont="1" applyFill="1" applyBorder="1" applyAlignment="1">
      <alignment horizontal="center" vertical="center" wrapText="1"/>
    </xf>
    <xf numFmtId="2" fontId="1" fillId="4" borderId="46" xfId="0" applyNumberFormat="1" applyFont="1" applyFill="1" applyBorder="1" applyAlignment="1">
      <alignment horizontal="center" vertical="center" wrapText="1"/>
    </xf>
    <xf numFmtId="2" fontId="1" fillId="4" borderId="22" xfId="0" applyNumberFormat="1" applyFont="1" applyFill="1" applyBorder="1" applyAlignment="1">
      <alignment horizontal="center" vertical="center" wrapText="1"/>
    </xf>
    <xf numFmtId="0" fontId="1" fillId="4" borderId="14" xfId="0" applyFont="1" applyFill="1" applyBorder="1" applyAlignment="1">
      <alignment horizontal="center" wrapText="1"/>
    </xf>
    <xf numFmtId="2" fontId="9" fillId="4" borderId="44" xfId="0" applyNumberFormat="1" applyFont="1" applyFill="1" applyBorder="1" applyAlignment="1">
      <alignment horizontal="center" vertical="center" wrapText="1"/>
    </xf>
    <xf numFmtId="2" fontId="9" fillId="4" borderId="46" xfId="0" applyNumberFormat="1" applyFont="1" applyFill="1" applyBorder="1" applyAlignment="1">
      <alignment horizontal="center" vertical="center" wrapText="1"/>
    </xf>
    <xf numFmtId="2" fontId="9" fillId="4" borderId="22" xfId="0" applyNumberFormat="1" applyFont="1" applyFill="1" applyBorder="1" applyAlignment="1">
      <alignment horizontal="center" vertical="center" wrapText="1"/>
    </xf>
    <xf numFmtId="2" fontId="18" fillId="4" borderId="44" xfId="0" applyNumberFormat="1" applyFont="1" applyFill="1" applyBorder="1" applyAlignment="1">
      <alignment horizontal="center" vertical="center" wrapText="1"/>
    </xf>
    <xf numFmtId="2" fontId="18" fillId="4" borderId="46" xfId="0" applyNumberFormat="1" applyFont="1" applyFill="1" applyBorder="1" applyAlignment="1">
      <alignment horizontal="center" vertical="center" wrapText="1"/>
    </xf>
    <xf numFmtId="2" fontId="18" fillId="4" borderId="22" xfId="0" applyNumberFormat="1" applyFont="1" applyFill="1" applyBorder="1" applyAlignment="1">
      <alignment horizontal="center" vertical="center" wrapText="1"/>
    </xf>
    <xf numFmtId="169" fontId="9" fillId="4" borderId="30" xfId="0" applyNumberFormat="1" applyFont="1" applyFill="1" applyBorder="1" applyAlignment="1">
      <alignment horizontal="center" vertical="center" wrapText="1"/>
    </xf>
    <xf numFmtId="169" fontId="9" fillId="4" borderId="14" xfId="0" applyNumberFormat="1" applyFont="1" applyFill="1" applyBorder="1" applyAlignment="1">
      <alignment horizontal="center" vertical="center" wrapText="1"/>
    </xf>
    <xf numFmtId="169" fontId="9" fillId="4" borderId="21" xfId="0" applyNumberFormat="1" applyFont="1" applyFill="1" applyBorder="1" applyAlignment="1">
      <alignment horizontal="center" vertical="center" wrapText="1"/>
    </xf>
    <xf numFmtId="169" fontId="18" fillId="4" borderId="30" xfId="0" applyNumberFormat="1" applyFont="1" applyFill="1" applyBorder="1" applyAlignment="1">
      <alignment horizontal="center" vertical="center"/>
    </xf>
    <xf numFmtId="169" fontId="18" fillId="4" borderId="14" xfId="0" applyNumberFormat="1" applyFont="1" applyFill="1" applyBorder="1" applyAlignment="1">
      <alignment horizontal="center" vertical="center"/>
    </xf>
    <xf numFmtId="169" fontId="18" fillId="4" borderId="21" xfId="0" applyNumberFormat="1" applyFont="1" applyFill="1" applyBorder="1" applyAlignment="1">
      <alignment horizontal="center" vertical="center"/>
    </xf>
    <xf numFmtId="0" fontId="25" fillId="0" borderId="0" xfId="3" applyNumberFormat="1" applyFont="1" applyFill="1" applyBorder="1" applyAlignment="1" applyProtection="1">
      <alignment horizontal="left" vertical="top" wrapText="1"/>
    </xf>
    <xf numFmtId="0" fontId="9" fillId="0" borderId="0" xfId="3" applyNumberFormat="1" applyFont="1" applyFill="1" applyBorder="1" applyAlignment="1"/>
    <xf numFmtId="0" fontId="28" fillId="0" borderId="0" xfId="3" applyNumberFormat="1" applyFont="1" applyFill="1" applyBorder="1" applyAlignment="1" applyProtection="1">
      <alignment horizontal="left" vertical="top" wrapText="1"/>
    </xf>
    <xf numFmtId="0" fontId="27" fillId="0" borderId="0" xfId="3" applyNumberFormat="1" applyFont="1" applyFill="1" applyBorder="1" applyAlignment="1" applyProtection="1">
      <alignment horizontal="left" vertical="top" wrapText="1"/>
    </xf>
    <xf numFmtId="0" fontId="26" fillId="0" borderId="0" xfId="3" applyNumberFormat="1" applyFont="1" applyFill="1" applyBorder="1" applyAlignment="1" applyProtection="1">
      <alignment horizontal="left" vertical="top" wrapText="1"/>
    </xf>
    <xf numFmtId="0" fontId="14" fillId="2" borderId="35" xfId="0" applyFont="1" applyFill="1" applyBorder="1" applyAlignment="1">
      <alignment horizont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9" fillId="0" borderId="1" xfId="0" applyFont="1" applyFill="1" applyBorder="1"/>
    <xf numFmtId="1" fontId="9" fillId="0" borderId="1" xfId="0" applyNumberFormat="1" applyFont="1" applyBorder="1" applyAlignment="1">
      <alignment horizontal="center" wrapText="1"/>
    </xf>
    <xf numFmtId="0" fontId="9" fillId="0" borderId="1" xfId="0" applyFont="1" applyFill="1" applyBorder="1" applyAlignment="1">
      <alignment wrapText="1"/>
    </xf>
    <xf numFmtId="169" fontId="9" fillId="0" borderId="1" xfId="0" applyNumberFormat="1" applyFont="1" applyFill="1" applyBorder="1" applyAlignment="1">
      <alignment wrapText="1"/>
    </xf>
    <xf numFmtId="169" fontId="9" fillId="0" borderId="1" xfId="0" applyNumberFormat="1" applyFont="1" applyFill="1" applyBorder="1"/>
    <xf numFmtId="2" fontId="9" fillId="0" borderId="23" xfId="0" applyNumberFormat="1" applyFont="1" applyFill="1" applyBorder="1" applyAlignment="1">
      <alignment wrapText="1"/>
    </xf>
    <xf numFmtId="1" fontId="9" fillId="0" borderId="1" xfId="0" applyNumberFormat="1" applyFont="1" applyFill="1" applyBorder="1" applyAlignment="1">
      <alignment horizontal="center" wrapText="1"/>
    </xf>
    <xf numFmtId="0" fontId="18" fillId="0" borderId="1" xfId="0" applyFont="1" applyFill="1" applyBorder="1"/>
    <xf numFmtId="0" fontId="1" fillId="0" borderId="1" xfId="0" applyFont="1" applyFill="1" applyBorder="1"/>
    <xf numFmtId="0" fontId="18" fillId="0" borderId="1" xfId="0" applyFont="1" applyFill="1" applyBorder="1" applyAlignment="1">
      <alignment wrapText="1"/>
    </xf>
    <xf numFmtId="169" fontId="18" fillId="0" borderId="1" xfId="0" applyNumberFormat="1" applyFont="1" applyFill="1" applyBorder="1" applyAlignment="1">
      <alignment wrapText="1"/>
    </xf>
    <xf numFmtId="169" fontId="18" fillId="0" borderId="1" xfId="0" applyNumberFormat="1" applyFont="1" applyFill="1" applyBorder="1"/>
    <xf numFmtId="2" fontId="18" fillId="0" borderId="23" xfId="0" applyNumberFormat="1" applyFont="1" applyFill="1" applyBorder="1" applyAlignment="1">
      <alignment wrapText="1"/>
    </xf>
    <xf numFmtId="1" fontId="18" fillId="0" borderId="1" xfId="0" applyNumberFormat="1" applyFont="1" applyFill="1" applyBorder="1" applyAlignment="1">
      <alignment horizontal="center" wrapText="1"/>
    </xf>
    <xf numFmtId="169" fontId="12" fillId="0" borderId="1" xfId="0" applyNumberFormat="1" applyFont="1" applyFill="1" applyBorder="1" applyAlignment="1">
      <alignment wrapText="1"/>
    </xf>
    <xf numFmtId="0" fontId="12" fillId="0" borderId="1" xfId="0" applyFont="1" applyFill="1" applyBorder="1"/>
    <xf numFmtId="169" fontId="12" fillId="0" borderId="1" xfId="0" applyNumberFormat="1" applyFont="1" applyFill="1" applyBorder="1"/>
    <xf numFmtId="2" fontId="12" fillId="0" borderId="23" xfId="0" applyNumberFormat="1" applyFont="1" applyFill="1" applyBorder="1" applyAlignment="1">
      <alignment wrapText="1"/>
    </xf>
    <xf numFmtId="0" fontId="1" fillId="0" borderId="1" xfId="0" applyFont="1" applyFill="1" applyBorder="1" applyAlignment="1">
      <alignment wrapText="1"/>
    </xf>
    <xf numFmtId="169" fontId="47" fillId="4" borderId="1" xfId="0" applyNumberFormat="1" applyFont="1" applyFill="1" applyBorder="1" applyAlignment="1">
      <alignment wrapText="1"/>
    </xf>
    <xf numFmtId="0" fontId="1" fillId="21" borderId="0" xfId="0" applyFont="1" applyFill="1" applyBorder="1"/>
    <xf numFmtId="0" fontId="1" fillId="21" borderId="0" xfId="0" applyFont="1" applyFill="1" applyBorder="1" applyAlignment="1">
      <alignment wrapText="1"/>
    </xf>
    <xf numFmtId="0" fontId="1" fillId="21" borderId="49" xfId="0" applyFont="1" applyFill="1" applyBorder="1" applyAlignment="1">
      <alignment wrapText="1"/>
    </xf>
    <xf numFmtId="0" fontId="1" fillId="0" borderId="0" xfId="0" applyNumberFormat="1" applyFont="1" applyBorder="1"/>
    <xf numFmtId="0" fontId="1" fillId="0" borderId="49" xfId="0" applyNumberFormat="1" applyFont="1" applyBorder="1"/>
    <xf numFmtId="0" fontId="1" fillId="7" borderId="39" xfId="0" applyFont="1" applyFill="1" applyBorder="1"/>
    <xf numFmtId="0" fontId="1" fillId="0" borderId="40" xfId="0" applyNumberFormat="1" applyFont="1" applyBorder="1"/>
    <xf numFmtId="0" fontId="1" fillId="0" borderId="41" xfId="0" applyNumberFormat="1" applyFont="1" applyBorder="1"/>
    <xf numFmtId="0" fontId="1" fillId="7" borderId="19" xfId="0" applyNumberFormat="1" applyFont="1" applyFill="1" applyBorder="1"/>
    <xf numFmtId="0" fontId="1" fillId="7" borderId="16" xfId="0" applyNumberFormat="1" applyFont="1" applyFill="1" applyBorder="1"/>
    <xf numFmtId="0" fontId="1" fillId="21" borderId="48" xfId="0" applyFont="1" applyFill="1" applyBorder="1" applyAlignment="1">
      <alignment wrapText="1"/>
    </xf>
    <xf numFmtId="0" fontId="1" fillId="21" borderId="18" xfId="0" applyFont="1" applyFill="1" applyBorder="1"/>
    <xf numFmtId="0" fontId="1" fillId="21" borderId="20" xfId="0" applyFont="1" applyFill="1" applyBorder="1"/>
    <xf numFmtId="0" fontId="1" fillId="0" borderId="36" xfId="0" applyNumberFormat="1" applyFont="1" applyBorder="1"/>
    <xf numFmtId="0" fontId="1" fillId="0" borderId="38" xfId="0" applyNumberFormat="1" applyFont="1" applyBorder="1"/>
    <xf numFmtId="0" fontId="1" fillId="7" borderId="18" xfId="0" applyNumberFormat="1" applyFont="1" applyFill="1" applyBorder="1"/>
    <xf numFmtId="0" fontId="1" fillId="21" borderId="19" xfId="0" applyFont="1" applyFill="1" applyBorder="1"/>
    <xf numFmtId="0" fontId="1" fillId="0" borderId="37" xfId="0" applyNumberFormat="1" applyFont="1" applyBorder="1"/>
    <xf numFmtId="0" fontId="1" fillId="21" borderId="19" xfId="0" applyFont="1" applyFill="1" applyBorder="1" applyAlignment="1">
      <alignment horizontal="right"/>
    </xf>
    <xf numFmtId="0" fontId="1" fillId="0" borderId="51" xfId="0" applyFont="1" applyBorder="1" applyAlignment="1">
      <alignment wrapText="1"/>
    </xf>
    <xf numFmtId="0" fontId="2" fillId="2" borderId="69" xfId="0" applyFont="1" applyFill="1" applyBorder="1" applyAlignment="1">
      <alignment horizontal="center" vertical="center" wrapText="1"/>
    </xf>
    <xf numFmtId="1" fontId="1" fillId="7" borderId="18" xfId="0" applyNumberFormat="1" applyFont="1" applyFill="1" applyBorder="1"/>
    <xf numFmtId="1" fontId="1" fillId="7" borderId="16" xfId="0" applyNumberFormat="1" applyFont="1" applyFill="1" applyBorder="1"/>
    <xf numFmtId="0" fontId="1" fillId="0" borderId="48" xfId="0" applyNumberFormat="1" applyFont="1" applyBorder="1"/>
    <xf numFmtId="0" fontId="1" fillId="21" borderId="40" xfId="0" applyFont="1" applyFill="1" applyBorder="1"/>
    <xf numFmtId="1" fontId="1" fillId="0" borderId="40" xfId="0" applyNumberFormat="1" applyFont="1" applyBorder="1"/>
    <xf numFmtId="1" fontId="1" fillId="0" borderId="41" xfId="0" applyNumberFormat="1" applyFont="1" applyBorder="1"/>
    <xf numFmtId="0" fontId="1" fillId="21" borderId="42" xfId="0" applyFont="1" applyFill="1" applyBorder="1"/>
    <xf numFmtId="1" fontId="18" fillId="0" borderId="1" xfId="0" applyNumberFormat="1" applyFont="1" applyBorder="1" applyAlignment="1">
      <alignment horizontal="center"/>
    </xf>
    <xf numFmtId="1" fontId="18" fillId="0" borderId="0" xfId="0" applyNumberFormat="1" applyFont="1" applyAlignment="1">
      <alignment horizontal="center"/>
    </xf>
    <xf numFmtId="1" fontId="2" fillId="2" borderId="40" xfId="0" applyNumberFormat="1" applyFont="1" applyFill="1" applyBorder="1"/>
    <xf numFmtId="0" fontId="1" fillId="0" borderId="70" xfId="0" applyFont="1" applyBorder="1"/>
    <xf numFmtId="0" fontId="1" fillId="0" borderId="51" xfId="0" applyFont="1" applyBorder="1"/>
    <xf numFmtId="1" fontId="1" fillId="0" borderId="52" xfId="0" applyNumberFormat="1" applyFont="1" applyBorder="1"/>
    <xf numFmtId="0" fontId="1" fillId="0" borderId="71" xfId="0" applyFont="1" applyBorder="1"/>
    <xf numFmtId="1" fontId="1" fillId="0" borderId="72" xfId="0" applyNumberFormat="1" applyFont="1" applyBorder="1"/>
    <xf numFmtId="0" fontId="1" fillId="0" borderId="71" xfId="0" applyFont="1" applyBorder="1" applyAlignment="1">
      <alignment wrapText="1"/>
    </xf>
    <xf numFmtId="0" fontId="1" fillId="0" borderId="73" xfId="0" applyFont="1" applyBorder="1"/>
    <xf numFmtId="0" fontId="1" fillId="0" borderId="33" xfId="0" applyFont="1" applyBorder="1"/>
    <xf numFmtId="1" fontId="1" fillId="0" borderId="66" xfId="0" applyNumberFormat="1" applyFont="1" applyBorder="1"/>
    <xf numFmtId="1" fontId="48" fillId="30" borderId="29" xfId="0" applyNumberFormat="1" applyFont="1" applyFill="1" applyBorder="1"/>
    <xf numFmtId="9" fontId="48" fillId="30" borderId="28" xfId="0" applyNumberFormat="1" applyFont="1" applyFill="1" applyBorder="1"/>
  </cellXfs>
  <cellStyles count="48">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1" builtinId="3"/>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2" xr:uid="{B5989368-C8D5-47A5-8267-5107296D0D68}"/>
    <cellStyle name="Normal 3" xfId="3" xr:uid="{EEBE0277-3B7D-4281-BC8A-6B006A20D172}"/>
    <cellStyle name="Normal 4" xfId="4" xr:uid="{31A4D189-C380-4006-A86E-DBACF93DFA44}"/>
    <cellStyle name="Normal 5" xfId="47" xr:uid="{AB9BB7FE-B0AC-4435-9EE6-D919C885F31F}"/>
    <cellStyle name="Note" xfId="20" builtinId="10" customBuiltin="1"/>
    <cellStyle name="Output" xfId="15" builtinId="21" customBuiltin="1"/>
    <cellStyle name="Percent" xfId="5" builtinId="5"/>
    <cellStyle name="Title" xfId="6" builtinId="15" customBuiltin="1"/>
    <cellStyle name="Total" xfId="22" builtinId="25" customBuiltin="1"/>
    <cellStyle name="Warning Text" xfId="19" builtinId="11" customBuiltin="1"/>
  </cellStyles>
  <dxfs count="486">
    <dxf>
      <fill>
        <patternFill patternType="solid">
          <fgColor indexed="64"/>
          <bgColor theme="6" tint="0.39997558519241921"/>
        </patternFill>
      </fill>
      <alignment wrapText="1"/>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fgColor indexed="64"/>
          <bgColor rgb="FF92D050"/>
        </patternFill>
      </fill>
    </dxf>
    <dxf>
      <fill>
        <patternFill patternType="solid">
          <fgColor indexed="64"/>
          <bgColor rgb="FF92D050"/>
        </patternFill>
      </fill>
    </dxf>
    <dxf>
      <border>
        <left style="medium">
          <color indexed="64"/>
        </left>
        <right style="medium">
          <color indexed="64"/>
        </right>
        <top style="medium">
          <color indexed="64"/>
        </top>
      </border>
    </dxf>
    <dxf>
      <numFmt numFmtId="1" formatCode="0"/>
    </dxf>
    <dxf>
      <numFmt numFmtId="1" formatCode="0"/>
    </dxf>
    <dxf>
      <border>
        <left style="medium">
          <color indexed="64"/>
        </left>
        <top style="medium">
          <color indexed="64"/>
        </top>
      </border>
    </dxf>
    <dxf>
      <border>
        <left style="medium">
          <color indexed="64"/>
        </left>
        <top style="medium">
          <color indexed="64"/>
        </top>
        <bottom style="medium">
          <color indexed="64"/>
        </bottom>
      </border>
    </dxf>
    <dxf>
      <border>
        <right style="medium">
          <color indexed="64"/>
        </right>
      </border>
    </dxf>
    <dxf>
      <border>
        <left style="medium">
          <color indexed="64"/>
        </left>
        <right style="medium">
          <color indexed="64"/>
        </right>
      </border>
    </dxf>
    <dxf>
      <border>
        <left style="medium">
          <color indexed="64"/>
        </left>
      </border>
    </dxf>
    <dxf>
      <border>
        <left style="medium">
          <color indexed="64"/>
        </left>
        <right style="medium">
          <color indexed="64"/>
        </right>
        <top style="medium">
          <color indexed="64"/>
        </top>
      </border>
    </dxf>
    <dxf>
      <border>
        <left style="medium">
          <color indexed="64"/>
        </left>
      </border>
    </dxf>
    <dxf>
      <border>
        <bottom style="medium">
          <color indexed="64"/>
        </bottom>
      </border>
    </dxf>
    <dxf>
      <border>
        <top style="medium">
          <color indexed="64"/>
        </top>
        <bottom style="medium">
          <color indexed="64"/>
        </bottom>
      </border>
    </dxf>
    <dxf>
      <border>
        <top style="medium">
          <color indexed="64"/>
        </top>
        <bottom style="medium">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fgColor indexed="64"/>
          <bgColor rgb="FF92D050"/>
        </patternFill>
      </fill>
    </dxf>
    <dxf>
      <fill>
        <patternFill patternType="solid">
          <fgColor indexed="64"/>
          <bgColor rgb="FF92D050"/>
        </patternFill>
      </fill>
    </dxf>
    <dxf>
      <border>
        <left style="medium">
          <color indexed="64"/>
        </left>
        <right style="medium">
          <color indexed="64"/>
        </right>
        <top style="medium">
          <color indexed="64"/>
        </top>
      </border>
    </dxf>
    <dxf>
      <numFmt numFmtId="1" formatCode="0"/>
    </dxf>
    <dxf>
      <numFmt numFmtId="1" formatCode="0"/>
    </dxf>
    <dxf>
      <border>
        <left style="medium">
          <color indexed="64"/>
        </left>
        <top style="medium">
          <color indexed="64"/>
        </top>
      </border>
    </dxf>
    <dxf>
      <border>
        <left style="medium">
          <color indexed="64"/>
        </left>
        <top style="medium">
          <color indexed="64"/>
        </top>
        <bottom style="medium">
          <color indexed="64"/>
        </bottom>
      </border>
    </dxf>
    <dxf>
      <border>
        <right style="medium">
          <color indexed="64"/>
        </right>
      </border>
    </dxf>
    <dxf>
      <border>
        <left style="medium">
          <color indexed="64"/>
        </left>
        <right style="medium">
          <color indexed="64"/>
        </right>
      </border>
    </dxf>
    <dxf>
      <border>
        <left style="medium">
          <color indexed="64"/>
        </left>
      </border>
    </dxf>
    <dxf>
      <border>
        <left style="medium">
          <color indexed="64"/>
        </left>
        <right style="medium">
          <color indexed="64"/>
        </right>
        <top style="medium">
          <color indexed="64"/>
        </top>
      </border>
    </dxf>
    <dxf>
      <border>
        <left style="medium">
          <color indexed="64"/>
        </left>
      </border>
    </dxf>
    <dxf>
      <border>
        <bottom style="medium">
          <color indexed="64"/>
        </bottom>
      </border>
    </dxf>
    <dxf>
      <border>
        <top style="medium">
          <color indexed="64"/>
        </top>
        <bottom style="medium">
          <color indexed="64"/>
        </bottom>
      </border>
    </dxf>
    <dxf>
      <border>
        <top style="medium">
          <color indexed="64"/>
        </top>
        <bottom style="medium">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fgColor indexed="64"/>
          <bgColor rgb="FF92D050"/>
        </patternFill>
      </fill>
    </dxf>
    <dxf>
      <fill>
        <patternFill patternType="solid">
          <fgColor indexed="64"/>
          <bgColor rgb="FF92D050"/>
        </patternFill>
      </fill>
    </dxf>
    <dxf>
      <border>
        <left style="medium">
          <color indexed="64"/>
        </left>
        <right style="medium">
          <color indexed="64"/>
        </right>
        <top style="medium">
          <color indexed="64"/>
        </top>
      </border>
    </dxf>
    <dxf>
      <numFmt numFmtId="1" formatCode="0"/>
    </dxf>
    <dxf>
      <numFmt numFmtId="1" formatCode="0"/>
    </dxf>
    <dxf>
      <border>
        <left style="medium">
          <color indexed="64"/>
        </left>
        <top style="medium">
          <color indexed="64"/>
        </top>
      </border>
    </dxf>
    <dxf>
      <border>
        <left style="medium">
          <color indexed="64"/>
        </left>
        <top style="medium">
          <color indexed="64"/>
        </top>
        <bottom style="medium">
          <color indexed="64"/>
        </bottom>
      </border>
    </dxf>
    <dxf>
      <border>
        <right style="medium">
          <color indexed="64"/>
        </right>
      </border>
    </dxf>
    <dxf>
      <border>
        <left style="medium">
          <color indexed="64"/>
        </left>
        <right style="medium">
          <color indexed="64"/>
        </right>
      </border>
    </dxf>
    <dxf>
      <border>
        <left style="medium">
          <color indexed="64"/>
        </left>
      </border>
    </dxf>
    <dxf>
      <border>
        <left style="medium">
          <color indexed="64"/>
        </left>
        <right style="medium">
          <color indexed="64"/>
        </right>
        <top style="medium">
          <color indexed="64"/>
        </top>
      </border>
    </dxf>
    <dxf>
      <border>
        <left style="medium">
          <color indexed="64"/>
        </left>
      </border>
    </dxf>
    <dxf>
      <border>
        <bottom style="medium">
          <color indexed="64"/>
        </bottom>
      </border>
    </dxf>
    <dxf>
      <border>
        <top style="medium">
          <color indexed="64"/>
        </top>
        <bottom style="medium">
          <color indexed="64"/>
        </bottom>
      </border>
    </dxf>
    <dxf>
      <border>
        <top style="medium">
          <color indexed="64"/>
        </top>
        <bottom style="medium">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fgColor indexed="64"/>
          <bgColor rgb="FF92D050"/>
        </patternFill>
      </fill>
    </dxf>
    <dxf>
      <fill>
        <patternFill patternType="solid">
          <fgColor indexed="64"/>
          <bgColor rgb="FF92D050"/>
        </patternFill>
      </fill>
    </dxf>
    <dxf>
      <border>
        <left style="medium">
          <color indexed="64"/>
        </left>
        <right style="medium">
          <color indexed="64"/>
        </right>
        <top style="medium">
          <color indexed="64"/>
        </top>
      </border>
    </dxf>
    <dxf>
      <numFmt numFmtId="1" formatCode="0"/>
    </dxf>
    <dxf>
      <numFmt numFmtId="1" formatCode="0"/>
    </dxf>
    <dxf>
      <border>
        <left style="medium">
          <color indexed="64"/>
        </left>
        <top style="medium">
          <color indexed="64"/>
        </top>
      </border>
    </dxf>
    <dxf>
      <border>
        <left style="medium">
          <color indexed="64"/>
        </left>
        <top style="medium">
          <color indexed="64"/>
        </top>
        <bottom style="medium">
          <color indexed="64"/>
        </bottom>
      </border>
    </dxf>
    <dxf>
      <border>
        <right style="medium">
          <color indexed="64"/>
        </right>
      </border>
    </dxf>
    <dxf>
      <border>
        <left style="medium">
          <color indexed="64"/>
        </left>
        <right style="medium">
          <color indexed="64"/>
        </right>
      </border>
    </dxf>
    <dxf>
      <border>
        <left style="medium">
          <color indexed="64"/>
        </left>
      </border>
    </dxf>
    <dxf>
      <border>
        <left style="medium">
          <color indexed="64"/>
        </left>
        <right style="medium">
          <color indexed="64"/>
        </right>
        <top style="medium">
          <color indexed="64"/>
        </top>
      </border>
    </dxf>
    <dxf>
      <border>
        <left style="medium">
          <color indexed="64"/>
        </left>
      </border>
    </dxf>
    <dxf>
      <border>
        <bottom style="medium">
          <color indexed="64"/>
        </bottom>
      </border>
    </dxf>
    <dxf>
      <border>
        <top style="medium">
          <color indexed="64"/>
        </top>
        <bottom style="medium">
          <color indexed="64"/>
        </bottom>
      </border>
    </dxf>
    <dxf>
      <border>
        <top style="medium">
          <color indexed="64"/>
        </top>
        <bottom style="medium">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fgColor indexed="64"/>
          <bgColor rgb="FF92D050"/>
        </patternFill>
      </fill>
    </dxf>
    <dxf>
      <fill>
        <patternFill patternType="solid">
          <fgColor indexed="64"/>
          <bgColor rgb="FF92D050"/>
        </patternFill>
      </fill>
    </dxf>
    <dxf>
      <border>
        <left style="medium">
          <color indexed="64"/>
        </left>
        <right style="medium">
          <color indexed="64"/>
        </right>
        <top style="medium">
          <color indexed="64"/>
        </top>
      </border>
    </dxf>
    <dxf>
      <numFmt numFmtId="1" formatCode="0"/>
    </dxf>
    <dxf>
      <numFmt numFmtId="1" formatCode="0"/>
    </dxf>
    <dxf>
      <border>
        <left style="medium">
          <color indexed="64"/>
        </left>
        <top style="medium">
          <color indexed="64"/>
        </top>
      </border>
    </dxf>
    <dxf>
      <border>
        <left style="medium">
          <color indexed="64"/>
        </left>
        <top style="medium">
          <color indexed="64"/>
        </top>
        <bottom style="medium">
          <color indexed="64"/>
        </bottom>
      </border>
    </dxf>
    <dxf>
      <border>
        <right style="medium">
          <color indexed="64"/>
        </right>
      </border>
    </dxf>
    <dxf>
      <border>
        <left style="medium">
          <color indexed="64"/>
        </left>
        <right style="medium">
          <color indexed="64"/>
        </right>
      </border>
    </dxf>
    <dxf>
      <border>
        <left style="medium">
          <color indexed="64"/>
        </left>
      </border>
    </dxf>
    <dxf>
      <border>
        <left style="medium">
          <color indexed="64"/>
        </left>
        <right style="medium">
          <color indexed="64"/>
        </right>
        <top style="medium">
          <color indexed="64"/>
        </top>
      </border>
    </dxf>
    <dxf>
      <border>
        <left style="medium">
          <color indexed="64"/>
        </left>
      </border>
    </dxf>
    <dxf>
      <border>
        <bottom style="medium">
          <color indexed="64"/>
        </bottom>
      </border>
    </dxf>
    <dxf>
      <border>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fill>
        <patternFill patternType="solid">
          <fgColor indexed="64"/>
          <bgColor theme="6" tint="0.39997558519241921"/>
        </patternFill>
      </fill>
      <alignment wrapText="1"/>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border>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left style="medium">
          <color indexed="64"/>
        </left>
        <right style="medium">
          <color indexed="64"/>
        </right>
        <top style="medium">
          <color indexed="64"/>
        </top>
      </border>
    </dxf>
    <dxf>
      <border>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rgb="FF92D050"/>
        </patternFill>
      </fill>
    </dxf>
    <dxf>
      <alignment wrapText="1"/>
    </dxf>
    <dxf>
      <alignment wrapText="1"/>
    </dxf>
    <dxf>
      <alignment wrapText="1"/>
    </dxf>
    <dxf>
      <alignment wrapText="1"/>
    </dxf>
    <dxf>
      <alignment wrapText="1"/>
    </dxf>
    <dxf>
      <alignment wrapText="1"/>
    </dxf>
    <dxf>
      <alignment wrapText="1"/>
    </dxf>
    <dxf>
      <alignment wrapText="1"/>
    </dxf>
    <dxf>
      <alignment wrapText="1"/>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numFmt numFmtId="3" formatCode="#,##0"/>
    </dxf>
    <dxf>
      <fill>
        <patternFill patternType="solid">
          <bgColor rgb="FFFFFF00"/>
        </patternFill>
      </fill>
    </dxf>
    <dxf>
      <numFmt numFmtId="3" formatCode="#,##0"/>
    </dxf>
    <dxf>
      <font>
        <sz val="10"/>
      </font>
    </dxf>
    <dxf>
      <font>
        <name val="Arial"/>
        <scheme val="none"/>
      </font>
    </dxf>
    <dxf>
      <font>
        <sz val="10"/>
      </font>
    </dxf>
    <dxf>
      <font>
        <name val="Arial"/>
        <scheme val="none"/>
      </font>
    </dxf>
    <dxf>
      <alignment wrapText="1" readingOrder="0"/>
    </dxf>
    <dxf>
      <numFmt numFmtId="164" formatCode="_ * #,##0.00_ ;_ * \-#,##0.00_ ;_ * &quot;-&quot;??_ ;_ @_ "/>
    </dxf>
    <dxf>
      <font>
        <sz val="10"/>
      </font>
    </dxf>
    <dxf>
      <font>
        <name val="Arial"/>
        <scheme val="none"/>
      </font>
    </dxf>
    <dxf>
      <fill>
        <patternFill patternType="solid">
          <bgColor rgb="FFFFFF00"/>
        </patternFill>
      </fill>
    </dxf>
    <dxf>
      <font>
        <sz val="10"/>
      </font>
    </dxf>
    <dxf>
      <numFmt numFmtId="4" formatCode="#,##0.00"/>
    </dxf>
    <dxf>
      <fill>
        <patternFill patternType="solid">
          <bgColor rgb="FFFFFF00"/>
        </patternFill>
      </fill>
    </dxf>
    <dxf>
      <font>
        <name val="Arial"/>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bgColor theme="8" tint="0.79998168889431442"/>
        </patternFill>
      </fill>
    </dxf>
    <dxf>
      <fill>
        <patternFill patternType="solid">
          <bgColor rgb="FFFFFF00"/>
        </patternFill>
      </fill>
    </dxf>
    <dxf>
      <font>
        <sz val="10"/>
      </font>
    </dxf>
    <dxf>
      <font>
        <name val="Arial"/>
        <scheme val="none"/>
      </font>
    </dxf>
    <dxf>
      <numFmt numFmtId="4" formatCode="#,##0.00"/>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bgColor rgb="FFFFFF00"/>
        </patternFill>
      </fill>
    </dxf>
    <dxf>
      <font>
        <sz val="10"/>
      </font>
    </dxf>
    <dxf>
      <font>
        <name val="Arial"/>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name val="Arial"/>
        <scheme val="none"/>
      </font>
    </dxf>
    <dxf>
      <fill>
        <patternFill patternType="solid">
          <bgColor rgb="FFFFFF00"/>
        </patternFill>
      </fill>
    </dxf>
    <dxf>
      <numFmt numFmtId="164" formatCode="_ * #,##0.00_ ;_ * \-#,##0.00_ ;_ * &quot;-&quot;??_ ;_ @_ "/>
    </dxf>
    <dxf>
      <font>
        <sz val="10"/>
      </font>
    </dxf>
    <dxf>
      <font>
        <name val="Arial"/>
        <scheme val="none"/>
      </font>
    </dxf>
  </dxfs>
  <tableStyles count="0" defaultTableStyle="TableStyleMedium9" defaultPivotStyle="PivotStyleLight16"/>
  <colors>
    <mruColors>
      <color rgb="FF669900"/>
      <color rgb="FF00CC99"/>
      <color rgb="FFFF0066"/>
      <color rgb="FFFF66FF"/>
      <color rgb="FFFFCC66"/>
      <color rgb="FF996600"/>
      <color rgb="FF9933FF"/>
      <color rgb="FF666633"/>
      <color rgb="FF990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3.xml"/><Relationship Id="rId40" Type="http://schemas.openxmlformats.org/officeDocument/2006/relationships/pivotCacheDefinition" Target="pivotCache/pivotCacheDefinition6.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 Id="rId43"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2.030277546299" createdVersion="3" refreshedVersion="8" minRefreshableVersion="3" recordCount="82" xr:uid="{00000000-000A-0000-FFFF-FFFF00000000}">
  <cacheSource type="worksheet">
    <worksheetSource ref="A2:G84" sheet="GIFT Details"/>
  </cacheSource>
  <cacheFields count="7">
    <cacheField name="Date" numFmtId="15">
      <sharedItems containsSemiMixedTypes="0" containsNonDate="0" containsDate="1" containsString="0" minDate="2011-06-11T00:00:00" maxDate="2012-06-26T00:00:00"/>
    </cacheField>
    <cacheField name="Month" numFmtId="0">
      <sharedItems count="12">
        <s v="Jun"/>
        <s v="Jul"/>
        <s v="Aug"/>
        <s v="Sep"/>
        <s v="Oct"/>
        <s v="Nov"/>
        <s v="Dec"/>
        <s v="Jan"/>
        <s v="Feb"/>
        <s v="Mar"/>
        <s v="Apr"/>
        <s v="May"/>
      </sharedItems>
    </cacheField>
    <cacheField name="Year" numFmtId="0">
      <sharedItems containsSemiMixedTypes="0" containsString="0" containsNumber="1" containsInteger="1" minValue="2011" maxValue="2012" count="2">
        <n v="2011"/>
        <n v="2012"/>
      </sharedItems>
    </cacheField>
    <cacheField name="Exp" numFmtId="0">
      <sharedItems count="11">
        <s v="Medicine"/>
        <s v="Consult"/>
        <s v="Injection"/>
        <s v="Scan"/>
        <s v="SA"/>
        <s v="IUI"/>
        <s v="ULHS"/>
        <s v="UP test"/>
        <s v="IVF"/>
        <s v="FET"/>
        <s v="FET medicine"/>
      </sharedItems>
    </cacheField>
    <cacheField name="Type" numFmtId="0">
      <sharedItems containsBlank="1"/>
    </cacheField>
    <cacheField name="Amount" numFmtId="164">
      <sharedItems containsSemiMixedTypes="0" containsString="0" containsNumber="1" containsInteger="1" minValue="44" maxValue="180000"/>
    </cacheField>
    <cacheField name="Comment" numFmtId="0">
      <sharedItems containsBlank="1" containsMixedTypes="1" containsNumber="1" containsInteger="1" minValue="1"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2.030277777776" createdVersion="3" refreshedVersion="8" minRefreshableVersion="3" recordCount="162" xr:uid="{00000000-000A-0000-FFFF-FFFF01000000}">
  <cacheSource type="worksheet">
    <worksheetSource ref="A1:I163" sheet="Manipal Details"/>
  </cacheSource>
  <cacheFields count="9">
    <cacheField name="Date" numFmtId="15">
      <sharedItems containsSemiMixedTypes="0" containsNonDate="0" containsDate="1" containsString="0" minDate="2013-01-04T00:00:00" maxDate="2013-10-01T00:00:00"/>
    </cacheField>
    <cacheField name="Month" numFmtId="3">
      <sharedItems/>
    </cacheField>
    <cacheField name="Exp" numFmtId="0">
      <sharedItems count="23">
        <s v="Consult"/>
        <s v="Blood test"/>
        <s v="Medicine"/>
        <s v="Registration"/>
        <s v="SA"/>
        <s v="Scan"/>
        <s v="Procedure"/>
        <s v="IVF Registration"/>
        <s v="IVF Medicine"/>
        <s v="IVF Blood test"/>
        <s v="IVF TESA"/>
        <s v="IVF Egg retrieval"/>
        <s v="IVF Embryo transfer"/>
        <s v="IVFS Blood test"/>
        <s v="IVFS Medicine"/>
        <s v="IVFS Scan"/>
        <s v="Ectopic Pregnancy"/>
        <s v="IVF2 Registration"/>
        <s v="IVF2 Medicine"/>
        <s v="IVF2 Blood test"/>
        <s v="IVF2 Egg retrieval"/>
        <s v="IVF2 Embryoscope"/>
        <s v="IVF2 Embryo transfer"/>
      </sharedItems>
    </cacheField>
    <cacheField name="Type" numFmtId="0">
      <sharedItems/>
    </cacheField>
    <cacheField name="Payment type" numFmtId="0">
      <sharedItems/>
    </cacheField>
    <cacheField name="Amount" numFmtId="4">
      <sharedItems containsSemiMixedTypes="0" containsString="0" containsNumber="1" minValue="0" maxValue="115000"/>
    </cacheField>
    <cacheField name="Comment" numFmtId="0">
      <sharedItems containsBlank="1" count="75">
        <s v="Bina"/>
        <s v="Biochemistry"/>
        <s v="Cytolog 200 mcg tablet "/>
        <m/>
        <s v="DFI"/>
        <s v="Manju"/>
        <s v="Hysteroscopy"/>
        <s v="Hepatitis + HIV"/>
        <s v="Vasan"/>
        <s v="Primolut-N 5 mg tablet "/>
        <s v="Paternia tablet "/>
        <s v="Wysolone 5 mg disp tablet "/>
        <s v="Azithral 500 mg tablet "/>
        <s v="Metrogyl 400 mg tablet "/>
        <s v="Temp cryo freezing and DFI for a month"/>
        <s v="Progesterone"/>
        <s v="Maxoza-L sachet "/>
        <s v="Cyst aspiration"/>
        <s v="Novelon 5 mg "/>
        <s v="Gonal F 300 IU "/>
        <s v="Complete blood count"/>
        <s v="Ovurelix 0.25 mg "/>
        <s v="Syringe "/>
        <s v="Estradiol (package)"/>
        <s v="Persinal-HP 75 IU "/>
        <s v="Penegra 25 mg "/>
        <s v="Ovitrelle 250 mcg"/>
        <s v="Oframax 1 gm 6500 IU"/>
        <s v="Ciplox 500 mg tablet"/>
        <s v="Proxyon tablet"/>
        <s v="TESA"/>
        <s v="Tiniden 800 mg"/>
        <s v="Gestone 100 mg"/>
        <s v="Progynova 2 mg tablet"/>
        <s v="Dolo 650 mg"/>
        <s v="Susten 400 mg capsule"/>
        <s v="Fertigyn-HP 2000 IU"/>
        <s v="Duphaston 10 mg tablet"/>
        <s v="ASA 50 mg tablet"/>
        <s v="MCBM-69 tablet"/>
        <s v="Injection"/>
        <s v="Augmentin 625 mg"/>
        <s v="Voveran 100 mg"/>
        <s v="Beta HCG"/>
        <s v="Ultrasound"/>
        <s v="Scan detailed (TVS &amp; TAS)"/>
        <s v="Doppler and Ultrasound"/>
        <s v="Brufen 400 mg"/>
        <s v="Levoflox 750 mg"/>
        <s v="Random blood sugar"/>
        <s v="Haemoglobin"/>
        <s v="Migranil"/>
        <s v="Saradon"/>
        <s v="Admission charges"/>
        <s v="Bed charges"/>
        <s v="Luxury tax"/>
        <s v="Clinical Management Fee - Dr Gayathri"/>
        <s v="Clinical Management Fee - Dr Manjunath"/>
        <s v="Medical Equipment"/>
        <s v="Blood bank"/>
        <s v="Haematology"/>
        <s v="Histopathology"/>
        <s v="Procedures"/>
        <s v="Theatre charges"/>
        <s v="Surgeon fee"/>
        <s v="Anasthetists fee"/>
        <s v="Surgical support fees"/>
        <s v="Miscellaneous"/>
        <s v="Pharmacy drugs"/>
        <s v="Materials"/>
        <s v="OBG Follow up - Dr Gayathri"/>
        <s v="SA"/>
        <s v="Trulimax 500 mg"/>
        <s v="Recagon 300 IU"/>
        <s v="Embryoscope"/>
      </sharedItems>
    </cacheField>
    <cacheField name="Additional comment" numFmtId="0">
      <sharedItems containsBlank="1"/>
    </cacheField>
    <cacheField name="Medicine count" numFmtId="0">
      <sharedItems containsString="0" containsBlank="1" containsNumber="1" containsInteger="1" minValue="1" maxValue="12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2.030278124999" createdVersion="3" refreshedVersion="8" minRefreshableVersion="3" recordCount="164" xr:uid="{00000000-000A-0000-FFFF-FFFF02000000}">
  <cacheSource type="worksheet">
    <worksheetSource ref="A1:I172" sheet="Manipal Details"/>
  </cacheSource>
  <cacheFields count="9">
    <cacheField name="Date" numFmtId="15">
      <sharedItems containsNonDate="0" containsDate="1" containsString="0" containsBlank="1" minDate="2013-01-04T00:00:00" maxDate="2013-10-15T00:00:00"/>
    </cacheField>
    <cacheField name="Month" numFmtId="3">
      <sharedItems containsBlank="1" count="8">
        <s v="Jan"/>
        <s v="Feb"/>
        <s v="Mar"/>
        <s v="Apr"/>
        <s v="May"/>
        <s v="Sep"/>
        <s v="Oct"/>
        <m/>
      </sharedItems>
    </cacheField>
    <cacheField name="Exp" numFmtId="0">
      <sharedItems containsBlank="1" count="25">
        <s v="Consult"/>
        <s v="Blood test"/>
        <s v="Medicine"/>
        <s v="Registration"/>
        <s v="SA"/>
        <s v="Scan"/>
        <s v="Procedure"/>
        <s v="IVF Registration"/>
        <s v="IVF Medicine"/>
        <s v="IVF Blood test"/>
        <s v="IVF TESA"/>
        <s v="IVF Egg retrieval"/>
        <s v="IVF Embryo transfer"/>
        <s v="IVFS Blood test"/>
        <s v="IVFS Medicine"/>
        <s v="IVFS Scan"/>
        <s v="Ectopic Pregnancy"/>
        <s v="IVF2 Registration"/>
        <s v="IVF2 Medicine"/>
        <s v="IVF2 Blood test"/>
        <s v="IVF2 Egg retrieval"/>
        <s v="IVF2 Embryoscope"/>
        <s v="IVF2 Embryo transfer"/>
        <m/>
        <s v="IVF 8th floor deluxe" u="1"/>
      </sharedItems>
    </cacheField>
    <cacheField name="Type" numFmtId="0">
      <sharedItems containsBlank="1" count="3">
        <s v="Me"/>
        <s v="DH"/>
        <m/>
      </sharedItems>
    </cacheField>
    <cacheField name="Payment type" numFmtId="0">
      <sharedItems containsBlank="1"/>
    </cacheField>
    <cacheField name="Amount" numFmtId="4">
      <sharedItems containsString="0" containsBlank="1" containsNumber="1" minValue="0" maxValue="115000"/>
    </cacheField>
    <cacheField name="Comment" numFmtId="0">
      <sharedItems containsBlank="1" count="78">
        <s v="Bina"/>
        <s v="Biochemistry"/>
        <s v="Cytolog 200 mcg tablet "/>
        <m/>
        <s v="DFI"/>
        <s v="Manju"/>
        <s v="Hysteroscopy"/>
        <s v="Hepatitis + HIV"/>
        <s v="Vasan"/>
        <s v="Primolut-N 5 mg tablet "/>
        <s v="Paternia tablet "/>
        <s v="Wysolone 5 mg disp tablet "/>
        <s v="Azithral 500 mg tablet "/>
        <s v="Metrogyl 400 mg tablet "/>
        <s v="Temp cryo freezing and DFI for a month"/>
        <s v="Progesterone"/>
        <s v="Maxoza-L sachet "/>
        <s v="Cyst aspiration"/>
        <s v="Novelon 5 mg "/>
        <s v="Gonal F 300 IU "/>
        <s v="Complete blood count"/>
        <s v="Ovurelix 0.25 mg "/>
        <s v="Syringe "/>
        <s v="Estradiol (package)"/>
        <s v="Persinal-HP 75 IU "/>
        <s v="Penegra 25 mg "/>
        <s v="Ovitrelle 250 mcg"/>
        <s v="Oframax 1 gm 6500 IU"/>
        <s v="Ciplox 500 mg tablet"/>
        <s v="Proxyon tablet"/>
        <s v="TESA"/>
        <s v="Tiniden 800 mg"/>
        <s v="Gestone 100 mg"/>
        <s v="Progynova 2 mg tablet"/>
        <s v="Dolo 650 mg"/>
        <s v="Susten 400 mg capsule"/>
        <s v="Fertigyn-HP 2000 IU"/>
        <s v="Duphaston 10 mg tablet"/>
        <s v="ASA 50 mg tablet"/>
        <s v="MCBM-69 tablet"/>
        <s v="Injection"/>
        <s v="Augmentin 625 mg"/>
        <s v="Voveran 100 mg"/>
        <s v="Beta HCG"/>
        <s v="Ultrasound"/>
        <s v="Scan detailed (TVS &amp; TAS)"/>
        <s v="Doppler and Ultrasound"/>
        <s v="Brufen 400 mg"/>
        <s v="Levoflox 750 mg"/>
        <s v="Random blood sugar"/>
        <s v="Haemoglobin"/>
        <s v="Migranil"/>
        <s v="Saradon"/>
        <s v="Admission charges"/>
        <s v="Bed charges"/>
        <s v="Luxury tax"/>
        <s v="Clinical Management Fee - Dr Gayathri"/>
        <s v="Clinical Management Fee - Dr Manjunath"/>
        <s v="Medical Equipment"/>
        <s v="Blood bank"/>
        <s v="Haematology"/>
        <s v="Histopathology"/>
        <s v="Procedures"/>
        <s v="Theatre charges"/>
        <s v="Surgeon fee"/>
        <s v="Anasthetists fee"/>
        <s v="Surgical support fees"/>
        <s v="Miscellaneous"/>
        <s v="Pharmacy drugs"/>
        <s v="Materials"/>
        <s v="OBG Follow up - Dr Gayathri"/>
        <s v="SA"/>
        <s v="Trulimax 500 mg"/>
        <s v="Recagon 300 IU"/>
        <s v="Embryoscope"/>
        <s v="Part of package" u="1"/>
        <s v="Hepatitis" u="1"/>
        <s v="TESA procedure" u="1"/>
      </sharedItems>
    </cacheField>
    <cacheField name="Additional comment" numFmtId="0">
      <sharedItems containsBlank="1"/>
    </cacheField>
    <cacheField name="Medicine count" numFmtId="0">
      <sharedItems containsString="0" containsBlank="1" containsNumber="1" containsInteger="1" minValue="1" maxValue="12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2.030278703707" createdVersion="6" refreshedVersion="8" minRefreshableVersion="3" recordCount="459" xr:uid="{DEFFA7D8-CF88-4DA2-A8D8-8FB146A50F54}">
  <cacheSource type="worksheet">
    <worksheetSource ref="A1:I460" sheet="TOTAL"/>
  </cacheSource>
  <cacheFields count="9">
    <cacheField name="Source" numFmtId="0">
      <sharedItems containsBlank="1" count="5">
        <s v="GIFT"/>
        <s v="Manipal"/>
        <s v="TFC"/>
        <s v="TMC"/>
        <m/>
      </sharedItems>
    </cacheField>
    <cacheField name="Date" numFmtId="15">
      <sharedItems containsNonDate="0" containsDate="1" containsString="0" containsBlank="1" minDate="2011-06-11T00:00:00" maxDate="2019-10-15T00:00:00"/>
    </cacheField>
    <cacheField name="Month" numFmtId="0">
      <sharedItems containsBlank="1"/>
    </cacheField>
    <cacheField name="Year" numFmtId="0">
      <sharedItems containsString="0" containsBlank="1" containsNumber="1" containsInteger="1" minValue="2011" maxValue="2019" count="9">
        <n v="2011"/>
        <n v="2012"/>
        <n v="2013"/>
        <n v="2014"/>
        <n v="2015"/>
        <n v="2017"/>
        <n v="2018"/>
        <n v="2019"/>
        <m/>
      </sharedItems>
    </cacheField>
    <cacheField name="Exp" numFmtId="0">
      <sharedItems containsBlank="1" count="45">
        <s v="Medicine"/>
        <s v="Consult"/>
        <s v="Injection"/>
        <s v="Scan"/>
        <s v="SA"/>
        <s v="IUI"/>
        <s v="ULHS"/>
        <s v="UP test"/>
        <s v="IVF"/>
        <s v="FET"/>
        <s v="FET medicine"/>
        <s v="Blood test"/>
        <s v="Registration"/>
        <s v="Procedure"/>
        <s v="IVF Registration"/>
        <s v="IVF Medicine"/>
        <s v="IVF Blood test"/>
        <s v="IVF TESA"/>
        <s v="IVF Egg retrieval"/>
        <s v="IVF Embryo transfer"/>
        <s v="IVFS Blood test"/>
        <s v="IVFS Medicine"/>
        <s v="IVFS Scan"/>
        <s v="Ectopic Pregnancy"/>
        <s v="IVF2 Registration"/>
        <s v="IVF2 Medicine"/>
        <s v="IVF2 Blood test"/>
        <s v="IVF2 Egg retrieval"/>
        <s v="IVF2 Embryoscope"/>
        <s v="IVF2 Embryo transfer"/>
        <s v="Facility Fee"/>
        <s v="SA "/>
        <s v="GST @ 7%"/>
        <s v="Sperm storage"/>
        <s v="Sperm freezing"/>
        <s v="Embryo freezing"/>
        <s v="Routine test"/>
        <s v="Harmony"/>
        <s v="D&amp;C/ Hysteroscopy"/>
        <s v="D&amp;C/ Hysteroscopy - Loh fees"/>
        <s v="D&amp;C/ Hysteroscopy - Loo fees"/>
        <s v="THE O&amp;G SPECIALIST CLINICSINGAPORE "/>
        <s v="TMC - RETAIL PHARMACY SINGAPORE SG "/>
        <s v="THOMSON FERTILITY CENTRE SINGAPORE "/>
        <m/>
      </sharedItems>
    </cacheField>
    <cacheField name="Type" numFmtId="0">
      <sharedItems containsBlank="1"/>
    </cacheField>
    <cacheField name="Amount" numFmtId="0">
      <sharedItems containsString="0" containsBlank="1" containsNumber="1" minValue="-14880" maxValue="326400"/>
    </cacheField>
    <cacheField name="Comment" numFmtId="0">
      <sharedItems containsBlank="1" containsMixedTypes="1" containsNumber="1" minValue="0" maxValue="350.00000000000006"/>
    </cacheField>
    <cacheField name="Original Exp"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2.030279166669" createdVersion="6" refreshedVersion="8" minRefreshableVersion="3" recordCount="214" xr:uid="{00000000-000A-0000-FFFF-FFFF04000000}">
  <cacheSource type="worksheet">
    <worksheetSource ref="A1:L215" sheet="TFC Details"/>
  </cacheSource>
  <cacheFields count="12">
    <cacheField name="Place" numFmtId="0">
      <sharedItems containsBlank="1" count="3">
        <s v="TFC"/>
        <s v="TMC"/>
        <m/>
      </sharedItems>
    </cacheField>
    <cacheField name="Date" numFmtId="0">
      <sharedItems containsNonDate="0" containsDate="1" containsString="0" containsBlank="1" minDate="2014-05-23T00:00:00" maxDate="2019-10-15T00:00:00"/>
    </cacheField>
    <cacheField name="Year" numFmtId="1">
      <sharedItems containsString="0" containsBlank="1" containsNumber="1" containsInteger="1" minValue="2014" maxValue="2019" count="6">
        <n v="2014"/>
        <n v="2015"/>
        <n v="2017"/>
        <n v="2018"/>
        <n v="2019"/>
        <m/>
      </sharedItems>
    </cacheField>
    <cacheField name="Month" numFmtId="0">
      <sharedItems containsBlank="1"/>
    </cacheField>
    <cacheField name="Exp" numFmtId="0">
      <sharedItems containsBlank="1" count="24">
        <s v="Registration"/>
        <s v="Facility Fee"/>
        <s v="Consult"/>
        <s v="Blood test"/>
        <s v="SA "/>
        <s v="GST @ 7%"/>
        <s v="Medicine"/>
        <s v="Scan"/>
        <s v="IVF Medicine"/>
        <s v="Sperm storage"/>
        <s v="Sperm freezing"/>
        <s v="IVF Egg retrieval"/>
        <s v="IVF Embryo transfer"/>
        <s v="Embryo freezing"/>
        <s v="FET"/>
        <s v="Routine test"/>
        <s v="Harmony"/>
        <s v="D&amp;C/ Hysteroscopy"/>
        <s v="D&amp;C/ Hysteroscopy - Loh fees"/>
        <s v="D&amp;C/ Hysteroscopy - Loo fees"/>
        <s v="THE O&amp;G SPECIALIST CLINICSINGAPORE "/>
        <s v="TMC - RETAIL PHARMACY SINGAPORE SG "/>
        <s v="THOMSON FERTILITY CENTRE SINGAPORE "/>
        <m/>
      </sharedItems>
    </cacheField>
    <cacheField name="Type" numFmtId="0">
      <sharedItems containsBlank="1"/>
    </cacheField>
    <cacheField name="Payment type" numFmtId="0">
      <sharedItems containsBlank="1"/>
    </cacheField>
    <cacheField name="Amount" numFmtId="4">
      <sharedItems containsString="0" containsBlank="1" containsNumber="1" minValue="-310" maxValue="6800"/>
    </cacheField>
    <cacheField name="Comment" numFmtId="0">
      <sharedItems containsBlank="1" containsMixedTypes="1" containsNumber="1" minValue="350.00000000000006" maxValue="350.00000000000006"/>
    </cacheField>
    <cacheField name="Additional comment" numFmtId="0">
      <sharedItems containsBlank="1"/>
    </cacheField>
    <cacheField name="Medicine count" numFmtId="0">
      <sharedItems containsString="0" containsBlank="1" containsNumber="1" containsInteger="1" minValue="1" maxValue="120"/>
    </cacheField>
    <cacheField name="Amount in Rs" numFmtId="4">
      <sharedItems containsString="0" containsBlank="1" containsNumber="1" minValue="-14880" maxValue="32640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5.983941319442" createdVersion="8" refreshedVersion="8" minRefreshableVersion="3" recordCount="119" xr:uid="{3A664E23-7912-43E4-8AB4-EC7D36C395C0}">
  <cacheSource type="worksheet">
    <worksheetSource ref="A1:O159" sheet="Completed orders"/>
  </cacheSource>
  <cacheFields count="15">
    <cacheField name="Sl no" numFmtId="0">
      <sharedItems containsString="0" containsBlank="1" containsNumber="1" containsInteger="1" minValue="1" maxValue="111"/>
    </cacheField>
    <cacheField name="Status" numFmtId="0">
      <sharedItems containsBlank="1"/>
    </cacheField>
    <cacheField name="User" numFmtId="0">
      <sharedItems containsBlank="1" count="68">
        <s v="etaneja18"/>
        <s v="mostuff"/>
        <s v="pasjelsingapore"/>
        <s v="joycelyn.wong.10"/>
        <s v="srivithyiya"/>
        <s v="diva.design"/>
        <s v="jjuly3"/>
        <s v="Rafidah Osan Alkhatib"/>
        <s v="doublelle"/>
        <s v="Girija"/>
        <s v="sharonspp"/>
        <s v="mnm11315"/>
        <s v="connie.chew"/>
        <s v="throwoutfiftythings"/>
        <s v="lionsowner3"/>
        <s v="Ish.9788"/>
        <s v="bandband"/>
        <s v="skipperoo"/>
        <s v="monkeyjjj"/>
        <s v="ofjlpx"/>
        <s v="Nams "/>
        <s v="Raji Kujji"/>
        <s v="sl777"/>
        <s v="star147"/>
        <s v="fadilah.sfm"/>
        <s v="elim.closet"/>
        <s v="cheap_buys"/>
        <s v="smiles48 contact 9626 0048"/>
        <s v="some_cat"/>
        <s v="remaunty "/>
        <s v="Mini dentist"/>
        <s v="Meghu"/>
        <s v="natasharizke"/>
        <s v="Rajini"/>
        <s v="manisha beetstreet"/>
        <s v="hycheah"/>
        <s v="lovetoshop77"/>
        <s v="lucky65"/>
        <s v="shermainelng"/>
        <s v="shopatqoo"/>
        <s v="charmaine_loke"/>
        <s v="raffi88"/>
        <s v="y3n2ho"/>
        <s v="blumberry"/>
        <s v="sunflowerbeauty"/>
        <s v="lyfriz69"/>
        <s v="jonktm"/>
        <s v="shahirahtham"/>
        <s v="sukanyap"/>
        <s v="chua.co."/>
        <s v="cheryl102"/>
        <s v="Teacher Linda"/>
        <s v="mumantz"/>
        <s v="eleenliy"/>
        <s v="cxqvt."/>
        <s v="inezaa"/>
        <s v="active2015"/>
        <s v="yellowtag"/>
        <s v="rachtham"/>
        <s v="luckysonyjulietginger - NUH lab - Juliana"/>
        <s v="miclow8"/>
        <s v="sindiluvspooh"/>
        <s v="Madhu rhea retthi Changi Court"/>
        <s v="viyaa"/>
        <s v="ree07"/>
        <s v="raaymondmilex"/>
        <s v="lalalyla"/>
        <m/>
      </sharedItems>
    </cacheField>
    <cacheField name="Classification" numFmtId="0">
      <sharedItems containsBlank="1" count="15">
        <s v="Pouch"/>
        <s v="Appliance cover"/>
        <s v="Makeup roll"/>
        <s v="Crochet"/>
        <s v="Cutlery"/>
        <s v="Bag"/>
        <s v="Oven"/>
        <s v="CD player cover"/>
        <s v="Oven Mitt"/>
        <s v="Food"/>
        <s v="Chapathi Cover"/>
        <s v="Yoga mat cover"/>
        <s v="Apron"/>
        <s v="Passport holder"/>
        <m/>
      </sharedItems>
    </cacheField>
    <cacheField name="Item" numFmtId="0">
      <sharedItems containsBlank="1" count="44">
        <s v="Diaper Pouch"/>
        <s v="Phone Charger Pouch"/>
        <s v="Kitchenaid Artisan"/>
        <s v="Quilted Makeup Brush Roll"/>
        <s v="Owl Security Blanket Crochet"/>
        <s v="Fat Cat Crochet"/>
        <s v="Crochet Dress"/>
        <s v="2 sided zip pouch"/>
        <s v="Nescafe Dolce Gusto Piccolo XS"/>
        <s v="Cutlery Cover"/>
        <s v="Kenwood Premium Major KMM710"/>
        <s v="Kettle Cover"/>
        <s v="Kitchenaid Professional 7Qt"/>
        <s v="Kitchenaid Pro Plus"/>
        <s v="Everyday Tote (Bagstock)"/>
        <s v="Raji's Microwave Oven cover"/>
        <s v="Mayer Breadmaker Mmbm12"/>
        <s v="Philips HR7920/90 Stand Mixer"/>
        <s v="Kitchenaid Diamond Blender"/>
        <s v="Cd Player/ Base"/>
        <s v="Kitchenaid Artisan Mini"/>
        <s v="Double Oven Mitt"/>
        <s v="Brandt"/>
        <s v="Cookie Bars"/>
        <s v="Chapathi Cover"/>
        <s v="Yoga mat cover with lining"/>
        <s v="Privacy Pouch"/>
        <s v="Hanging Basket crochet"/>
        <s v="Kenwood KVL4100S"/>
        <s v="Kenwood Patissier KM270W"/>
        <s v="Yoga mat cover with lining &amp; zip"/>
        <s v="Yoga mat cover without lining/ with pocket &amp; main zip"/>
        <s v="Bosch Mixer"/>
        <s v="Kenwood XL sense (vinyl)"/>
        <s v="Kenwood XL sense (fabric)"/>
        <s v="Oven/ Microwave Cover"/>
        <s v="Kenwood Kmix"/>
        <s v="Brother A150 Sewing Machine"/>
        <s v="Thermomix cover"/>
        <s v="Rice Cooker"/>
        <s v="Reversible Apron"/>
        <s v="Beachcomber Pouch"/>
        <s v="Family Traveller Passport"/>
        <m/>
      </sharedItems>
    </cacheField>
    <cacheField name="Fabric color" numFmtId="0">
      <sharedItems containsBlank="1"/>
    </cacheField>
    <cacheField name="Details" numFmtId="0">
      <sharedItems containsBlank="1"/>
    </cacheField>
    <cacheField name="Amount paid in full" numFmtId="0">
      <sharedItems containsDate="1" containsBlank="1" containsMixedTypes="1" minDate="2016-05-26T00:00:00" maxDate="2020-12-30T00:00:00"/>
    </cacheField>
    <cacheField name="Advance/ pending" numFmtId="0">
      <sharedItems containsBlank="1"/>
    </cacheField>
    <cacheField name="Date ordered" numFmtId="0">
      <sharedItems containsNonDate="0" containsDate="1" containsString="0" containsBlank="1" minDate="2016-05-04T00:00:00" maxDate="2020-12-13T00:00:00"/>
    </cacheField>
    <cacheField name="Order Year" numFmtId="0">
      <sharedItems containsString="0" containsBlank="1" containsNumber="1" containsInteger="1" minValue="2016" maxValue="2020" count="6">
        <n v="2017"/>
        <n v="2016"/>
        <n v="2018"/>
        <n v="2019"/>
        <n v="2020"/>
        <m/>
      </sharedItems>
    </cacheField>
    <cacheField name="Order Month" numFmtId="0">
      <sharedItems containsString="0" containsBlank="1" containsNumber="1" containsInteger="1" minValue="1" maxValue="12"/>
    </cacheField>
    <cacheField name="Date sent" numFmtId="0">
      <sharedItems containsDate="1" containsBlank="1" containsMixedTypes="1" minDate="2016-05-26T00:00:00" maxDate="2021-01-06T00:00:00"/>
    </cacheField>
    <cacheField name="Postage" numFmtId="0">
      <sharedItems containsBlank="1" containsMixedTypes="1" containsNumber="1" minValue="1" maxValue="131.66"/>
    </cacheField>
    <cacheField name="Amount" numFmtId="0">
      <sharedItems containsString="0" containsBlank="1" containsNumber="1" containsInteger="1" minValue="3" maxValue="3489"/>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5.994743055555" createdVersion="8" refreshedVersion="8" minRefreshableVersion="3" recordCount="111" xr:uid="{3BA6286E-8B75-474F-A103-28787B3E6FDB}">
  <cacheSource type="worksheet">
    <worksheetSource ref="A1:P112" sheet="Completed orders"/>
  </cacheSource>
  <cacheFields count="16">
    <cacheField name="Sl no" numFmtId="0">
      <sharedItems containsSemiMixedTypes="0" containsString="0" containsNumber="1" containsInteger="1" minValue="1" maxValue="111"/>
    </cacheField>
    <cacheField name="Status" numFmtId="0">
      <sharedItems/>
    </cacheField>
    <cacheField name="User" numFmtId="0">
      <sharedItems/>
    </cacheField>
    <cacheField name="Classification" numFmtId="0">
      <sharedItems count="14">
        <s v="Pouch"/>
        <s v="Appliance cover"/>
        <s v="Makeup roll"/>
        <s v="Crochet"/>
        <s v="Cutlery"/>
        <s v="Bag"/>
        <s v="Oven"/>
        <s v="CD player cover"/>
        <s v="Oven Mitt"/>
        <s v="Food"/>
        <s v="Chapathi Cover"/>
        <s v="Yoga mat cover"/>
        <s v="Apron"/>
        <s v="Passport holder"/>
      </sharedItems>
    </cacheField>
    <cacheField name="Item" numFmtId="0">
      <sharedItems/>
    </cacheField>
    <cacheField name="Fabric color" numFmtId="0">
      <sharedItems containsBlank="1"/>
    </cacheField>
    <cacheField name="Details" numFmtId="0">
      <sharedItems containsBlank="1"/>
    </cacheField>
    <cacheField name="Amount paid in full" numFmtId="169">
      <sharedItems containsDate="1" containsBlank="1" containsMixedTypes="1" minDate="2016-05-26T00:00:00" maxDate="2020-12-30T00:00:00"/>
    </cacheField>
    <cacheField name="Advance/ pending" numFmtId="0">
      <sharedItems containsBlank="1"/>
    </cacheField>
    <cacheField name="Date ordered" numFmtId="169">
      <sharedItems containsNonDate="0" containsDate="1" containsString="0" containsBlank="1" minDate="2016-05-04T00:00:00" maxDate="2020-12-13T00:00:00"/>
    </cacheField>
    <cacheField name="Order Year" numFmtId="0">
      <sharedItems containsSemiMixedTypes="0" containsString="0" containsNumber="1" containsInteger="1" minValue="2016" maxValue="2020" count="5">
        <n v="2017"/>
        <n v="2016"/>
        <n v="2018"/>
        <n v="2019"/>
        <n v="2020"/>
      </sharedItems>
    </cacheField>
    <cacheField name="Order Month" numFmtId="0">
      <sharedItems containsString="0" containsBlank="1" containsNumber="1" containsInteger="1" minValue="1" maxValue="12"/>
    </cacheField>
    <cacheField name="Date sent" numFmtId="169">
      <sharedItems containsDate="1" containsBlank="1" containsMixedTypes="1" minDate="2016-05-26T00:00:00" maxDate="2021-01-06T00:00:00"/>
    </cacheField>
    <cacheField name="Postage" numFmtId="2">
      <sharedItems containsBlank="1" containsMixedTypes="1" containsNumber="1" minValue="1" maxValue="7"/>
    </cacheField>
    <cacheField name="Amount" numFmtId="1">
      <sharedItems containsSemiMixedTypes="0" containsString="0" containsNumber="1" containsInteger="1" minValue="3" maxValue="65"/>
    </cacheField>
    <cacheField name="Cost of items" numFmtId="1">
      <sharedItems containsSemiMixedTypes="0" containsString="0" containsNumber="1" minValue="4.1349206349206344" maxValue="51.571428571428569" count="41">
        <n v="4.8114285714285714"/>
        <n v="6.1989417989417985"/>
        <n v="28.578689167974883"/>
        <n v="21.172619047619047"/>
        <n v="24"/>
        <n v="8"/>
        <n v="20"/>
        <n v="11.32010582010582"/>
        <n v="21.140145502645503"/>
        <n v="18"/>
        <n v="34.04901738473167"/>
        <n v="39.873015873015873"/>
        <n v="19"/>
        <n v="43.011942554799695"/>
        <n v="31.649290982871491"/>
        <n v="35.437566137566137"/>
        <n v="29.501322751322753"/>
        <n v="37.251851851851853"/>
        <n v="28.904343804343803"/>
        <n v="7.0962962962962965"/>
        <n v="11.466286799620132"/>
        <n v="14.521950271950272"/>
        <n v="47.956613756613748"/>
        <n v="12.498789346246973"/>
        <n v="16.780423280423278"/>
        <n v="4.1349206349206344"/>
        <n v="48.570181405895688"/>
        <n v="35.440816326530609"/>
        <n v="28.731670445956158"/>
        <n v="23.300831443688587"/>
        <n v="32.130687830687833"/>
        <n v="19.346502703645562"/>
        <n v="40.193008314436881"/>
        <n v="51.571428571428569"/>
        <n v="34.656613756613758"/>
        <n v="40.328023431594858"/>
        <n v="35.635629251700678"/>
        <n v="41.18941798941799"/>
        <n v="18.550264550264551"/>
        <n v="10"/>
        <n v="19.13571428571428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d v="2011-06-11T00:00:00"/>
    <x v="0"/>
    <x v="0"/>
    <x v="0"/>
    <s v="Me"/>
    <n v="215"/>
    <m/>
  </r>
  <r>
    <d v="2011-07-31T00:00:00"/>
    <x v="1"/>
    <x v="0"/>
    <x v="1"/>
    <m/>
    <n v="500"/>
    <m/>
  </r>
  <r>
    <d v="2011-08-07T00:00:00"/>
    <x v="2"/>
    <x v="0"/>
    <x v="2"/>
    <m/>
    <n v="532"/>
    <s v="Pregnil 5000"/>
  </r>
  <r>
    <d v="2011-08-07T00:00:00"/>
    <x v="2"/>
    <x v="0"/>
    <x v="0"/>
    <m/>
    <n v="440"/>
    <m/>
  </r>
  <r>
    <d v="2011-08-13T00:00:00"/>
    <x v="2"/>
    <x v="0"/>
    <x v="2"/>
    <s v="Me"/>
    <n v="532"/>
    <s v="HCG"/>
  </r>
  <r>
    <d v="2011-08-23T00:00:00"/>
    <x v="2"/>
    <x v="0"/>
    <x v="3"/>
    <m/>
    <n v="250"/>
    <m/>
  </r>
  <r>
    <d v="2011-08-28T00:00:00"/>
    <x v="2"/>
    <x v="0"/>
    <x v="2"/>
    <m/>
    <n v="532"/>
    <s v="Pregnil 5000"/>
  </r>
  <r>
    <d v="2011-09-11T00:00:00"/>
    <x v="3"/>
    <x v="0"/>
    <x v="0"/>
    <m/>
    <n v="944"/>
    <m/>
  </r>
  <r>
    <d v="2011-09-11T00:00:00"/>
    <x v="3"/>
    <x v="0"/>
    <x v="1"/>
    <m/>
    <n v="300"/>
    <m/>
  </r>
  <r>
    <d v="2011-09-18T00:00:00"/>
    <x v="3"/>
    <x v="0"/>
    <x v="4"/>
    <s v="DH"/>
    <n v="360"/>
    <m/>
  </r>
  <r>
    <d v="2011-09-18T00:00:00"/>
    <x v="3"/>
    <x v="0"/>
    <x v="2"/>
    <m/>
    <n v="602"/>
    <s v="Koragon 5000"/>
  </r>
  <r>
    <d v="2011-09-22T00:00:00"/>
    <x v="3"/>
    <x v="0"/>
    <x v="5"/>
    <m/>
    <n v="8000"/>
    <s v="IUI"/>
  </r>
  <r>
    <d v="2011-09-22T00:00:00"/>
    <x v="3"/>
    <x v="0"/>
    <x v="6"/>
    <m/>
    <n v="100"/>
    <m/>
  </r>
  <r>
    <d v="2011-09-23T00:00:00"/>
    <x v="3"/>
    <x v="0"/>
    <x v="5"/>
    <m/>
    <n v="8000"/>
    <s v="IUI"/>
  </r>
  <r>
    <d v="2011-09-23T00:00:00"/>
    <x v="3"/>
    <x v="0"/>
    <x v="7"/>
    <m/>
    <n v="100"/>
    <n v="2"/>
  </r>
  <r>
    <d v="2011-09-23T00:00:00"/>
    <x v="3"/>
    <x v="0"/>
    <x v="0"/>
    <m/>
    <n v="285"/>
    <m/>
  </r>
  <r>
    <d v="2011-09-25T00:00:00"/>
    <x v="3"/>
    <x v="0"/>
    <x v="2"/>
    <s v="Me"/>
    <n v="602"/>
    <s v="Koragon 5000"/>
  </r>
  <r>
    <d v="2011-10-02T00:00:00"/>
    <x v="4"/>
    <x v="0"/>
    <x v="2"/>
    <m/>
    <n v="602"/>
    <s v="Koragon 5000"/>
  </r>
  <r>
    <d v="2011-10-02T00:00:00"/>
    <x v="4"/>
    <x v="0"/>
    <x v="0"/>
    <m/>
    <n v="1346"/>
    <m/>
  </r>
  <r>
    <d v="2011-10-10T00:00:00"/>
    <x v="4"/>
    <x v="0"/>
    <x v="2"/>
    <m/>
    <n v="602"/>
    <s v="Koragon 5000"/>
  </r>
  <r>
    <d v="2011-10-16T00:00:00"/>
    <x v="4"/>
    <x v="0"/>
    <x v="0"/>
    <m/>
    <n v="44"/>
    <m/>
  </r>
  <r>
    <d v="2011-10-16T00:00:00"/>
    <x v="4"/>
    <x v="0"/>
    <x v="2"/>
    <m/>
    <n v="602"/>
    <s v="Koragon 5000"/>
  </r>
  <r>
    <d v="2011-10-31T00:00:00"/>
    <x v="4"/>
    <x v="0"/>
    <x v="2"/>
    <m/>
    <n v="602"/>
    <s v="Koragon 5000"/>
  </r>
  <r>
    <d v="2011-10-31T00:00:00"/>
    <x v="4"/>
    <x v="0"/>
    <x v="0"/>
    <m/>
    <n v="825"/>
    <m/>
  </r>
  <r>
    <d v="2011-10-31T00:00:00"/>
    <x v="4"/>
    <x v="0"/>
    <x v="1"/>
    <m/>
    <n v="300"/>
    <m/>
  </r>
  <r>
    <d v="2011-11-09T00:00:00"/>
    <x v="5"/>
    <x v="0"/>
    <x v="2"/>
    <m/>
    <n v="602"/>
    <s v="Koragon 5000"/>
  </r>
  <r>
    <d v="2011-11-09T00:00:00"/>
    <x v="5"/>
    <x v="0"/>
    <x v="0"/>
    <m/>
    <n v="1346"/>
    <m/>
  </r>
  <r>
    <d v="2011-11-13T00:00:00"/>
    <x v="5"/>
    <x v="0"/>
    <x v="2"/>
    <m/>
    <n v="602"/>
    <s v="Koragon 5000"/>
  </r>
  <r>
    <d v="2011-11-13T00:00:00"/>
    <x v="5"/>
    <x v="0"/>
    <x v="0"/>
    <m/>
    <n v="225"/>
    <m/>
  </r>
  <r>
    <d v="2011-11-21T00:00:00"/>
    <x v="5"/>
    <x v="0"/>
    <x v="2"/>
    <m/>
    <n v="602"/>
    <s v="Koragon 5000"/>
  </r>
  <r>
    <d v="2011-12-12T00:00:00"/>
    <x v="6"/>
    <x v="0"/>
    <x v="2"/>
    <m/>
    <n v="602"/>
    <s v="Koragon 5000"/>
  </r>
  <r>
    <d v="2011-12-12T00:00:00"/>
    <x v="6"/>
    <x v="0"/>
    <x v="0"/>
    <m/>
    <n v="1094"/>
    <m/>
  </r>
  <r>
    <d v="2011-12-19T00:00:00"/>
    <x v="6"/>
    <x v="0"/>
    <x v="2"/>
    <m/>
    <n v="602"/>
    <s v="Koragon 5000"/>
  </r>
  <r>
    <d v="2011-12-24T00:00:00"/>
    <x v="6"/>
    <x v="0"/>
    <x v="3"/>
    <s v="Me"/>
    <n v="250"/>
    <m/>
  </r>
  <r>
    <d v="2011-12-28T00:00:00"/>
    <x v="6"/>
    <x v="0"/>
    <x v="2"/>
    <m/>
    <n v="475"/>
    <s v="HCG 5000"/>
  </r>
  <r>
    <d v="2012-01-02T00:00:00"/>
    <x v="7"/>
    <x v="1"/>
    <x v="2"/>
    <m/>
    <n v="602"/>
    <s v="Koragon 5000"/>
  </r>
  <r>
    <d v="2012-01-09T00:00:00"/>
    <x v="7"/>
    <x v="1"/>
    <x v="2"/>
    <m/>
    <n v="602"/>
    <s v="Koragon 5000"/>
  </r>
  <r>
    <d v="2012-01-16T00:00:00"/>
    <x v="7"/>
    <x v="1"/>
    <x v="2"/>
    <m/>
    <n v="602"/>
    <s v="Koragon 5000"/>
  </r>
  <r>
    <d v="2012-01-23T00:00:00"/>
    <x v="7"/>
    <x v="1"/>
    <x v="2"/>
    <m/>
    <n v="602"/>
    <s v="Koragon 5000"/>
  </r>
  <r>
    <d v="2012-01-23T00:00:00"/>
    <x v="7"/>
    <x v="1"/>
    <x v="0"/>
    <m/>
    <n v="975"/>
    <m/>
  </r>
  <r>
    <d v="2012-01-30T00:00:00"/>
    <x v="7"/>
    <x v="1"/>
    <x v="2"/>
    <m/>
    <n v="602"/>
    <s v="Koragon 5000"/>
  </r>
  <r>
    <d v="2012-02-06T00:00:00"/>
    <x v="8"/>
    <x v="1"/>
    <x v="2"/>
    <m/>
    <n v="602"/>
    <s v="Koragon 5000"/>
  </r>
  <r>
    <d v="2012-02-10T00:00:00"/>
    <x v="8"/>
    <x v="1"/>
    <x v="3"/>
    <m/>
    <n v="250"/>
    <m/>
  </r>
  <r>
    <d v="2012-02-11T00:00:00"/>
    <x v="8"/>
    <x v="1"/>
    <x v="5"/>
    <m/>
    <n v="5000"/>
    <s v="IUI"/>
  </r>
  <r>
    <d v="2012-02-11T00:00:00"/>
    <x v="8"/>
    <x v="1"/>
    <x v="3"/>
    <m/>
    <n v="250"/>
    <m/>
  </r>
  <r>
    <d v="2012-02-11T00:00:00"/>
    <x v="8"/>
    <x v="1"/>
    <x v="2"/>
    <m/>
    <n v="602"/>
    <s v="Koragon 5000"/>
  </r>
  <r>
    <d v="2012-02-12T00:00:00"/>
    <x v="8"/>
    <x v="1"/>
    <x v="2"/>
    <m/>
    <n v="602"/>
    <s v="Koragon 5000"/>
  </r>
  <r>
    <d v="2012-02-12T00:00:00"/>
    <x v="8"/>
    <x v="1"/>
    <x v="0"/>
    <m/>
    <n v="285"/>
    <m/>
  </r>
  <r>
    <d v="2012-02-12T00:00:00"/>
    <x v="8"/>
    <x v="1"/>
    <x v="7"/>
    <m/>
    <n v="55"/>
    <n v="1"/>
  </r>
  <r>
    <d v="2012-02-12T00:00:00"/>
    <x v="8"/>
    <x v="1"/>
    <x v="5"/>
    <m/>
    <n v="5000"/>
    <s v="IUI"/>
  </r>
  <r>
    <d v="2012-02-21T00:00:00"/>
    <x v="8"/>
    <x v="1"/>
    <x v="2"/>
    <m/>
    <n v="602"/>
    <s v="Koragon 5000"/>
  </r>
  <r>
    <d v="2012-02-28T00:00:00"/>
    <x v="8"/>
    <x v="1"/>
    <x v="2"/>
    <s v="Me"/>
    <n v="602"/>
    <s v="Koragon 5000"/>
  </r>
  <r>
    <d v="2012-03-03T00:00:00"/>
    <x v="9"/>
    <x v="1"/>
    <x v="0"/>
    <m/>
    <n v="1050"/>
    <m/>
  </r>
  <r>
    <d v="2012-03-06T00:00:00"/>
    <x v="9"/>
    <x v="1"/>
    <x v="2"/>
    <s v="Me"/>
    <n v="602"/>
    <s v="Koragon 5000"/>
  </r>
  <r>
    <d v="2012-03-12T00:00:00"/>
    <x v="9"/>
    <x v="1"/>
    <x v="2"/>
    <m/>
    <n v="602"/>
    <s v="Koragon 5000"/>
  </r>
  <r>
    <d v="2012-03-12T00:00:00"/>
    <x v="9"/>
    <x v="1"/>
    <x v="0"/>
    <m/>
    <n v="46"/>
    <m/>
  </r>
  <r>
    <d v="2012-03-13T00:00:00"/>
    <x v="9"/>
    <x v="1"/>
    <x v="3"/>
    <s v="Me"/>
    <n v="250"/>
    <m/>
  </r>
  <r>
    <d v="2012-03-13T00:00:00"/>
    <x v="9"/>
    <x v="1"/>
    <x v="2"/>
    <s v="Me"/>
    <n v="900"/>
    <s v="Sifasi 10000"/>
  </r>
  <r>
    <d v="2012-03-14T00:00:00"/>
    <x v="9"/>
    <x v="1"/>
    <x v="5"/>
    <s v="Me"/>
    <n v="5000"/>
    <s v="IUI"/>
  </r>
  <r>
    <d v="2012-03-15T00:00:00"/>
    <x v="9"/>
    <x v="1"/>
    <x v="5"/>
    <m/>
    <n v="5000"/>
    <s v="IUI"/>
  </r>
  <r>
    <d v="2012-03-15T00:00:00"/>
    <x v="9"/>
    <x v="1"/>
    <x v="0"/>
    <m/>
    <n v="287"/>
    <m/>
  </r>
  <r>
    <d v="2012-03-15T00:00:00"/>
    <x v="9"/>
    <x v="1"/>
    <x v="7"/>
    <s v="Me"/>
    <n v="110"/>
    <n v="2"/>
  </r>
  <r>
    <d v="2012-03-20T00:00:00"/>
    <x v="9"/>
    <x v="1"/>
    <x v="2"/>
    <m/>
    <n v="602"/>
    <s v="Koragon 5000"/>
  </r>
  <r>
    <d v="2012-03-26T00:00:00"/>
    <x v="9"/>
    <x v="1"/>
    <x v="2"/>
    <m/>
    <n v="602"/>
    <s v="Koragon 5000"/>
  </r>
  <r>
    <d v="2012-04-09T00:00:00"/>
    <x v="10"/>
    <x v="1"/>
    <x v="2"/>
    <s v="Me"/>
    <n v="602"/>
    <s v="Koragon 5000"/>
  </r>
  <r>
    <d v="2012-04-09T00:00:00"/>
    <x v="10"/>
    <x v="1"/>
    <x v="0"/>
    <s v="Me"/>
    <n v="1021"/>
    <m/>
  </r>
  <r>
    <d v="2012-04-13T00:00:00"/>
    <x v="10"/>
    <x v="1"/>
    <x v="2"/>
    <s v="Me"/>
    <n v="602"/>
    <s v="Koragon 5000"/>
  </r>
  <r>
    <d v="2012-04-13T00:00:00"/>
    <x v="10"/>
    <x v="1"/>
    <x v="3"/>
    <s v="Me"/>
    <n v="250"/>
    <m/>
  </r>
  <r>
    <d v="2012-04-15T00:00:00"/>
    <x v="10"/>
    <x v="1"/>
    <x v="5"/>
    <m/>
    <n v="5000"/>
    <s v="IUI"/>
  </r>
  <r>
    <d v="2012-04-16T00:00:00"/>
    <x v="10"/>
    <x v="1"/>
    <x v="2"/>
    <s v="Me"/>
    <n v="602"/>
    <s v="Koragon 5000"/>
  </r>
  <r>
    <d v="2012-04-30T00:00:00"/>
    <x v="10"/>
    <x v="1"/>
    <x v="2"/>
    <m/>
    <n v="602"/>
    <s v="Koragon 5000"/>
  </r>
  <r>
    <d v="2012-05-02T00:00:00"/>
    <x v="11"/>
    <x v="1"/>
    <x v="2"/>
    <s v="Me"/>
    <n v="910"/>
    <s v="Sifasi 10000"/>
  </r>
  <r>
    <d v="2012-05-07T00:00:00"/>
    <x v="11"/>
    <x v="1"/>
    <x v="3"/>
    <s v="Me"/>
    <n v="250"/>
    <m/>
  </r>
  <r>
    <d v="2012-05-07T00:00:00"/>
    <x v="11"/>
    <x v="1"/>
    <x v="0"/>
    <s v="Me"/>
    <n v="852"/>
    <m/>
  </r>
  <r>
    <d v="2012-05-18T00:00:00"/>
    <x v="11"/>
    <x v="1"/>
    <x v="0"/>
    <s v="Me"/>
    <n v="2820"/>
    <m/>
  </r>
  <r>
    <d v="2012-05-20T00:00:00"/>
    <x v="11"/>
    <x v="1"/>
    <x v="8"/>
    <s v="Me"/>
    <n v="180000"/>
    <s v="IVF"/>
  </r>
  <r>
    <d v="2012-05-27T00:00:00"/>
    <x v="11"/>
    <x v="1"/>
    <x v="2"/>
    <s v="Me"/>
    <n v="900"/>
    <s v="Sifasi 10000"/>
  </r>
  <r>
    <d v="2012-06-10T00:00:00"/>
    <x v="0"/>
    <x v="1"/>
    <x v="0"/>
    <s v="Me"/>
    <n v="523"/>
    <m/>
  </r>
  <r>
    <d v="2012-06-21T00:00:00"/>
    <x v="0"/>
    <x v="1"/>
    <x v="3"/>
    <s v="Me"/>
    <n v="250"/>
    <m/>
  </r>
  <r>
    <d v="2012-06-25T00:00:00"/>
    <x v="0"/>
    <x v="1"/>
    <x v="7"/>
    <s v="Me"/>
    <n v="110"/>
    <n v="2"/>
  </r>
  <r>
    <d v="2012-06-25T00:00:00"/>
    <x v="0"/>
    <x v="1"/>
    <x v="9"/>
    <s v="Me"/>
    <n v="5000"/>
    <s v="FET"/>
  </r>
  <r>
    <d v="2012-06-25T00:00:00"/>
    <x v="0"/>
    <x v="1"/>
    <x v="10"/>
    <s v="Me"/>
    <n v="249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
  <r>
    <d v="2013-01-04T00:00:00"/>
    <s v="Jan"/>
    <x v="0"/>
    <s v="Me"/>
    <s v="Card"/>
    <n v="400"/>
    <x v="0"/>
    <m/>
    <m/>
  </r>
  <r>
    <d v="2013-01-19T00:00:00"/>
    <s v="Jan"/>
    <x v="1"/>
    <s v="Me"/>
    <s v="Card"/>
    <n v="9170"/>
    <x v="1"/>
    <m/>
    <m/>
  </r>
  <r>
    <d v="2013-01-21T00:00:00"/>
    <s v="Jan"/>
    <x v="2"/>
    <s v="Me"/>
    <s v="Cash"/>
    <n v="35"/>
    <x v="2"/>
    <m/>
    <n v="2"/>
  </r>
  <r>
    <d v="2013-01-21T00:00:00"/>
    <s v="Jan"/>
    <x v="3"/>
    <s v="DH"/>
    <s v="Cash"/>
    <n v="100"/>
    <x v="3"/>
    <m/>
    <m/>
  </r>
  <r>
    <d v="2013-01-21T00:00:00"/>
    <s v="Jan"/>
    <x v="4"/>
    <s v="DH"/>
    <s v="Card"/>
    <n v="2660"/>
    <x v="4"/>
    <m/>
    <m/>
  </r>
  <r>
    <d v="2013-01-21T00:00:00"/>
    <s v="Jan"/>
    <x v="0"/>
    <s v="Me"/>
    <s v="Card"/>
    <n v="400"/>
    <x v="5"/>
    <m/>
    <m/>
  </r>
  <r>
    <d v="2013-01-21T00:00:00"/>
    <s v="Jan"/>
    <x v="5"/>
    <s v="Me"/>
    <s v="Card"/>
    <n v="790"/>
    <x v="3"/>
    <m/>
    <m/>
  </r>
  <r>
    <d v="2013-01-25T00:00:00"/>
    <s v="Jan"/>
    <x v="6"/>
    <s v="Me"/>
    <s v="Card"/>
    <n v="28403"/>
    <x v="6"/>
    <m/>
    <m/>
  </r>
  <r>
    <d v="2013-01-25T00:00:00"/>
    <s v="Jan"/>
    <x v="1"/>
    <s v="DH"/>
    <s v="Card"/>
    <n v="3410"/>
    <x v="7"/>
    <m/>
    <m/>
  </r>
  <r>
    <d v="2013-01-25T00:00:00"/>
    <s v="Jan"/>
    <x v="0"/>
    <s v="DH"/>
    <s v="Card"/>
    <n v="400"/>
    <x v="8"/>
    <m/>
    <m/>
  </r>
  <r>
    <d v="2013-02-01T00:00:00"/>
    <s v="Feb"/>
    <x v="2"/>
    <s v="Me"/>
    <s v="Cash"/>
    <n v="55"/>
    <x v="9"/>
    <m/>
    <n v="9"/>
  </r>
  <r>
    <d v="2013-02-01T00:00:00"/>
    <s v="Feb"/>
    <x v="2"/>
    <s v="DH"/>
    <s v="Card"/>
    <n v="400"/>
    <x v="10"/>
    <m/>
    <n v="20"/>
  </r>
  <r>
    <d v="2013-02-01T00:00:00"/>
    <s v="Feb"/>
    <x v="2"/>
    <s v="DH"/>
    <s v="Card"/>
    <n v="6"/>
    <x v="11"/>
    <m/>
    <n v="10"/>
  </r>
  <r>
    <d v="2013-02-15T00:00:00"/>
    <s v="Feb"/>
    <x v="2"/>
    <s v="Me"/>
    <s v="Cash"/>
    <n v="63"/>
    <x v="12"/>
    <m/>
    <n v="2"/>
  </r>
  <r>
    <d v="2013-02-15T00:00:00"/>
    <s v="Feb"/>
    <x v="2"/>
    <s v="Me"/>
    <s v="Cash"/>
    <n v="7"/>
    <x v="13"/>
    <m/>
    <n v="10"/>
  </r>
  <r>
    <d v="2013-02-15T00:00:00"/>
    <s v="Feb"/>
    <x v="7"/>
    <s v="DH"/>
    <s v="Card"/>
    <n v="115000"/>
    <x v="3"/>
    <m/>
    <m/>
  </r>
  <r>
    <d v="2013-02-23T00:00:00"/>
    <s v="Feb"/>
    <x v="4"/>
    <s v="DH"/>
    <s v="Card"/>
    <n v="3300"/>
    <x v="14"/>
    <m/>
    <m/>
  </r>
  <r>
    <d v="2013-02-24T00:00:00"/>
    <s v="Feb"/>
    <x v="1"/>
    <s v="Me"/>
    <s v="Card"/>
    <n v="650"/>
    <x v="15"/>
    <m/>
    <m/>
  </r>
  <r>
    <d v="2013-02-25T00:00:00"/>
    <s v="Feb"/>
    <x v="0"/>
    <s v="DH"/>
    <s v="Card"/>
    <n v="400"/>
    <x v="8"/>
    <m/>
    <m/>
  </r>
  <r>
    <d v="2013-02-25T00:00:00"/>
    <s v="Feb"/>
    <x v="2"/>
    <s v="DH"/>
    <s v="Card"/>
    <n v="3"/>
    <x v="11"/>
    <m/>
    <n v="5"/>
  </r>
  <r>
    <d v="2013-02-25T00:00:00"/>
    <s v="Feb"/>
    <x v="2"/>
    <s v="DH"/>
    <s v="Card"/>
    <n v="400"/>
    <x v="10"/>
    <m/>
    <n v="20"/>
  </r>
  <r>
    <d v="2013-02-25T00:00:00"/>
    <s v="Feb"/>
    <x v="2"/>
    <s v="DH"/>
    <s v="Card"/>
    <n v="382"/>
    <x v="16"/>
    <m/>
    <n v="10"/>
  </r>
  <r>
    <d v="2013-02-26T00:00:00"/>
    <s v="Feb"/>
    <x v="6"/>
    <s v="Me"/>
    <s v="Card"/>
    <n v="9066"/>
    <x v="17"/>
    <m/>
    <m/>
  </r>
  <r>
    <d v="2013-02-26T00:00:00"/>
    <s v="Feb"/>
    <x v="2"/>
    <s v="Me"/>
    <s v="Card"/>
    <n v="130"/>
    <x v="18"/>
    <m/>
    <n v="21"/>
  </r>
  <r>
    <d v="2013-03-06T00:00:00"/>
    <s v="Mar"/>
    <x v="2"/>
    <s v="DH"/>
    <s v="Card"/>
    <n v="400"/>
    <x v="10"/>
    <s v="From Medicine House"/>
    <n v="20"/>
  </r>
  <r>
    <d v="2013-03-06T00:00:00"/>
    <s v="Mar"/>
    <x v="2"/>
    <s v="DH"/>
    <s v="Card"/>
    <n v="764"/>
    <x v="16"/>
    <s v="From Medicine House"/>
    <n v="20"/>
  </r>
  <r>
    <d v="2013-03-22T00:00:00"/>
    <s v="Mar"/>
    <x v="2"/>
    <s v="DH"/>
    <s v="Card"/>
    <n v="1148"/>
    <x v="16"/>
    <s v="From Fame Balaji"/>
    <n v="30"/>
  </r>
  <r>
    <d v="2013-03-22T00:00:00"/>
    <s v="Mar"/>
    <x v="2"/>
    <s v="DH"/>
    <s v="Card"/>
    <n v="1200"/>
    <x v="10"/>
    <s v="From Fame Balaji"/>
    <n v="60"/>
  </r>
  <r>
    <d v="2013-03-22T00:00:00"/>
    <s v="Mar"/>
    <x v="2"/>
    <s v="DH"/>
    <s v="Card"/>
    <n v="9"/>
    <x v="11"/>
    <s v="From Fame Balaji"/>
    <n v="15"/>
  </r>
  <r>
    <d v="2013-03-26T00:00:00"/>
    <s v="Mar"/>
    <x v="8"/>
    <s v="Me"/>
    <s v="Card"/>
    <n v="32080"/>
    <x v="19"/>
    <s v="Injection 225 daily"/>
    <n v="4"/>
  </r>
  <r>
    <d v="2013-03-30T00:00:00"/>
    <s v="Mar"/>
    <x v="1"/>
    <s v="DH"/>
    <s v="Card"/>
    <n v="370"/>
    <x v="20"/>
    <s v="Part of pre anaestesia check"/>
    <m/>
  </r>
  <r>
    <d v="2013-03-31T00:00:00"/>
    <s v="Mar"/>
    <x v="8"/>
    <s v="Me"/>
    <s v="Card"/>
    <n v="8020"/>
    <x v="19"/>
    <m/>
    <n v="1"/>
  </r>
  <r>
    <d v="2013-03-31T00:00:00"/>
    <s v="Mar"/>
    <x v="8"/>
    <s v="Me"/>
    <s v="Card"/>
    <n v="2040"/>
    <x v="21"/>
    <m/>
    <n v="2"/>
  </r>
  <r>
    <d v="2013-03-31T00:00:00"/>
    <s v="Mar"/>
    <x v="8"/>
    <s v="Me"/>
    <s v="Card"/>
    <n v="15"/>
    <x v="22"/>
    <m/>
    <n v="2"/>
  </r>
  <r>
    <d v="2013-04-01T00:00:00"/>
    <s v="Apr"/>
    <x v="9"/>
    <s v="Me"/>
    <s v="Card"/>
    <n v="0"/>
    <x v="23"/>
    <m/>
    <m/>
  </r>
  <r>
    <d v="2013-04-01T00:00:00"/>
    <s v="Apr"/>
    <x v="9"/>
    <s v="Me"/>
    <s v="Card"/>
    <n v="650"/>
    <x v="15"/>
    <m/>
    <m/>
  </r>
  <r>
    <d v="2013-04-01T00:00:00"/>
    <s v="Apr"/>
    <x v="8"/>
    <s v="Me"/>
    <s v="Card"/>
    <n v="8020"/>
    <x v="19"/>
    <m/>
    <n v="1"/>
  </r>
  <r>
    <d v="2013-04-01T00:00:00"/>
    <s v="Apr"/>
    <x v="8"/>
    <s v="Me"/>
    <s v="Card"/>
    <n v="2040"/>
    <x v="21"/>
    <m/>
    <n v="2"/>
  </r>
  <r>
    <d v="2013-04-01T00:00:00"/>
    <s v="Apr"/>
    <x v="8"/>
    <s v="Me"/>
    <s v="Card"/>
    <n v="2200"/>
    <x v="24"/>
    <m/>
    <n v="2"/>
  </r>
  <r>
    <d v="2013-04-01T00:00:00"/>
    <s v="Apr"/>
    <x v="8"/>
    <s v="Me"/>
    <s v="Card"/>
    <n v="16.5"/>
    <x v="22"/>
    <m/>
    <n v="2"/>
  </r>
  <r>
    <d v="2013-04-01T00:00:00"/>
    <s v="Apr"/>
    <x v="8"/>
    <s v="Me"/>
    <s v="Card"/>
    <n v="14.5"/>
    <x v="22"/>
    <m/>
    <n v="2"/>
  </r>
  <r>
    <d v="2013-04-02T00:00:00"/>
    <s v="Apr"/>
    <x v="0"/>
    <s v="DH"/>
    <s v="Card"/>
    <n v="400"/>
    <x v="8"/>
    <m/>
    <m/>
  </r>
  <r>
    <d v="2013-04-02T00:00:00"/>
    <s v="Apr"/>
    <x v="8"/>
    <s v="DH"/>
    <s v="Cash"/>
    <n v="151"/>
    <x v="25"/>
    <m/>
    <n v="8"/>
  </r>
  <r>
    <d v="2013-04-03T00:00:00"/>
    <s v="Apr"/>
    <x v="9"/>
    <s v="Me"/>
    <s v="Card"/>
    <n v="0"/>
    <x v="23"/>
    <m/>
    <m/>
  </r>
  <r>
    <d v="2013-04-03T00:00:00"/>
    <s v="Apr"/>
    <x v="9"/>
    <s v="Me"/>
    <s v="Card"/>
    <n v="650"/>
    <x v="15"/>
    <m/>
    <m/>
  </r>
  <r>
    <d v="2013-04-03T00:00:00"/>
    <s v="Apr"/>
    <x v="8"/>
    <s v="Me"/>
    <s v="Card"/>
    <n v="1500"/>
    <x v="26"/>
    <m/>
    <n v="1"/>
  </r>
  <r>
    <d v="2013-04-03T00:00:00"/>
    <s v="Apr"/>
    <x v="8"/>
    <s v="Me"/>
    <s v="Card"/>
    <n v="1100"/>
    <x v="24"/>
    <m/>
    <n v="1"/>
  </r>
  <r>
    <d v="2013-04-03T00:00:00"/>
    <s v="Apr"/>
    <x v="8"/>
    <s v="Me"/>
    <s v="Card"/>
    <n v="8"/>
    <x v="22"/>
    <m/>
    <n v="1"/>
  </r>
  <r>
    <d v="2013-04-05T00:00:00"/>
    <s v="Apr"/>
    <x v="10"/>
    <s v="DH"/>
    <s v="Cash"/>
    <n v="65"/>
    <x v="27"/>
    <m/>
    <n v="1"/>
  </r>
  <r>
    <d v="2013-04-05T00:00:00"/>
    <s v="Apr"/>
    <x v="10"/>
    <s v="DH"/>
    <s v="Cash"/>
    <n v="31"/>
    <x v="22"/>
    <m/>
    <n v="3"/>
  </r>
  <r>
    <d v="2013-04-05T00:00:00"/>
    <s v="Apr"/>
    <x v="10"/>
    <s v="DH"/>
    <s v="Cash"/>
    <n v="56"/>
    <x v="28"/>
    <m/>
    <n v="6"/>
  </r>
  <r>
    <d v="2013-04-05T00:00:00"/>
    <s v="Apr"/>
    <x v="10"/>
    <s v="DH"/>
    <s v="Cash"/>
    <n v="19"/>
    <x v="29"/>
    <m/>
    <n v="9"/>
  </r>
  <r>
    <d v="2013-04-05T00:00:00"/>
    <s v="Apr"/>
    <x v="6"/>
    <s v="DH"/>
    <s v="Cash"/>
    <n v="23207"/>
    <x v="30"/>
    <m/>
    <m/>
  </r>
  <r>
    <d v="2013-04-05T00:00:00"/>
    <s v="Apr"/>
    <x v="11"/>
    <s v="Me"/>
    <s v="Cash"/>
    <n v="65"/>
    <x v="27"/>
    <m/>
    <n v="1"/>
  </r>
  <r>
    <d v="2013-04-05T00:00:00"/>
    <s v="Apr"/>
    <x v="11"/>
    <s v="Me"/>
    <s v="Cash"/>
    <n v="31"/>
    <x v="22"/>
    <m/>
    <n v="3"/>
  </r>
  <r>
    <d v="2013-04-05T00:00:00"/>
    <s v="Apr"/>
    <x v="11"/>
    <s v="Me"/>
    <s v="Cash"/>
    <n v="77"/>
    <x v="31"/>
    <m/>
    <n v="1"/>
  </r>
  <r>
    <d v="2013-04-05T00:00:00"/>
    <s v="Apr"/>
    <x v="11"/>
    <s v="Me"/>
    <s v="Cash"/>
    <n v="418"/>
    <x v="32"/>
    <m/>
    <n v="4"/>
  </r>
  <r>
    <d v="2013-04-05T00:00:00"/>
    <s v="Apr"/>
    <x v="11"/>
    <s v="Me"/>
    <s v="Cash"/>
    <n v="33"/>
    <x v="22"/>
    <m/>
    <n v="4"/>
  </r>
  <r>
    <d v="2013-04-05T00:00:00"/>
    <s v="Apr"/>
    <x v="11"/>
    <s v="Me"/>
    <s v="Cash"/>
    <n v="259"/>
    <x v="33"/>
    <m/>
    <n v="28"/>
  </r>
  <r>
    <d v="2013-04-05T00:00:00"/>
    <s v="Apr"/>
    <x v="11"/>
    <s v="Me"/>
    <s v="Cash"/>
    <n v="11"/>
    <x v="34"/>
    <m/>
    <n v="5"/>
  </r>
  <r>
    <d v="2013-04-05T00:00:00"/>
    <s v="Apr"/>
    <x v="11"/>
    <s v="Me"/>
    <s v="Cash"/>
    <n v="41"/>
    <x v="35"/>
    <m/>
    <n v="1"/>
  </r>
  <r>
    <d v="2013-04-08T00:00:00"/>
    <s v="Apr"/>
    <x v="12"/>
    <s v="Me"/>
    <s v="Card"/>
    <n v="418"/>
    <x v="32"/>
    <m/>
    <n v="4"/>
  </r>
  <r>
    <d v="2013-04-08T00:00:00"/>
    <s v="Apr"/>
    <x v="12"/>
    <s v="Me"/>
    <s v="Card"/>
    <n v="33"/>
    <x v="22"/>
    <m/>
    <n v="4"/>
  </r>
  <r>
    <d v="2013-04-08T00:00:00"/>
    <s v="Apr"/>
    <x v="12"/>
    <s v="Me"/>
    <s v="Card"/>
    <n v="380"/>
    <x v="36"/>
    <m/>
    <n v="1"/>
  </r>
  <r>
    <d v="2013-04-08T00:00:00"/>
    <s v="Apr"/>
    <x v="12"/>
    <s v="Me"/>
    <s v="Card"/>
    <n v="1215"/>
    <x v="35"/>
    <m/>
    <n v="30"/>
  </r>
  <r>
    <d v="2013-04-08T00:00:00"/>
    <s v="Apr"/>
    <x v="12"/>
    <s v="Me"/>
    <s v="Card"/>
    <n v="531"/>
    <x v="37"/>
    <m/>
    <n v="15"/>
  </r>
  <r>
    <d v="2013-04-08T00:00:00"/>
    <s v="Apr"/>
    <x v="12"/>
    <s v="Me"/>
    <s v="Card"/>
    <n v="10"/>
    <x v="11"/>
    <m/>
    <n v="10"/>
  </r>
  <r>
    <d v="2013-04-08T00:00:00"/>
    <s v="Apr"/>
    <x v="12"/>
    <s v="Me"/>
    <s v="Card"/>
    <n v="2"/>
    <x v="38"/>
    <s v="Delayed release aspirin"/>
    <n v="10"/>
  </r>
  <r>
    <d v="2013-04-08T00:00:00"/>
    <s v="Apr"/>
    <x v="12"/>
    <s v="Me"/>
    <s v="Card"/>
    <n v="86"/>
    <x v="39"/>
    <s v="Folic acid"/>
    <n v="15"/>
  </r>
  <r>
    <d v="2013-04-11T00:00:00"/>
    <s v="Apr"/>
    <x v="12"/>
    <s v="Me"/>
    <s v="Card"/>
    <n v="380"/>
    <x v="36"/>
    <m/>
    <n v="1"/>
  </r>
  <r>
    <d v="2013-04-11T00:00:00"/>
    <s v="Apr"/>
    <x v="12"/>
    <s v="Me"/>
    <s v="Card"/>
    <n v="17"/>
    <x v="22"/>
    <m/>
    <n v="2"/>
  </r>
  <r>
    <d v="2013-04-11T00:00:00"/>
    <s v="Apr"/>
    <x v="12"/>
    <s v="Me"/>
    <s v="Cash"/>
    <n v="140"/>
    <x v="40"/>
    <m/>
    <m/>
  </r>
  <r>
    <d v="2013-04-14T00:00:00"/>
    <s v="Apr"/>
    <x v="12"/>
    <s v="Me"/>
    <s v="Cash"/>
    <n v="70"/>
    <x v="40"/>
    <m/>
    <m/>
  </r>
  <r>
    <d v="2013-04-14T00:00:00"/>
    <s v="Apr"/>
    <x v="12"/>
    <s v="Me"/>
    <s v="Cash"/>
    <n v="259"/>
    <x v="33"/>
    <m/>
    <n v="28"/>
  </r>
  <r>
    <d v="2013-04-15T00:00:00"/>
    <s v="Apr"/>
    <x v="10"/>
    <s v="DH"/>
    <s v="Cash"/>
    <n v="444"/>
    <x v="41"/>
    <m/>
    <n v="10"/>
  </r>
  <r>
    <d v="2013-04-15T00:00:00"/>
    <s v="Apr"/>
    <x v="10"/>
    <s v="DH"/>
    <s v="Cash"/>
    <n v="56"/>
    <x v="42"/>
    <m/>
    <n v="10"/>
  </r>
  <r>
    <d v="2013-04-22T00:00:00"/>
    <s v="Apr"/>
    <x v="13"/>
    <s v="Me"/>
    <s v="Card"/>
    <n v="850"/>
    <x v="43"/>
    <m/>
    <m/>
  </r>
  <r>
    <d v="2013-04-22T00:00:00"/>
    <s v="Apr"/>
    <x v="14"/>
    <s v="Me"/>
    <s v="Card"/>
    <n v="523"/>
    <x v="32"/>
    <m/>
    <n v="5"/>
  </r>
  <r>
    <d v="2013-04-22T00:00:00"/>
    <s v="Apr"/>
    <x v="14"/>
    <s v="Me"/>
    <s v="Card"/>
    <n v="41"/>
    <x v="22"/>
    <m/>
    <n v="5"/>
  </r>
  <r>
    <d v="2013-04-22T00:00:00"/>
    <s v="Apr"/>
    <x v="14"/>
    <s v="Me"/>
    <s v="Card"/>
    <n v="4860"/>
    <x v="35"/>
    <m/>
    <n v="120"/>
  </r>
  <r>
    <d v="2013-04-22T00:00:00"/>
    <s v="Apr"/>
    <x v="14"/>
    <s v="Me"/>
    <s v="Card"/>
    <n v="1811"/>
    <x v="33"/>
    <m/>
    <n v="7"/>
  </r>
  <r>
    <d v="2013-04-22T00:00:00"/>
    <s v="Apr"/>
    <x v="14"/>
    <s v="Me"/>
    <s v="Card"/>
    <n v="57"/>
    <x v="39"/>
    <m/>
    <n v="10"/>
  </r>
  <r>
    <d v="2013-04-22T00:00:00"/>
    <s v="Apr"/>
    <x v="14"/>
    <s v="Me"/>
    <s v="Card"/>
    <n v="285"/>
    <x v="39"/>
    <m/>
    <n v="50"/>
  </r>
  <r>
    <d v="2013-04-24T00:00:00"/>
    <s v="Apr"/>
    <x v="13"/>
    <s v="Me"/>
    <s v="Card"/>
    <n v="850"/>
    <x v="43"/>
    <m/>
    <m/>
  </r>
  <r>
    <d v="2013-04-27T00:00:00"/>
    <s v="Apr"/>
    <x v="13"/>
    <s v="Me"/>
    <s v="Card"/>
    <n v="600"/>
    <x v="43"/>
    <m/>
    <m/>
  </r>
  <r>
    <d v="2013-04-27T00:00:00"/>
    <s v="Apr"/>
    <x v="13"/>
    <s v="Me"/>
    <s v="Card"/>
    <n v="850"/>
    <x v="43"/>
    <m/>
    <m/>
  </r>
  <r>
    <d v="2013-05-01T00:00:00"/>
    <s v="May"/>
    <x v="13"/>
    <s v="Me"/>
    <s v="Card"/>
    <n v="600"/>
    <x v="43"/>
    <m/>
    <m/>
  </r>
  <r>
    <d v="2013-05-01T00:00:00"/>
    <s v="May"/>
    <x v="15"/>
    <s v="Me"/>
    <s v="Card"/>
    <n v="900"/>
    <x v="44"/>
    <m/>
    <m/>
  </r>
  <r>
    <d v="2013-05-04T00:00:00"/>
    <s v="May"/>
    <x v="10"/>
    <s v="DH"/>
    <s v="Card"/>
    <n v="443"/>
    <x v="41"/>
    <m/>
    <n v="10"/>
  </r>
  <r>
    <d v="2013-05-07T00:00:00"/>
    <s v="May"/>
    <x v="13"/>
    <s v="Me"/>
    <s v="Card"/>
    <n v="850"/>
    <x v="43"/>
    <m/>
    <m/>
  </r>
  <r>
    <d v="2013-05-07T00:00:00"/>
    <s v="May"/>
    <x v="15"/>
    <s v="Me"/>
    <s v="Card"/>
    <n v="1140"/>
    <x v="45"/>
    <m/>
    <m/>
  </r>
  <r>
    <d v="2013-05-09T00:00:00"/>
    <s v="May"/>
    <x v="10"/>
    <s v="DH"/>
    <s v="Card"/>
    <n v="1000"/>
    <x v="46"/>
    <m/>
    <m/>
  </r>
  <r>
    <d v="2013-05-09T00:00:00"/>
    <s v="May"/>
    <x v="10"/>
    <s v="DH"/>
    <s v="Card"/>
    <n v="10"/>
    <x v="47"/>
    <m/>
    <n v="15"/>
  </r>
  <r>
    <d v="2013-05-09T00:00:00"/>
    <s v="May"/>
    <x v="10"/>
    <s v="DH"/>
    <s v="Card"/>
    <n v="65"/>
    <x v="48"/>
    <m/>
    <n v="5"/>
  </r>
  <r>
    <d v="2013-05-10T00:00:00"/>
    <s v="May"/>
    <x v="13"/>
    <s v="Me"/>
    <s v="Card"/>
    <n v="600"/>
    <x v="43"/>
    <m/>
    <m/>
  </r>
  <r>
    <d v="2013-05-10T00:00:00"/>
    <s v="May"/>
    <x v="13"/>
    <s v="Me"/>
    <s v="Card"/>
    <n v="60"/>
    <x v="49"/>
    <m/>
    <m/>
  </r>
  <r>
    <d v="2013-05-10T00:00:00"/>
    <s v="May"/>
    <x v="13"/>
    <s v="Me"/>
    <s v="Card"/>
    <n v="90"/>
    <x v="50"/>
    <m/>
    <m/>
  </r>
  <r>
    <d v="2013-05-17T00:00:00"/>
    <s v="May"/>
    <x v="2"/>
    <s v="DH"/>
    <s v="Card"/>
    <n v="14"/>
    <x v="51"/>
    <m/>
    <n v="4"/>
  </r>
  <r>
    <d v="2013-05-17T00:00:00"/>
    <s v="May"/>
    <x v="2"/>
    <s v="DH"/>
    <s v="Card"/>
    <n v="3"/>
    <x v="52"/>
    <m/>
    <n v="2"/>
  </r>
  <r>
    <d v="2013-05-18T00:00:00"/>
    <s v="May"/>
    <x v="16"/>
    <s v="Me"/>
    <s v="Card"/>
    <n v="600"/>
    <x v="53"/>
    <s v="11 May to 18 May"/>
    <m/>
  </r>
  <r>
    <d v="2013-05-18T00:00:00"/>
    <s v="May"/>
    <x v="16"/>
    <s v="Me"/>
    <s v="Card"/>
    <n v="45500"/>
    <x v="54"/>
    <s v="11 May to 18 May"/>
    <m/>
  </r>
  <r>
    <d v="2013-05-18T00:00:00"/>
    <s v="May"/>
    <x v="16"/>
    <s v="Me"/>
    <s v="Card"/>
    <n v="3640"/>
    <x v="55"/>
    <s v="11 May to 18 May"/>
    <m/>
  </r>
  <r>
    <d v="2013-05-18T00:00:00"/>
    <s v="May"/>
    <x v="16"/>
    <s v="Me"/>
    <s v="Card"/>
    <n v="8000"/>
    <x v="56"/>
    <s v="11 May to 18 May"/>
    <m/>
  </r>
  <r>
    <d v="2013-05-18T00:00:00"/>
    <s v="May"/>
    <x v="16"/>
    <s v="Me"/>
    <s v="Card"/>
    <n v="1000"/>
    <x v="57"/>
    <s v="11 May to 18 May"/>
    <m/>
  </r>
  <r>
    <d v="2013-05-18T00:00:00"/>
    <s v="May"/>
    <x v="16"/>
    <s v="Me"/>
    <s v="Card"/>
    <n v="7000"/>
    <x v="58"/>
    <s v="11 May to 18 May"/>
    <m/>
  </r>
  <r>
    <d v="2013-05-18T00:00:00"/>
    <s v="May"/>
    <x v="16"/>
    <s v="Me"/>
    <s v="Card"/>
    <n v="11820"/>
    <x v="1"/>
    <s v="11 May to 18 May"/>
    <m/>
  </r>
  <r>
    <d v="2013-05-18T00:00:00"/>
    <s v="May"/>
    <x v="16"/>
    <s v="Me"/>
    <s v="Card"/>
    <n v="620"/>
    <x v="59"/>
    <s v="11 May to 18 May"/>
    <m/>
  </r>
  <r>
    <d v="2013-05-18T00:00:00"/>
    <s v="May"/>
    <x v="16"/>
    <s v="Me"/>
    <s v="Card"/>
    <n v="1520"/>
    <x v="60"/>
    <s v="11 May to 18 May"/>
    <m/>
  </r>
  <r>
    <d v="2013-05-18T00:00:00"/>
    <s v="May"/>
    <x v="16"/>
    <s v="Me"/>
    <s v="Card"/>
    <n v="1410"/>
    <x v="61"/>
    <s v="11 May to 18 May"/>
    <m/>
  </r>
  <r>
    <d v="2013-05-18T00:00:00"/>
    <s v="May"/>
    <x v="16"/>
    <s v="Me"/>
    <s v="Card"/>
    <n v="27600"/>
    <x v="62"/>
    <s v="11 May to 18 May"/>
    <m/>
  </r>
  <r>
    <d v="2013-05-18T00:00:00"/>
    <s v="May"/>
    <x v="16"/>
    <s v="Me"/>
    <s v="Card"/>
    <n v="18100"/>
    <x v="63"/>
    <s v="11 May to 18 May"/>
    <m/>
  </r>
  <r>
    <d v="2013-05-18T00:00:00"/>
    <s v="May"/>
    <x v="16"/>
    <s v="Me"/>
    <s v="Card"/>
    <n v="14300"/>
    <x v="64"/>
    <s v="11 May to 18 May"/>
    <m/>
  </r>
  <r>
    <d v="2013-05-18T00:00:00"/>
    <s v="May"/>
    <x v="16"/>
    <s v="Me"/>
    <s v="Card"/>
    <n v="3575"/>
    <x v="65"/>
    <s v="11 May to 18 May"/>
    <m/>
  </r>
  <r>
    <d v="2013-05-18T00:00:00"/>
    <s v="May"/>
    <x v="16"/>
    <s v="Me"/>
    <s v="Card"/>
    <n v="4290"/>
    <x v="66"/>
    <s v="11 May to 18 May"/>
    <m/>
  </r>
  <r>
    <d v="2013-05-18T00:00:00"/>
    <s v="May"/>
    <x v="16"/>
    <s v="Me"/>
    <s v="Card"/>
    <n v="282"/>
    <x v="67"/>
    <s v="11 May to 18 May"/>
    <m/>
  </r>
  <r>
    <d v="2013-05-18T00:00:00"/>
    <s v="May"/>
    <x v="16"/>
    <s v="Me"/>
    <s v="Card"/>
    <n v="9392"/>
    <x v="68"/>
    <s v="11 May to 18 May"/>
    <m/>
  </r>
  <r>
    <d v="2013-05-18T00:00:00"/>
    <s v="May"/>
    <x v="16"/>
    <s v="Me"/>
    <s v="Card"/>
    <n v="8504"/>
    <x v="69"/>
    <s v="11 May to 18 May"/>
    <m/>
  </r>
  <r>
    <d v="2013-05-24T00:00:00"/>
    <s v="May"/>
    <x v="0"/>
    <s v="Me"/>
    <s v="Card"/>
    <n v="200"/>
    <x v="70"/>
    <m/>
    <m/>
  </r>
  <r>
    <d v="2013-09-03T00:00:00"/>
    <s v="Sep"/>
    <x v="0"/>
    <s v="Me"/>
    <s v="Card"/>
    <n v="400"/>
    <x v="0"/>
    <m/>
    <m/>
  </r>
  <r>
    <d v="2013-09-03T00:00:00"/>
    <s v="Sep"/>
    <x v="4"/>
    <s v="DH"/>
    <s v="Cash"/>
    <n v="250"/>
    <x v="71"/>
    <m/>
    <m/>
  </r>
  <r>
    <d v="2013-09-05T00:00:00"/>
    <s v="Sep"/>
    <x v="0"/>
    <s v="DH"/>
    <s v="Card"/>
    <n v="400"/>
    <x v="8"/>
    <m/>
    <m/>
  </r>
  <r>
    <d v="2013-09-05T00:00:00"/>
    <s v="Sep"/>
    <x v="1"/>
    <s v="DH"/>
    <s v="Card"/>
    <n v="2410"/>
    <x v="7"/>
    <m/>
    <m/>
  </r>
  <r>
    <d v="2013-09-07T00:00:00"/>
    <s v="Sep"/>
    <x v="4"/>
    <s v="DH"/>
    <s v="Cash"/>
    <n v="0"/>
    <x v="4"/>
    <m/>
    <m/>
  </r>
  <r>
    <d v="2013-09-10T00:00:00"/>
    <s v="Sep"/>
    <x v="0"/>
    <s v="DH"/>
    <s v="Cash"/>
    <n v="0"/>
    <x v="8"/>
    <m/>
    <m/>
  </r>
  <r>
    <d v="2013-09-11T00:00:00"/>
    <s v="Sep"/>
    <x v="17"/>
    <s v="DH"/>
    <s v="Card"/>
    <n v="95000"/>
    <x v="3"/>
    <m/>
    <m/>
  </r>
  <r>
    <d v="2013-09-11T00:00:00"/>
    <s v="Sep"/>
    <x v="2"/>
    <s v="Me"/>
    <s v="Cash"/>
    <n v="42"/>
    <x v="72"/>
    <m/>
    <n v="2"/>
  </r>
  <r>
    <d v="2013-09-11T00:00:00"/>
    <s v="Sep"/>
    <x v="2"/>
    <s v="Me"/>
    <s v="Cash"/>
    <n v="10"/>
    <x v="13"/>
    <m/>
    <n v="10"/>
  </r>
  <r>
    <d v="2013-09-11T00:00:00"/>
    <s v="Sep"/>
    <x v="2"/>
    <s v="DH"/>
    <s v="Cash"/>
    <n v="3"/>
    <x v="11"/>
    <m/>
    <n v="5"/>
  </r>
  <r>
    <d v="2013-09-15T00:00:00"/>
    <s v="Sep"/>
    <x v="18"/>
    <s v="Me"/>
    <s v="Card"/>
    <n v="26538"/>
    <x v="73"/>
    <m/>
    <n v="3"/>
  </r>
  <r>
    <d v="2013-09-18T00:00:00"/>
    <s v="Sep"/>
    <x v="18"/>
    <s v="Me"/>
    <s v="Card"/>
    <n v="8846"/>
    <x v="73"/>
    <m/>
    <n v="1"/>
  </r>
  <r>
    <d v="2013-09-18T00:00:00"/>
    <s v="Sep"/>
    <x v="18"/>
    <s v="Me"/>
    <s v="Card"/>
    <n v="1020"/>
    <x v="21"/>
    <m/>
    <n v="1"/>
  </r>
  <r>
    <d v="2013-09-18T00:00:00"/>
    <s v="Sep"/>
    <x v="18"/>
    <s v="Me"/>
    <s v="Card"/>
    <n v="7"/>
    <x v="22"/>
    <m/>
    <n v="1"/>
  </r>
  <r>
    <d v="2013-09-19T00:00:00"/>
    <s v="Sep"/>
    <x v="1"/>
    <s v="Me"/>
    <s v="Cash"/>
    <n v="370"/>
    <x v="20"/>
    <s v="Part of pre anaestesia check"/>
    <m/>
  </r>
  <r>
    <d v="2013-09-20T00:00:00"/>
    <s v="Sep"/>
    <x v="19"/>
    <s v="Me"/>
    <s v="Card"/>
    <n v="0"/>
    <x v="23"/>
    <m/>
    <m/>
  </r>
  <r>
    <d v="2013-09-20T00:00:00"/>
    <s v="Sep"/>
    <x v="18"/>
    <s v="Me"/>
    <s v="Card"/>
    <n v="17692"/>
    <x v="73"/>
    <m/>
    <n v="2"/>
  </r>
  <r>
    <d v="2013-09-20T00:00:00"/>
    <s v="Sep"/>
    <x v="18"/>
    <s v="Me"/>
    <s v="Card"/>
    <n v="3060"/>
    <x v="21"/>
    <m/>
    <n v="3"/>
  </r>
  <r>
    <d v="2013-09-20T00:00:00"/>
    <s v="Sep"/>
    <x v="18"/>
    <s v="Me"/>
    <s v="Card"/>
    <n v="2200"/>
    <x v="24"/>
    <m/>
    <n v="2"/>
  </r>
  <r>
    <d v="2013-09-20T00:00:00"/>
    <s v="Sep"/>
    <x v="18"/>
    <s v="Me"/>
    <s v="Card"/>
    <n v="16"/>
    <x v="22"/>
    <m/>
    <n v="2"/>
  </r>
  <r>
    <d v="2013-09-20T00:00:00"/>
    <s v="Sep"/>
    <x v="18"/>
    <s v="Me"/>
    <s v="Card"/>
    <n v="22"/>
    <x v="22"/>
    <m/>
    <n v="3"/>
  </r>
  <r>
    <d v="2013-09-22T00:00:00"/>
    <s v="Sep"/>
    <x v="19"/>
    <s v="Me"/>
    <s v="Card"/>
    <n v="0"/>
    <x v="23"/>
    <m/>
    <m/>
  </r>
  <r>
    <d v="2013-09-22T00:00:00"/>
    <s v="Sep"/>
    <x v="19"/>
    <s v="Me"/>
    <s v="Card"/>
    <n v="650"/>
    <x v="15"/>
    <m/>
    <m/>
  </r>
  <r>
    <d v="2013-09-23T00:00:00"/>
    <s v="Sep"/>
    <x v="18"/>
    <s v="Me"/>
    <s v="Card"/>
    <n v="1100"/>
    <x v="24"/>
    <m/>
    <n v="1"/>
  </r>
  <r>
    <d v="2013-09-23T00:00:00"/>
    <s v="Sep"/>
    <x v="18"/>
    <s v="Me"/>
    <s v="Card"/>
    <n v="8"/>
    <x v="22"/>
    <m/>
    <n v="1"/>
  </r>
  <r>
    <d v="2013-09-23T00:00:00"/>
    <s v="Sep"/>
    <x v="18"/>
    <s v="DH"/>
    <s v="Card"/>
    <n v="1500"/>
    <x v="26"/>
    <m/>
    <n v="1"/>
  </r>
  <r>
    <d v="2013-09-23T00:00:00"/>
    <s v="Sep"/>
    <x v="4"/>
    <s v="DH"/>
    <s v="Card"/>
    <n v="3960"/>
    <x v="14"/>
    <m/>
    <m/>
  </r>
  <r>
    <d v="2013-09-25T00:00:00"/>
    <s v="Sep"/>
    <x v="20"/>
    <s v="Me"/>
    <s v="Cash"/>
    <n v="58"/>
    <x v="27"/>
    <m/>
    <n v="1"/>
  </r>
  <r>
    <d v="2013-09-25T00:00:00"/>
    <s v="Sep"/>
    <x v="20"/>
    <s v="Me"/>
    <s v="Cash"/>
    <n v="77"/>
    <x v="31"/>
    <m/>
    <n v="1"/>
  </r>
  <r>
    <d v="2013-09-25T00:00:00"/>
    <s v="Sep"/>
    <x v="20"/>
    <s v="Me"/>
    <s v="Cash"/>
    <n v="8"/>
    <x v="22"/>
    <m/>
    <n v="1"/>
  </r>
  <r>
    <d v="2013-09-25T00:00:00"/>
    <s v="Sep"/>
    <x v="20"/>
    <s v="Me"/>
    <s v="Cash"/>
    <n v="16"/>
    <x v="22"/>
    <m/>
    <n v="1"/>
  </r>
  <r>
    <d v="2013-09-25T00:00:00"/>
    <s v="Sep"/>
    <x v="20"/>
    <s v="Me"/>
    <s v="Cash"/>
    <n v="7"/>
    <x v="22"/>
    <m/>
    <n v="1"/>
  </r>
  <r>
    <d v="2013-09-25T00:00:00"/>
    <s v="Sep"/>
    <x v="21"/>
    <s v="DH"/>
    <s v="Card"/>
    <n v="30000"/>
    <x v="74"/>
    <m/>
    <m/>
  </r>
  <r>
    <d v="2013-09-25T00:00:00"/>
    <s v="Sep"/>
    <x v="20"/>
    <s v="DH"/>
    <s v="Card"/>
    <n v="627"/>
    <x v="32"/>
    <m/>
    <n v="6"/>
  </r>
  <r>
    <d v="2013-09-25T00:00:00"/>
    <s v="Sep"/>
    <x v="20"/>
    <s v="DH"/>
    <s v="Card"/>
    <n v="49"/>
    <x v="22"/>
    <m/>
    <n v="6"/>
  </r>
  <r>
    <d v="2013-09-25T00:00:00"/>
    <s v="Sep"/>
    <x v="20"/>
    <s v="DH"/>
    <s v="Card"/>
    <n v="282"/>
    <x v="33"/>
    <m/>
    <n v="1"/>
  </r>
  <r>
    <d v="2013-09-25T00:00:00"/>
    <s v="Sep"/>
    <x v="20"/>
    <s v="DH"/>
    <s v="Card"/>
    <n v="11"/>
    <x v="34"/>
    <m/>
    <n v="5"/>
  </r>
  <r>
    <d v="2013-09-25T00:00:00"/>
    <s v="Sep"/>
    <x v="20"/>
    <s v="DH"/>
    <s v="Card"/>
    <n v="40"/>
    <x v="35"/>
    <m/>
    <n v="1"/>
  </r>
  <r>
    <d v="2013-09-30T00:00:00"/>
    <s v="Sep"/>
    <x v="22"/>
    <s v="Me"/>
    <s v="Card"/>
    <n v="418"/>
    <x v="32"/>
    <m/>
    <n v="4"/>
  </r>
  <r>
    <d v="2013-09-30T00:00:00"/>
    <s v="Sep"/>
    <x v="22"/>
    <s v="Me"/>
    <s v="Card"/>
    <n v="33"/>
    <x v="22"/>
    <m/>
    <n v="4"/>
  </r>
  <r>
    <d v="2013-09-30T00:00:00"/>
    <s v="Sep"/>
    <x v="22"/>
    <s v="Me"/>
    <s v="Card"/>
    <n v="531"/>
    <x v="37"/>
    <m/>
    <n v="15"/>
  </r>
  <r>
    <d v="2013-09-30T00:00:00"/>
    <s v="Sep"/>
    <x v="22"/>
    <s v="Me"/>
    <s v="Card"/>
    <n v="10"/>
    <x v="11"/>
    <m/>
    <n v="10"/>
  </r>
  <r>
    <d v="2013-09-30T00:00:00"/>
    <s v="Sep"/>
    <x v="22"/>
    <s v="Me"/>
    <s v="Card"/>
    <n v="2"/>
    <x v="38"/>
    <m/>
    <n v="10"/>
  </r>
  <r>
    <d v="2013-09-30T00:00:00"/>
    <s v="Sep"/>
    <x v="22"/>
    <s v="Me"/>
    <s v="Card"/>
    <n v="94"/>
    <x v="39"/>
    <m/>
    <n v="1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d v="2013-01-04T00:00:00"/>
    <x v="0"/>
    <x v="0"/>
    <x v="0"/>
    <s v="Card"/>
    <n v="400"/>
    <x v="0"/>
    <m/>
    <m/>
  </r>
  <r>
    <d v="2013-01-19T00:00:00"/>
    <x v="0"/>
    <x v="1"/>
    <x v="0"/>
    <s v="Card"/>
    <n v="9170"/>
    <x v="1"/>
    <m/>
    <m/>
  </r>
  <r>
    <d v="2013-01-21T00:00:00"/>
    <x v="0"/>
    <x v="2"/>
    <x v="0"/>
    <s v="Cash"/>
    <n v="35"/>
    <x v="2"/>
    <m/>
    <n v="2"/>
  </r>
  <r>
    <d v="2013-01-21T00:00:00"/>
    <x v="0"/>
    <x v="3"/>
    <x v="1"/>
    <s v="Cash"/>
    <n v="100"/>
    <x v="3"/>
    <m/>
    <m/>
  </r>
  <r>
    <d v="2013-01-21T00:00:00"/>
    <x v="0"/>
    <x v="4"/>
    <x v="1"/>
    <s v="Card"/>
    <n v="2660"/>
    <x v="4"/>
    <m/>
    <m/>
  </r>
  <r>
    <d v="2013-01-21T00:00:00"/>
    <x v="0"/>
    <x v="0"/>
    <x v="0"/>
    <s v="Card"/>
    <n v="400"/>
    <x v="5"/>
    <m/>
    <m/>
  </r>
  <r>
    <d v="2013-01-21T00:00:00"/>
    <x v="0"/>
    <x v="5"/>
    <x v="0"/>
    <s v="Card"/>
    <n v="790"/>
    <x v="3"/>
    <m/>
    <m/>
  </r>
  <r>
    <d v="2013-01-25T00:00:00"/>
    <x v="0"/>
    <x v="6"/>
    <x v="0"/>
    <s v="Card"/>
    <n v="28403"/>
    <x v="6"/>
    <m/>
    <m/>
  </r>
  <r>
    <d v="2013-01-25T00:00:00"/>
    <x v="0"/>
    <x v="1"/>
    <x v="1"/>
    <s v="Card"/>
    <n v="3410"/>
    <x v="7"/>
    <m/>
    <m/>
  </r>
  <r>
    <d v="2013-01-25T00:00:00"/>
    <x v="0"/>
    <x v="0"/>
    <x v="1"/>
    <s v="Card"/>
    <n v="400"/>
    <x v="8"/>
    <m/>
    <m/>
  </r>
  <r>
    <d v="2013-02-01T00:00:00"/>
    <x v="1"/>
    <x v="2"/>
    <x v="0"/>
    <s v="Cash"/>
    <n v="55"/>
    <x v="9"/>
    <m/>
    <n v="9"/>
  </r>
  <r>
    <d v="2013-02-01T00:00:00"/>
    <x v="1"/>
    <x v="2"/>
    <x v="1"/>
    <s v="Card"/>
    <n v="400"/>
    <x v="10"/>
    <m/>
    <n v="20"/>
  </r>
  <r>
    <d v="2013-02-01T00:00:00"/>
    <x v="1"/>
    <x v="2"/>
    <x v="1"/>
    <s v="Card"/>
    <n v="6"/>
    <x v="11"/>
    <m/>
    <n v="10"/>
  </r>
  <r>
    <d v="2013-02-15T00:00:00"/>
    <x v="1"/>
    <x v="2"/>
    <x v="0"/>
    <s v="Cash"/>
    <n v="63"/>
    <x v="12"/>
    <m/>
    <n v="2"/>
  </r>
  <r>
    <d v="2013-02-15T00:00:00"/>
    <x v="1"/>
    <x v="2"/>
    <x v="0"/>
    <s v="Cash"/>
    <n v="7"/>
    <x v="13"/>
    <m/>
    <n v="10"/>
  </r>
  <r>
    <d v="2013-02-15T00:00:00"/>
    <x v="1"/>
    <x v="7"/>
    <x v="1"/>
    <s v="Card"/>
    <n v="115000"/>
    <x v="3"/>
    <m/>
    <m/>
  </r>
  <r>
    <d v="2013-02-23T00:00:00"/>
    <x v="1"/>
    <x v="4"/>
    <x v="1"/>
    <s v="Card"/>
    <n v="3300"/>
    <x v="14"/>
    <m/>
    <m/>
  </r>
  <r>
    <d v="2013-02-24T00:00:00"/>
    <x v="1"/>
    <x v="1"/>
    <x v="0"/>
    <s v="Card"/>
    <n v="650"/>
    <x v="15"/>
    <m/>
    <m/>
  </r>
  <r>
    <d v="2013-02-25T00:00:00"/>
    <x v="1"/>
    <x v="0"/>
    <x v="1"/>
    <s v="Card"/>
    <n v="400"/>
    <x v="8"/>
    <m/>
    <m/>
  </r>
  <r>
    <d v="2013-02-25T00:00:00"/>
    <x v="1"/>
    <x v="2"/>
    <x v="1"/>
    <s v="Card"/>
    <n v="3"/>
    <x v="11"/>
    <m/>
    <n v="5"/>
  </r>
  <r>
    <d v="2013-02-25T00:00:00"/>
    <x v="1"/>
    <x v="2"/>
    <x v="1"/>
    <s v="Card"/>
    <n v="400"/>
    <x v="10"/>
    <m/>
    <n v="20"/>
  </r>
  <r>
    <d v="2013-02-25T00:00:00"/>
    <x v="1"/>
    <x v="2"/>
    <x v="1"/>
    <s v="Card"/>
    <n v="382"/>
    <x v="16"/>
    <m/>
    <n v="10"/>
  </r>
  <r>
    <d v="2013-02-26T00:00:00"/>
    <x v="1"/>
    <x v="6"/>
    <x v="0"/>
    <s v="Card"/>
    <n v="9066"/>
    <x v="17"/>
    <m/>
    <m/>
  </r>
  <r>
    <d v="2013-02-26T00:00:00"/>
    <x v="1"/>
    <x v="2"/>
    <x v="0"/>
    <s v="Card"/>
    <n v="130"/>
    <x v="18"/>
    <m/>
    <n v="21"/>
  </r>
  <r>
    <d v="2013-03-06T00:00:00"/>
    <x v="2"/>
    <x v="2"/>
    <x v="1"/>
    <s v="Card"/>
    <n v="400"/>
    <x v="10"/>
    <s v="From Medicine House"/>
    <n v="20"/>
  </r>
  <r>
    <d v="2013-03-06T00:00:00"/>
    <x v="2"/>
    <x v="2"/>
    <x v="1"/>
    <s v="Card"/>
    <n v="764"/>
    <x v="16"/>
    <s v="From Medicine House"/>
    <n v="20"/>
  </r>
  <r>
    <d v="2013-03-22T00:00:00"/>
    <x v="2"/>
    <x v="2"/>
    <x v="1"/>
    <s v="Card"/>
    <n v="1148"/>
    <x v="16"/>
    <s v="From Fame Balaji"/>
    <n v="30"/>
  </r>
  <r>
    <d v="2013-03-22T00:00:00"/>
    <x v="2"/>
    <x v="2"/>
    <x v="1"/>
    <s v="Card"/>
    <n v="1200"/>
    <x v="10"/>
    <s v="From Fame Balaji"/>
    <n v="60"/>
  </r>
  <r>
    <d v="2013-03-22T00:00:00"/>
    <x v="2"/>
    <x v="2"/>
    <x v="1"/>
    <s v="Card"/>
    <n v="9"/>
    <x v="11"/>
    <s v="From Fame Balaji"/>
    <n v="15"/>
  </r>
  <r>
    <d v="2013-03-26T00:00:00"/>
    <x v="2"/>
    <x v="8"/>
    <x v="0"/>
    <s v="Card"/>
    <n v="32080"/>
    <x v="19"/>
    <s v="Injection 225 daily"/>
    <n v="4"/>
  </r>
  <r>
    <d v="2013-03-30T00:00:00"/>
    <x v="2"/>
    <x v="1"/>
    <x v="1"/>
    <s v="Card"/>
    <n v="370"/>
    <x v="20"/>
    <s v="Part of pre anaestesia check"/>
    <m/>
  </r>
  <r>
    <d v="2013-03-31T00:00:00"/>
    <x v="2"/>
    <x v="8"/>
    <x v="0"/>
    <s v="Card"/>
    <n v="8020"/>
    <x v="19"/>
    <m/>
    <n v="1"/>
  </r>
  <r>
    <d v="2013-03-31T00:00:00"/>
    <x v="2"/>
    <x v="8"/>
    <x v="0"/>
    <s v="Card"/>
    <n v="2040"/>
    <x v="21"/>
    <m/>
    <n v="2"/>
  </r>
  <r>
    <d v="2013-03-31T00:00:00"/>
    <x v="2"/>
    <x v="8"/>
    <x v="0"/>
    <s v="Card"/>
    <n v="15"/>
    <x v="22"/>
    <m/>
    <n v="2"/>
  </r>
  <r>
    <d v="2013-04-01T00:00:00"/>
    <x v="3"/>
    <x v="9"/>
    <x v="0"/>
    <s v="Card"/>
    <n v="0"/>
    <x v="23"/>
    <m/>
    <m/>
  </r>
  <r>
    <d v="2013-04-01T00:00:00"/>
    <x v="3"/>
    <x v="9"/>
    <x v="0"/>
    <s v="Card"/>
    <n v="650"/>
    <x v="15"/>
    <m/>
    <m/>
  </r>
  <r>
    <d v="2013-04-01T00:00:00"/>
    <x v="3"/>
    <x v="8"/>
    <x v="0"/>
    <s v="Card"/>
    <n v="8020"/>
    <x v="19"/>
    <m/>
    <n v="1"/>
  </r>
  <r>
    <d v="2013-04-01T00:00:00"/>
    <x v="3"/>
    <x v="8"/>
    <x v="0"/>
    <s v="Card"/>
    <n v="2040"/>
    <x v="21"/>
    <m/>
    <n v="2"/>
  </r>
  <r>
    <d v="2013-04-01T00:00:00"/>
    <x v="3"/>
    <x v="8"/>
    <x v="0"/>
    <s v="Card"/>
    <n v="2200"/>
    <x v="24"/>
    <m/>
    <n v="2"/>
  </r>
  <r>
    <d v="2013-04-01T00:00:00"/>
    <x v="3"/>
    <x v="8"/>
    <x v="0"/>
    <s v="Card"/>
    <n v="16.5"/>
    <x v="22"/>
    <m/>
    <n v="2"/>
  </r>
  <r>
    <d v="2013-04-01T00:00:00"/>
    <x v="3"/>
    <x v="8"/>
    <x v="0"/>
    <s v="Card"/>
    <n v="14.5"/>
    <x v="22"/>
    <m/>
    <n v="2"/>
  </r>
  <r>
    <d v="2013-04-02T00:00:00"/>
    <x v="3"/>
    <x v="0"/>
    <x v="1"/>
    <s v="Card"/>
    <n v="400"/>
    <x v="8"/>
    <m/>
    <m/>
  </r>
  <r>
    <d v="2013-04-02T00:00:00"/>
    <x v="3"/>
    <x v="8"/>
    <x v="1"/>
    <s v="Cash"/>
    <n v="151"/>
    <x v="25"/>
    <m/>
    <n v="8"/>
  </r>
  <r>
    <d v="2013-04-03T00:00:00"/>
    <x v="3"/>
    <x v="9"/>
    <x v="0"/>
    <s v="Card"/>
    <n v="0"/>
    <x v="23"/>
    <m/>
    <m/>
  </r>
  <r>
    <d v="2013-04-03T00:00:00"/>
    <x v="3"/>
    <x v="9"/>
    <x v="0"/>
    <s v="Card"/>
    <n v="650"/>
    <x v="15"/>
    <m/>
    <m/>
  </r>
  <r>
    <d v="2013-04-03T00:00:00"/>
    <x v="3"/>
    <x v="8"/>
    <x v="0"/>
    <s v="Card"/>
    <n v="1500"/>
    <x v="26"/>
    <m/>
    <n v="1"/>
  </r>
  <r>
    <d v="2013-04-03T00:00:00"/>
    <x v="3"/>
    <x v="8"/>
    <x v="0"/>
    <s v="Card"/>
    <n v="1100"/>
    <x v="24"/>
    <m/>
    <n v="1"/>
  </r>
  <r>
    <d v="2013-04-03T00:00:00"/>
    <x v="3"/>
    <x v="8"/>
    <x v="0"/>
    <s v="Card"/>
    <n v="8"/>
    <x v="22"/>
    <m/>
    <n v="1"/>
  </r>
  <r>
    <d v="2013-04-05T00:00:00"/>
    <x v="3"/>
    <x v="10"/>
    <x v="1"/>
    <s v="Cash"/>
    <n v="65"/>
    <x v="27"/>
    <m/>
    <n v="1"/>
  </r>
  <r>
    <d v="2013-04-05T00:00:00"/>
    <x v="3"/>
    <x v="10"/>
    <x v="1"/>
    <s v="Cash"/>
    <n v="31"/>
    <x v="22"/>
    <m/>
    <n v="3"/>
  </r>
  <r>
    <d v="2013-04-05T00:00:00"/>
    <x v="3"/>
    <x v="10"/>
    <x v="1"/>
    <s v="Cash"/>
    <n v="56"/>
    <x v="28"/>
    <m/>
    <n v="6"/>
  </r>
  <r>
    <d v="2013-04-05T00:00:00"/>
    <x v="3"/>
    <x v="10"/>
    <x v="1"/>
    <s v="Cash"/>
    <n v="19"/>
    <x v="29"/>
    <m/>
    <n v="9"/>
  </r>
  <r>
    <d v="2013-04-05T00:00:00"/>
    <x v="3"/>
    <x v="6"/>
    <x v="1"/>
    <s v="Cash"/>
    <n v="23207"/>
    <x v="30"/>
    <m/>
    <m/>
  </r>
  <r>
    <d v="2013-04-05T00:00:00"/>
    <x v="3"/>
    <x v="11"/>
    <x v="0"/>
    <s v="Cash"/>
    <n v="65"/>
    <x v="27"/>
    <m/>
    <n v="1"/>
  </r>
  <r>
    <d v="2013-04-05T00:00:00"/>
    <x v="3"/>
    <x v="11"/>
    <x v="0"/>
    <s v="Cash"/>
    <n v="31"/>
    <x v="22"/>
    <m/>
    <n v="3"/>
  </r>
  <r>
    <d v="2013-04-05T00:00:00"/>
    <x v="3"/>
    <x v="11"/>
    <x v="0"/>
    <s v="Cash"/>
    <n v="77"/>
    <x v="31"/>
    <m/>
    <n v="1"/>
  </r>
  <r>
    <d v="2013-04-05T00:00:00"/>
    <x v="3"/>
    <x v="11"/>
    <x v="0"/>
    <s v="Cash"/>
    <n v="418"/>
    <x v="32"/>
    <m/>
    <n v="4"/>
  </r>
  <r>
    <d v="2013-04-05T00:00:00"/>
    <x v="3"/>
    <x v="11"/>
    <x v="0"/>
    <s v="Cash"/>
    <n v="33"/>
    <x v="22"/>
    <m/>
    <n v="4"/>
  </r>
  <r>
    <d v="2013-04-05T00:00:00"/>
    <x v="3"/>
    <x v="11"/>
    <x v="0"/>
    <s v="Cash"/>
    <n v="259"/>
    <x v="33"/>
    <m/>
    <n v="28"/>
  </r>
  <r>
    <d v="2013-04-05T00:00:00"/>
    <x v="3"/>
    <x v="11"/>
    <x v="0"/>
    <s v="Cash"/>
    <n v="11"/>
    <x v="34"/>
    <m/>
    <n v="5"/>
  </r>
  <r>
    <d v="2013-04-05T00:00:00"/>
    <x v="3"/>
    <x v="11"/>
    <x v="0"/>
    <s v="Cash"/>
    <n v="41"/>
    <x v="35"/>
    <m/>
    <n v="1"/>
  </r>
  <r>
    <d v="2013-04-08T00:00:00"/>
    <x v="3"/>
    <x v="12"/>
    <x v="0"/>
    <s v="Card"/>
    <n v="418"/>
    <x v="32"/>
    <m/>
    <n v="4"/>
  </r>
  <r>
    <d v="2013-04-08T00:00:00"/>
    <x v="3"/>
    <x v="12"/>
    <x v="0"/>
    <s v="Card"/>
    <n v="33"/>
    <x v="22"/>
    <m/>
    <n v="4"/>
  </r>
  <r>
    <d v="2013-04-08T00:00:00"/>
    <x v="3"/>
    <x v="12"/>
    <x v="0"/>
    <s v="Card"/>
    <n v="380"/>
    <x v="36"/>
    <m/>
    <n v="1"/>
  </r>
  <r>
    <d v="2013-04-08T00:00:00"/>
    <x v="3"/>
    <x v="12"/>
    <x v="0"/>
    <s v="Card"/>
    <n v="1215"/>
    <x v="35"/>
    <m/>
    <n v="30"/>
  </r>
  <r>
    <d v="2013-04-08T00:00:00"/>
    <x v="3"/>
    <x v="12"/>
    <x v="0"/>
    <s v="Card"/>
    <n v="531"/>
    <x v="37"/>
    <m/>
    <n v="15"/>
  </r>
  <r>
    <d v="2013-04-08T00:00:00"/>
    <x v="3"/>
    <x v="12"/>
    <x v="0"/>
    <s v="Card"/>
    <n v="10"/>
    <x v="11"/>
    <m/>
    <n v="10"/>
  </r>
  <r>
    <d v="2013-04-08T00:00:00"/>
    <x v="3"/>
    <x v="12"/>
    <x v="0"/>
    <s v="Card"/>
    <n v="2"/>
    <x v="38"/>
    <s v="Delayed release aspirin"/>
    <n v="10"/>
  </r>
  <r>
    <d v="2013-04-08T00:00:00"/>
    <x v="3"/>
    <x v="12"/>
    <x v="0"/>
    <s v="Card"/>
    <n v="86"/>
    <x v="39"/>
    <s v="Folic acid"/>
    <n v="15"/>
  </r>
  <r>
    <d v="2013-04-11T00:00:00"/>
    <x v="3"/>
    <x v="12"/>
    <x v="0"/>
    <s v="Card"/>
    <n v="380"/>
    <x v="36"/>
    <m/>
    <n v="1"/>
  </r>
  <r>
    <d v="2013-04-11T00:00:00"/>
    <x v="3"/>
    <x v="12"/>
    <x v="0"/>
    <s v="Card"/>
    <n v="17"/>
    <x v="22"/>
    <m/>
    <n v="2"/>
  </r>
  <r>
    <d v="2013-04-11T00:00:00"/>
    <x v="3"/>
    <x v="12"/>
    <x v="0"/>
    <s v="Cash"/>
    <n v="140"/>
    <x v="40"/>
    <m/>
    <m/>
  </r>
  <r>
    <d v="2013-04-14T00:00:00"/>
    <x v="3"/>
    <x v="12"/>
    <x v="0"/>
    <s v="Cash"/>
    <n v="70"/>
    <x v="40"/>
    <m/>
    <m/>
  </r>
  <r>
    <d v="2013-04-14T00:00:00"/>
    <x v="3"/>
    <x v="12"/>
    <x v="0"/>
    <s v="Cash"/>
    <n v="259"/>
    <x v="33"/>
    <m/>
    <n v="28"/>
  </r>
  <r>
    <d v="2013-04-15T00:00:00"/>
    <x v="3"/>
    <x v="10"/>
    <x v="1"/>
    <s v="Cash"/>
    <n v="444"/>
    <x v="41"/>
    <m/>
    <n v="10"/>
  </r>
  <r>
    <d v="2013-04-15T00:00:00"/>
    <x v="3"/>
    <x v="10"/>
    <x v="1"/>
    <s v="Cash"/>
    <n v="56"/>
    <x v="42"/>
    <m/>
    <n v="10"/>
  </r>
  <r>
    <d v="2013-04-22T00:00:00"/>
    <x v="3"/>
    <x v="13"/>
    <x v="0"/>
    <s v="Card"/>
    <n v="850"/>
    <x v="43"/>
    <m/>
    <m/>
  </r>
  <r>
    <d v="2013-04-22T00:00:00"/>
    <x v="3"/>
    <x v="14"/>
    <x v="0"/>
    <s v="Card"/>
    <n v="523"/>
    <x v="32"/>
    <m/>
    <n v="5"/>
  </r>
  <r>
    <d v="2013-04-22T00:00:00"/>
    <x v="3"/>
    <x v="14"/>
    <x v="0"/>
    <s v="Card"/>
    <n v="41"/>
    <x v="22"/>
    <m/>
    <n v="5"/>
  </r>
  <r>
    <d v="2013-04-22T00:00:00"/>
    <x v="3"/>
    <x v="14"/>
    <x v="0"/>
    <s v="Card"/>
    <n v="4860"/>
    <x v="35"/>
    <m/>
    <n v="120"/>
  </r>
  <r>
    <d v="2013-04-22T00:00:00"/>
    <x v="3"/>
    <x v="14"/>
    <x v="0"/>
    <s v="Card"/>
    <n v="1811"/>
    <x v="33"/>
    <m/>
    <n v="7"/>
  </r>
  <r>
    <d v="2013-04-22T00:00:00"/>
    <x v="3"/>
    <x v="14"/>
    <x v="0"/>
    <s v="Card"/>
    <n v="57"/>
    <x v="39"/>
    <m/>
    <n v="10"/>
  </r>
  <r>
    <d v="2013-04-22T00:00:00"/>
    <x v="3"/>
    <x v="14"/>
    <x v="0"/>
    <s v="Card"/>
    <n v="285"/>
    <x v="39"/>
    <m/>
    <n v="50"/>
  </r>
  <r>
    <d v="2013-04-24T00:00:00"/>
    <x v="3"/>
    <x v="13"/>
    <x v="0"/>
    <s v="Card"/>
    <n v="850"/>
    <x v="43"/>
    <m/>
    <m/>
  </r>
  <r>
    <d v="2013-04-27T00:00:00"/>
    <x v="3"/>
    <x v="13"/>
    <x v="0"/>
    <s v="Card"/>
    <n v="600"/>
    <x v="43"/>
    <m/>
    <m/>
  </r>
  <r>
    <d v="2013-04-27T00:00:00"/>
    <x v="3"/>
    <x v="13"/>
    <x v="0"/>
    <s v="Card"/>
    <n v="850"/>
    <x v="43"/>
    <m/>
    <m/>
  </r>
  <r>
    <d v="2013-05-01T00:00:00"/>
    <x v="4"/>
    <x v="13"/>
    <x v="0"/>
    <s v="Card"/>
    <n v="600"/>
    <x v="43"/>
    <m/>
    <m/>
  </r>
  <r>
    <d v="2013-05-01T00:00:00"/>
    <x v="4"/>
    <x v="15"/>
    <x v="0"/>
    <s v="Card"/>
    <n v="900"/>
    <x v="44"/>
    <m/>
    <m/>
  </r>
  <r>
    <d v="2013-05-04T00:00:00"/>
    <x v="4"/>
    <x v="10"/>
    <x v="1"/>
    <s v="Card"/>
    <n v="443"/>
    <x v="41"/>
    <m/>
    <n v="10"/>
  </r>
  <r>
    <d v="2013-05-07T00:00:00"/>
    <x v="4"/>
    <x v="13"/>
    <x v="0"/>
    <s v="Card"/>
    <n v="850"/>
    <x v="43"/>
    <m/>
    <m/>
  </r>
  <r>
    <d v="2013-05-07T00:00:00"/>
    <x v="4"/>
    <x v="15"/>
    <x v="0"/>
    <s v="Card"/>
    <n v="1140"/>
    <x v="45"/>
    <m/>
    <m/>
  </r>
  <r>
    <d v="2013-05-09T00:00:00"/>
    <x v="4"/>
    <x v="10"/>
    <x v="1"/>
    <s v="Card"/>
    <n v="1000"/>
    <x v="46"/>
    <m/>
    <m/>
  </r>
  <r>
    <d v="2013-05-09T00:00:00"/>
    <x v="4"/>
    <x v="10"/>
    <x v="1"/>
    <s v="Card"/>
    <n v="10"/>
    <x v="47"/>
    <m/>
    <n v="15"/>
  </r>
  <r>
    <d v="2013-05-09T00:00:00"/>
    <x v="4"/>
    <x v="10"/>
    <x v="1"/>
    <s v="Card"/>
    <n v="65"/>
    <x v="48"/>
    <m/>
    <n v="5"/>
  </r>
  <r>
    <d v="2013-05-10T00:00:00"/>
    <x v="4"/>
    <x v="13"/>
    <x v="0"/>
    <s v="Card"/>
    <n v="600"/>
    <x v="43"/>
    <m/>
    <m/>
  </r>
  <r>
    <d v="2013-05-10T00:00:00"/>
    <x v="4"/>
    <x v="13"/>
    <x v="0"/>
    <s v="Card"/>
    <n v="60"/>
    <x v="49"/>
    <m/>
    <m/>
  </r>
  <r>
    <d v="2013-05-10T00:00:00"/>
    <x v="4"/>
    <x v="13"/>
    <x v="0"/>
    <s v="Card"/>
    <n v="90"/>
    <x v="50"/>
    <m/>
    <m/>
  </r>
  <r>
    <d v="2013-05-17T00:00:00"/>
    <x v="4"/>
    <x v="2"/>
    <x v="1"/>
    <s v="Card"/>
    <n v="14"/>
    <x v="51"/>
    <m/>
    <n v="4"/>
  </r>
  <r>
    <d v="2013-05-17T00:00:00"/>
    <x v="4"/>
    <x v="2"/>
    <x v="1"/>
    <s v="Card"/>
    <n v="3"/>
    <x v="52"/>
    <m/>
    <n v="2"/>
  </r>
  <r>
    <d v="2013-05-18T00:00:00"/>
    <x v="4"/>
    <x v="16"/>
    <x v="0"/>
    <s v="Card"/>
    <n v="600"/>
    <x v="53"/>
    <s v="11 May to 18 May"/>
    <m/>
  </r>
  <r>
    <d v="2013-05-18T00:00:00"/>
    <x v="4"/>
    <x v="16"/>
    <x v="0"/>
    <s v="Card"/>
    <n v="45500"/>
    <x v="54"/>
    <s v="11 May to 18 May"/>
    <m/>
  </r>
  <r>
    <d v="2013-05-18T00:00:00"/>
    <x v="4"/>
    <x v="16"/>
    <x v="0"/>
    <s v="Card"/>
    <n v="3640"/>
    <x v="55"/>
    <s v="11 May to 18 May"/>
    <m/>
  </r>
  <r>
    <d v="2013-05-18T00:00:00"/>
    <x v="4"/>
    <x v="16"/>
    <x v="0"/>
    <s v="Card"/>
    <n v="8000"/>
    <x v="56"/>
    <s v="11 May to 18 May"/>
    <m/>
  </r>
  <r>
    <d v="2013-05-18T00:00:00"/>
    <x v="4"/>
    <x v="16"/>
    <x v="0"/>
    <s v="Card"/>
    <n v="1000"/>
    <x v="57"/>
    <s v="11 May to 18 May"/>
    <m/>
  </r>
  <r>
    <d v="2013-05-18T00:00:00"/>
    <x v="4"/>
    <x v="16"/>
    <x v="0"/>
    <s v="Card"/>
    <n v="7000"/>
    <x v="58"/>
    <s v="11 May to 18 May"/>
    <m/>
  </r>
  <r>
    <d v="2013-05-18T00:00:00"/>
    <x v="4"/>
    <x v="16"/>
    <x v="0"/>
    <s v="Card"/>
    <n v="11820"/>
    <x v="1"/>
    <s v="11 May to 18 May"/>
    <m/>
  </r>
  <r>
    <d v="2013-05-18T00:00:00"/>
    <x v="4"/>
    <x v="16"/>
    <x v="0"/>
    <s v="Card"/>
    <n v="620"/>
    <x v="59"/>
    <s v="11 May to 18 May"/>
    <m/>
  </r>
  <r>
    <d v="2013-05-18T00:00:00"/>
    <x v="4"/>
    <x v="16"/>
    <x v="0"/>
    <s v="Card"/>
    <n v="1520"/>
    <x v="60"/>
    <s v="11 May to 18 May"/>
    <m/>
  </r>
  <r>
    <d v="2013-05-18T00:00:00"/>
    <x v="4"/>
    <x v="16"/>
    <x v="0"/>
    <s v="Card"/>
    <n v="1410"/>
    <x v="61"/>
    <s v="11 May to 18 May"/>
    <m/>
  </r>
  <r>
    <d v="2013-05-18T00:00:00"/>
    <x v="4"/>
    <x v="16"/>
    <x v="0"/>
    <s v="Card"/>
    <n v="27600"/>
    <x v="62"/>
    <s v="11 May to 18 May"/>
    <m/>
  </r>
  <r>
    <d v="2013-05-18T00:00:00"/>
    <x v="4"/>
    <x v="16"/>
    <x v="0"/>
    <s v="Card"/>
    <n v="18100"/>
    <x v="63"/>
    <s v="11 May to 18 May"/>
    <m/>
  </r>
  <r>
    <d v="2013-05-18T00:00:00"/>
    <x v="4"/>
    <x v="16"/>
    <x v="0"/>
    <s v="Card"/>
    <n v="14300"/>
    <x v="64"/>
    <s v="11 May to 18 May"/>
    <m/>
  </r>
  <r>
    <d v="2013-05-18T00:00:00"/>
    <x v="4"/>
    <x v="16"/>
    <x v="0"/>
    <s v="Card"/>
    <n v="3575"/>
    <x v="65"/>
    <s v="11 May to 18 May"/>
    <m/>
  </r>
  <r>
    <d v="2013-05-18T00:00:00"/>
    <x v="4"/>
    <x v="16"/>
    <x v="0"/>
    <s v="Card"/>
    <n v="4290"/>
    <x v="66"/>
    <s v="11 May to 18 May"/>
    <m/>
  </r>
  <r>
    <d v="2013-05-18T00:00:00"/>
    <x v="4"/>
    <x v="16"/>
    <x v="0"/>
    <s v="Card"/>
    <n v="282"/>
    <x v="67"/>
    <s v="11 May to 18 May"/>
    <m/>
  </r>
  <r>
    <d v="2013-05-18T00:00:00"/>
    <x v="4"/>
    <x v="16"/>
    <x v="0"/>
    <s v="Card"/>
    <n v="9392"/>
    <x v="68"/>
    <s v="11 May to 18 May"/>
    <m/>
  </r>
  <r>
    <d v="2013-05-18T00:00:00"/>
    <x v="4"/>
    <x v="16"/>
    <x v="0"/>
    <s v="Card"/>
    <n v="8504"/>
    <x v="69"/>
    <s v="11 May to 18 May"/>
    <m/>
  </r>
  <r>
    <d v="2013-05-24T00:00:00"/>
    <x v="4"/>
    <x v="0"/>
    <x v="0"/>
    <s v="Card"/>
    <n v="200"/>
    <x v="70"/>
    <m/>
    <m/>
  </r>
  <r>
    <d v="2013-09-03T00:00:00"/>
    <x v="5"/>
    <x v="0"/>
    <x v="0"/>
    <s v="Card"/>
    <n v="400"/>
    <x v="0"/>
    <m/>
    <m/>
  </r>
  <r>
    <d v="2013-09-03T00:00:00"/>
    <x v="5"/>
    <x v="4"/>
    <x v="1"/>
    <s v="Cash"/>
    <n v="250"/>
    <x v="71"/>
    <m/>
    <m/>
  </r>
  <r>
    <d v="2013-09-05T00:00:00"/>
    <x v="5"/>
    <x v="0"/>
    <x v="1"/>
    <s v="Card"/>
    <n v="400"/>
    <x v="8"/>
    <m/>
    <m/>
  </r>
  <r>
    <d v="2013-09-05T00:00:00"/>
    <x v="5"/>
    <x v="1"/>
    <x v="1"/>
    <s v="Card"/>
    <n v="2410"/>
    <x v="7"/>
    <m/>
    <m/>
  </r>
  <r>
    <d v="2013-09-07T00:00:00"/>
    <x v="5"/>
    <x v="4"/>
    <x v="1"/>
    <s v="Cash"/>
    <n v="0"/>
    <x v="4"/>
    <m/>
    <m/>
  </r>
  <r>
    <d v="2013-09-10T00:00:00"/>
    <x v="5"/>
    <x v="0"/>
    <x v="1"/>
    <s v="Cash"/>
    <n v="0"/>
    <x v="8"/>
    <m/>
    <m/>
  </r>
  <r>
    <d v="2013-09-11T00:00:00"/>
    <x v="5"/>
    <x v="17"/>
    <x v="1"/>
    <s v="Card"/>
    <n v="95000"/>
    <x v="3"/>
    <m/>
    <m/>
  </r>
  <r>
    <d v="2013-09-11T00:00:00"/>
    <x v="5"/>
    <x v="2"/>
    <x v="0"/>
    <s v="Cash"/>
    <n v="42"/>
    <x v="72"/>
    <m/>
    <n v="2"/>
  </r>
  <r>
    <d v="2013-09-11T00:00:00"/>
    <x v="5"/>
    <x v="2"/>
    <x v="0"/>
    <s v="Cash"/>
    <n v="10"/>
    <x v="13"/>
    <m/>
    <n v="10"/>
  </r>
  <r>
    <d v="2013-09-11T00:00:00"/>
    <x v="5"/>
    <x v="2"/>
    <x v="1"/>
    <s v="Cash"/>
    <n v="3"/>
    <x v="11"/>
    <m/>
    <n v="5"/>
  </r>
  <r>
    <d v="2013-09-15T00:00:00"/>
    <x v="5"/>
    <x v="18"/>
    <x v="0"/>
    <s v="Card"/>
    <n v="26538"/>
    <x v="73"/>
    <m/>
    <n v="3"/>
  </r>
  <r>
    <d v="2013-09-18T00:00:00"/>
    <x v="5"/>
    <x v="18"/>
    <x v="0"/>
    <s v="Card"/>
    <n v="8846"/>
    <x v="73"/>
    <m/>
    <n v="1"/>
  </r>
  <r>
    <d v="2013-09-18T00:00:00"/>
    <x v="5"/>
    <x v="18"/>
    <x v="0"/>
    <s v="Card"/>
    <n v="1020"/>
    <x v="21"/>
    <m/>
    <n v="1"/>
  </r>
  <r>
    <d v="2013-09-18T00:00:00"/>
    <x v="5"/>
    <x v="18"/>
    <x v="0"/>
    <s v="Card"/>
    <n v="7"/>
    <x v="22"/>
    <m/>
    <n v="1"/>
  </r>
  <r>
    <d v="2013-09-19T00:00:00"/>
    <x v="5"/>
    <x v="1"/>
    <x v="0"/>
    <s v="Cash"/>
    <n v="370"/>
    <x v="20"/>
    <s v="Part of pre anaestesia check"/>
    <m/>
  </r>
  <r>
    <d v="2013-09-20T00:00:00"/>
    <x v="5"/>
    <x v="19"/>
    <x v="0"/>
    <s v="Card"/>
    <n v="0"/>
    <x v="23"/>
    <m/>
    <m/>
  </r>
  <r>
    <d v="2013-09-20T00:00:00"/>
    <x v="5"/>
    <x v="18"/>
    <x v="0"/>
    <s v="Card"/>
    <n v="17692"/>
    <x v="73"/>
    <m/>
    <n v="2"/>
  </r>
  <r>
    <d v="2013-09-20T00:00:00"/>
    <x v="5"/>
    <x v="18"/>
    <x v="0"/>
    <s v="Card"/>
    <n v="3060"/>
    <x v="21"/>
    <m/>
    <n v="3"/>
  </r>
  <r>
    <d v="2013-09-20T00:00:00"/>
    <x v="5"/>
    <x v="18"/>
    <x v="0"/>
    <s v="Card"/>
    <n v="2200"/>
    <x v="24"/>
    <m/>
    <n v="2"/>
  </r>
  <r>
    <d v="2013-09-20T00:00:00"/>
    <x v="5"/>
    <x v="18"/>
    <x v="0"/>
    <s v="Card"/>
    <n v="16"/>
    <x v="22"/>
    <m/>
    <n v="2"/>
  </r>
  <r>
    <d v="2013-09-20T00:00:00"/>
    <x v="5"/>
    <x v="18"/>
    <x v="0"/>
    <s v="Card"/>
    <n v="22"/>
    <x v="22"/>
    <m/>
    <n v="3"/>
  </r>
  <r>
    <d v="2013-09-22T00:00:00"/>
    <x v="5"/>
    <x v="19"/>
    <x v="0"/>
    <s v="Card"/>
    <n v="0"/>
    <x v="23"/>
    <m/>
    <m/>
  </r>
  <r>
    <d v="2013-09-22T00:00:00"/>
    <x v="5"/>
    <x v="19"/>
    <x v="0"/>
    <s v="Card"/>
    <n v="650"/>
    <x v="15"/>
    <m/>
    <m/>
  </r>
  <r>
    <d v="2013-09-23T00:00:00"/>
    <x v="5"/>
    <x v="18"/>
    <x v="0"/>
    <s v="Card"/>
    <n v="1100"/>
    <x v="24"/>
    <m/>
    <n v="1"/>
  </r>
  <r>
    <d v="2013-09-23T00:00:00"/>
    <x v="5"/>
    <x v="18"/>
    <x v="0"/>
    <s v="Card"/>
    <n v="8"/>
    <x v="22"/>
    <m/>
    <n v="1"/>
  </r>
  <r>
    <d v="2013-09-23T00:00:00"/>
    <x v="5"/>
    <x v="18"/>
    <x v="1"/>
    <s v="Card"/>
    <n v="1500"/>
    <x v="26"/>
    <m/>
    <n v="1"/>
  </r>
  <r>
    <d v="2013-09-23T00:00:00"/>
    <x v="5"/>
    <x v="4"/>
    <x v="1"/>
    <s v="Card"/>
    <n v="3960"/>
    <x v="14"/>
    <m/>
    <m/>
  </r>
  <r>
    <d v="2013-09-25T00:00:00"/>
    <x v="5"/>
    <x v="20"/>
    <x v="0"/>
    <s v="Cash"/>
    <n v="58"/>
    <x v="27"/>
    <m/>
    <n v="1"/>
  </r>
  <r>
    <d v="2013-09-25T00:00:00"/>
    <x v="5"/>
    <x v="20"/>
    <x v="0"/>
    <s v="Cash"/>
    <n v="77"/>
    <x v="31"/>
    <m/>
    <n v="1"/>
  </r>
  <r>
    <d v="2013-09-25T00:00:00"/>
    <x v="5"/>
    <x v="20"/>
    <x v="0"/>
    <s v="Cash"/>
    <n v="8"/>
    <x v="22"/>
    <m/>
    <n v="1"/>
  </r>
  <r>
    <d v="2013-09-25T00:00:00"/>
    <x v="5"/>
    <x v="20"/>
    <x v="0"/>
    <s v="Cash"/>
    <n v="16"/>
    <x v="22"/>
    <m/>
    <n v="1"/>
  </r>
  <r>
    <d v="2013-09-25T00:00:00"/>
    <x v="5"/>
    <x v="20"/>
    <x v="0"/>
    <s v="Cash"/>
    <n v="7"/>
    <x v="22"/>
    <m/>
    <n v="1"/>
  </r>
  <r>
    <d v="2013-09-25T00:00:00"/>
    <x v="5"/>
    <x v="21"/>
    <x v="1"/>
    <s v="Card"/>
    <n v="30000"/>
    <x v="74"/>
    <m/>
    <m/>
  </r>
  <r>
    <d v="2013-09-25T00:00:00"/>
    <x v="5"/>
    <x v="20"/>
    <x v="1"/>
    <s v="Card"/>
    <n v="627"/>
    <x v="32"/>
    <m/>
    <n v="6"/>
  </r>
  <r>
    <d v="2013-09-25T00:00:00"/>
    <x v="5"/>
    <x v="20"/>
    <x v="1"/>
    <s v="Card"/>
    <n v="49"/>
    <x v="22"/>
    <m/>
    <n v="6"/>
  </r>
  <r>
    <d v="2013-09-25T00:00:00"/>
    <x v="5"/>
    <x v="20"/>
    <x v="1"/>
    <s v="Card"/>
    <n v="282"/>
    <x v="33"/>
    <m/>
    <n v="1"/>
  </r>
  <r>
    <d v="2013-09-25T00:00:00"/>
    <x v="5"/>
    <x v="20"/>
    <x v="1"/>
    <s v="Card"/>
    <n v="11"/>
    <x v="34"/>
    <m/>
    <n v="5"/>
  </r>
  <r>
    <d v="2013-09-25T00:00:00"/>
    <x v="5"/>
    <x v="20"/>
    <x v="1"/>
    <s v="Card"/>
    <n v="40"/>
    <x v="35"/>
    <m/>
    <n v="1"/>
  </r>
  <r>
    <d v="2013-09-30T00:00:00"/>
    <x v="5"/>
    <x v="22"/>
    <x v="0"/>
    <s v="Card"/>
    <n v="418"/>
    <x v="32"/>
    <m/>
    <n v="4"/>
  </r>
  <r>
    <d v="2013-09-30T00:00:00"/>
    <x v="5"/>
    <x v="22"/>
    <x v="0"/>
    <s v="Card"/>
    <n v="33"/>
    <x v="22"/>
    <m/>
    <n v="4"/>
  </r>
  <r>
    <d v="2013-09-30T00:00:00"/>
    <x v="5"/>
    <x v="22"/>
    <x v="0"/>
    <s v="Card"/>
    <n v="531"/>
    <x v="37"/>
    <m/>
    <n v="15"/>
  </r>
  <r>
    <d v="2013-09-30T00:00:00"/>
    <x v="5"/>
    <x v="22"/>
    <x v="0"/>
    <s v="Card"/>
    <n v="10"/>
    <x v="11"/>
    <m/>
    <n v="10"/>
  </r>
  <r>
    <d v="2013-09-30T00:00:00"/>
    <x v="5"/>
    <x v="22"/>
    <x v="0"/>
    <s v="Card"/>
    <n v="2"/>
    <x v="38"/>
    <m/>
    <n v="10"/>
  </r>
  <r>
    <d v="2013-09-30T00:00:00"/>
    <x v="5"/>
    <x v="22"/>
    <x v="0"/>
    <s v="Card"/>
    <n v="94"/>
    <x v="39"/>
    <m/>
    <n v="15"/>
  </r>
  <r>
    <d v="2013-10-14T00:00:00"/>
    <x v="6"/>
    <x v="19"/>
    <x v="0"/>
    <s v="Card"/>
    <n v="850"/>
    <x v="43"/>
    <s v="Not pregnant"/>
    <m/>
  </r>
  <r>
    <m/>
    <x v="7"/>
    <x v="23"/>
    <x v="2"/>
    <m/>
    <m/>
    <x v="3"/>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x v="0"/>
    <d v="2011-06-11T00:00:00"/>
    <s v="Jun"/>
    <x v="0"/>
    <x v="0"/>
    <s v="Me"/>
    <n v="215"/>
    <m/>
    <s v="Medicine"/>
  </r>
  <r>
    <x v="0"/>
    <d v="2011-07-31T00:00:00"/>
    <s v="Jul"/>
    <x v="0"/>
    <x v="1"/>
    <m/>
    <n v="500"/>
    <m/>
    <s v="Consult"/>
  </r>
  <r>
    <x v="0"/>
    <d v="2011-08-07T00:00:00"/>
    <s v="Aug"/>
    <x v="0"/>
    <x v="2"/>
    <m/>
    <n v="532"/>
    <s v="Pregnil 5000"/>
    <s v="Injection"/>
  </r>
  <r>
    <x v="0"/>
    <d v="2011-08-07T00:00:00"/>
    <s v="Aug"/>
    <x v="0"/>
    <x v="0"/>
    <m/>
    <n v="440"/>
    <m/>
    <s v="Medicine"/>
  </r>
  <r>
    <x v="0"/>
    <d v="2011-08-13T00:00:00"/>
    <s v="Aug"/>
    <x v="0"/>
    <x v="2"/>
    <s v="Me"/>
    <n v="532"/>
    <s v="HCG"/>
    <s v="Injection"/>
  </r>
  <r>
    <x v="0"/>
    <d v="2011-08-23T00:00:00"/>
    <s v="Aug"/>
    <x v="0"/>
    <x v="3"/>
    <m/>
    <n v="250"/>
    <m/>
    <s v="Scan"/>
  </r>
  <r>
    <x v="0"/>
    <d v="2011-08-28T00:00:00"/>
    <s v="Aug"/>
    <x v="0"/>
    <x v="2"/>
    <m/>
    <n v="532"/>
    <s v="Pregnil 5000"/>
    <s v="Injection"/>
  </r>
  <r>
    <x v="0"/>
    <d v="2011-09-11T00:00:00"/>
    <s v="Sep"/>
    <x v="0"/>
    <x v="0"/>
    <m/>
    <n v="944"/>
    <m/>
    <s v="Medicine"/>
  </r>
  <r>
    <x v="0"/>
    <d v="2011-09-11T00:00:00"/>
    <s v="Sep"/>
    <x v="0"/>
    <x v="1"/>
    <m/>
    <n v="300"/>
    <m/>
    <s v="Consult"/>
  </r>
  <r>
    <x v="0"/>
    <d v="2011-09-18T00:00:00"/>
    <s v="Sep"/>
    <x v="0"/>
    <x v="4"/>
    <s v="DH"/>
    <n v="360"/>
    <m/>
    <s v="SA"/>
  </r>
  <r>
    <x v="0"/>
    <d v="2011-09-18T00:00:00"/>
    <s v="Sep"/>
    <x v="0"/>
    <x v="2"/>
    <m/>
    <n v="602"/>
    <s v="Koragon 5000"/>
    <s v="Injection"/>
  </r>
  <r>
    <x v="0"/>
    <d v="2011-09-22T00:00:00"/>
    <s v="Sep"/>
    <x v="0"/>
    <x v="5"/>
    <m/>
    <n v="8000"/>
    <s v="IUI"/>
    <s v="IUI"/>
  </r>
  <r>
    <x v="0"/>
    <d v="2011-09-22T00:00:00"/>
    <s v="Sep"/>
    <x v="0"/>
    <x v="6"/>
    <m/>
    <n v="100"/>
    <m/>
    <s v="ULHS"/>
  </r>
  <r>
    <x v="0"/>
    <d v="2011-09-23T00:00:00"/>
    <s v="Sep"/>
    <x v="0"/>
    <x v="5"/>
    <m/>
    <n v="8000"/>
    <s v="IUI"/>
    <s v="IUI"/>
  </r>
  <r>
    <x v="0"/>
    <d v="2011-09-23T00:00:00"/>
    <s v="Sep"/>
    <x v="0"/>
    <x v="7"/>
    <m/>
    <n v="100"/>
    <n v="2"/>
    <s v="UP test"/>
  </r>
  <r>
    <x v="0"/>
    <d v="2011-09-23T00:00:00"/>
    <s v="Sep"/>
    <x v="0"/>
    <x v="0"/>
    <m/>
    <n v="285"/>
    <m/>
    <s v="Medicine"/>
  </r>
  <r>
    <x v="0"/>
    <d v="2011-09-25T00:00:00"/>
    <s v="Sep"/>
    <x v="0"/>
    <x v="2"/>
    <s v="Me"/>
    <n v="602"/>
    <s v="Koragon 5000"/>
    <s v="Injection"/>
  </r>
  <r>
    <x v="0"/>
    <d v="2011-10-02T00:00:00"/>
    <s v="Oct"/>
    <x v="0"/>
    <x v="2"/>
    <m/>
    <n v="602"/>
    <s v="Koragon 5000"/>
    <s v="Injection"/>
  </r>
  <r>
    <x v="0"/>
    <d v="2011-10-02T00:00:00"/>
    <s v="Oct"/>
    <x v="0"/>
    <x v="0"/>
    <m/>
    <n v="1346"/>
    <m/>
    <s v="Medicine"/>
  </r>
  <r>
    <x v="0"/>
    <d v="2011-10-10T00:00:00"/>
    <s v="Oct"/>
    <x v="0"/>
    <x v="2"/>
    <m/>
    <n v="602"/>
    <s v="Koragon 5000"/>
    <s v="Injection"/>
  </r>
  <r>
    <x v="0"/>
    <d v="2011-10-16T00:00:00"/>
    <s v="Oct"/>
    <x v="0"/>
    <x v="0"/>
    <m/>
    <n v="44"/>
    <m/>
    <s v="Medicine"/>
  </r>
  <r>
    <x v="0"/>
    <d v="2011-10-16T00:00:00"/>
    <s v="Oct"/>
    <x v="0"/>
    <x v="2"/>
    <m/>
    <n v="602"/>
    <s v="Koragon 5000"/>
    <s v="Injection"/>
  </r>
  <r>
    <x v="0"/>
    <d v="2011-10-31T00:00:00"/>
    <s v="Oct"/>
    <x v="0"/>
    <x v="2"/>
    <m/>
    <n v="602"/>
    <s v="Koragon 5000"/>
    <s v="Injection"/>
  </r>
  <r>
    <x v="0"/>
    <d v="2011-10-31T00:00:00"/>
    <s v="Oct"/>
    <x v="0"/>
    <x v="0"/>
    <m/>
    <n v="825"/>
    <m/>
    <s v="Medicine"/>
  </r>
  <r>
    <x v="0"/>
    <d v="2011-10-31T00:00:00"/>
    <s v="Oct"/>
    <x v="0"/>
    <x v="1"/>
    <m/>
    <n v="300"/>
    <m/>
    <s v="Consult"/>
  </r>
  <r>
    <x v="0"/>
    <d v="2011-11-09T00:00:00"/>
    <s v="Nov"/>
    <x v="0"/>
    <x v="2"/>
    <m/>
    <n v="602"/>
    <s v="Koragon 5000"/>
    <s v="Injection"/>
  </r>
  <r>
    <x v="0"/>
    <d v="2011-11-09T00:00:00"/>
    <s v="Nov"/>
    <x v="0"/>
    <x v="0"/>
    <m/>
    <n v="1346"/>
    <m/>
    <s v="Medicine"/>
  </r>
  <r>
    <x v="0"/>
    <d v="2011-11-13T00:00:00"/>
    <s v="Nov"/>
    <x v="0"/>
    <x v="2"/>
    <m/>
    <n v="602"/>
    <s v="Koragon 5000"/>
    <s v="Injection"/>
  </r>
  <r>
    <x v="0"/>
    <d v="2011-11-13T00:00:00"/>
    <s v="Nov"/>
    <x v="0"/>
    <x v="0"/>
    <m/>
    <n v="225"/>
    <m/>
    <s v="Medicine"/>
  </r>
  <r>
    <x v="0"/>
    <d v="2011-11-21T00:00:00"/>
    <s v="Nov"/>
    <x v="0"/>
    <x v="2"/>
    <m/>
    <n v="602"/>
    <s v="Koragon 5000"/>
    <s v="Injection"/>
  </r>
  <r>
    <x v="0"/>
    <d v="2011-12-12T00:00:00"/>
    <s v="Dec"/>
    <x v="0"/>
    <x v="2"/>
    <m/>
    <n v="602"/>
    <s v="Koragon 5000"/>
    <s v="Injection"/>
  </r>
  <r>
    <x v="0"/>
    <d v="2011-12-12T00:00:00"/>
    <s v="Dec"/>
    <x v="0"/>
    <x v="0"/>
    <m/>
    <n v="1094"/>
    <m/>
    <s v="Medicine"/>
  </r>
  <r>
    <x v="0"/>
    <d v="2011-12-19T00:00:00"/>
    <s v="Dec"/>
    <x v="0"/>
    <x v="2"/>
    <m/>
    <n v="602"/>
    <s v="Koragon 5000"/>
    <s v="Injection"/>
  </r>
  <r>
    <x v="0"/>
    <d v="2011-12-24T00:00:00"/>
    <s v="Dec"/>
    <x v="0"/>
    <x v="3"/>
    <s v="Me"/>
    <n v="250"/>
    <m/>
    <s v="Scan"/>
  </r>
  <r>
    <x v="0"/>
    <d v="2011-12-28T00:00:00"/>
    <s v="Dec"/>
    <x v="0"/>
    <x v="2"/>
    <m/>
    <n v="475"/>
    <s v="HCG 5000"/>
    <s v="Injection"/>
  </r>
  <r>
    <x v="0"/>
    <d v="2012-01-02T00:00:00"/>
    <s v="Jan"/>
    <x v="1"/>
    <x v="2"/>
    <m/>
    <n v="602"/>
    <s v="Koragon 5000"/>
    <s v="Injection"/>
  </r>
  <r>
    <x v="0"/>
    <d v="2012-01-09T00:00:00"/>
    <s v="Jan"/>
    <x v="1"/>
    <x v="2"/>
    <m/>
    <n v="602"/>
    <s v="Koragon 5000"/>
    <s v="Injection"/>
  </r>
  <r>
    <x v="0"/>
    <d v="2012-01-16T00:00:00"/>
    <s v="Jan"/>
    <x v="1"/>
    <x v="2"/>
    <m/>
    <n v="602"/>
    <s v="Koragon 5000"/>
    <s v="Injection"/>
  </r>
  <r>
    <x v="0"/>
    <d v="2012-01-23T00:00:00"/>
    <s v="Jan"/>
    <x v="1"/>
    <x v="2"/>
    <m/>
    <n v="602"/>
    <s v="Koragon 5000"/>
    <s v="Injection"/>
  </r>
  <r>
    <x v="0"/>
    <d v="2012-01-23T00:00:00"/>
    <s v="Jan"/>
    <x v="1"/>
    <x v="0"/>
    <m/>
    <n v="975"/>
    <m/>
    <s v="Medicine"/>
  </r>
  <r>
    <x v="0"/>
    <d v="2012-01-30T00:00:00"/>
    <s v="Jan"/>
    <x v="1"/>
    <x v="2"/>
    <m/>
    <n v="602"/>
    <s v="Koragon 5000"/>
    <s v="Injection"/>
  </r>
  <r>
    <x v="0"/>
    <d v="2012-02-06T00:00:00"/>
    <s v="Feb"/>
    <x v="1"/>
    <x v="2"/>
    <m/>
    <n v="602"/>
    <s v="Koragon 5000"/>
    <s v="Injection"/>
  </r>
  <r>
    <x v="0"/>
    <d v="2012-02-10T00:00:00"/>
    <s v="Feb"/>
    <x v="1"/>
    <x v="3"/>
    <m/>
    <n v="250"/>
    <m/>
    <s v="Scan"/>
  </r>
  <r>
    <x v="0"/>
    <d v="2012-02-11T00:00:00"/>
    <s v="Feb"/>
    <x v="1"/>
    <x v="5"/>
    <m/>
    <n v="5000"/>
    <s v="IUI"/>
    <s v="IUI"/>
  </r>
  <r>
    <x v="0"/>
    <d v="2012-02-11T00:00:00"/>
    <s v="Feb"/>
    <x v="1"/>
    <x v="3"/>
    <m/>
    <n v="250"/>
    <m/>
    <s v="Scan"/>
  </r>
  <r>
    <x v="0"/>
    <d v="2012-02-11T00:00:00"/>
    <s v="Feb"/>
    <x v="1"/>
    <x v="2"/>
    <m/>
    <n v="602"/>
    <s v="Koragon 5000"/>
    <s v="Injection"/>
  </r>
  <r>
    <x v="0"/>
    <d v="2012-02-12T00:00:00"/>
    <s v="Feb"/>
    <x v="1"/>
    <x v="2"/>
    <m/>
    <n v="602"/>
    <s v="Koragon 5000"/>
    <s v="Injection"/>
  </r>
  <r>
    <x v="0"/>
    <d v="2012-02-12T00:00:00"/>
    <s v="Feb"/>
    <x v="1"/>
    <x v="0"/>
    <m/>
    <n v="285"/>
    <m/>
    <s v="Medicine"/>
  </r>
  <r>
    <x v="0"/>
    <d v="2012-02-12T00:00:00"/>
    <s v="Feb"/>
    <x v="1"/>
    <x v="7"/>
    <m/>
    <n v="55"/>
    <n v="1"/>
    <s v="UP test"/>
  </r>
  <r>
    <x v="0"/>
    <d v="2012-02-12T00:00:00"/>
    <s v="Feb"/>
    <x v="1"/>
    <x v="5"/>
    <m/>
    <n v="5000"/>
    <s v="IUI"/>
    <s v="IUI"/>
  </r>
  <r>
    <x v="0"/>
    <d v="2012-02-21T00:00:00"/>
    <s v="Feb"/>
    <x v="1"/>
    <x v="2"/>
    <m/>
    <n v="602"/>
    <s v="Koragon 5000"/>
    <s v="Injection"/>
  </r>
  <r>
    <x v="0"/>
    <d v="2012-02-28T00:00:00"/>
    <s v="Feb"/>
    <x v="1"/>
    <x v="2"/>
    <s v="Me"/>
    <n v="602"/>
    <s v="Koragon 5000"/>
    <s v="Injection"/>
  </r>
  <r>
    <x v="0"/>
    <d v="2012-03-03T00:00:00"/>
    <s v="Mar"/>
    <x v="1"/>
    <x v="0"/>
    <m/>
    <n v="1050"/>
    <m/>
    <s v="Medicine"/>
  </r>
  <r>
    <x v="0"/>
    <d v="2012-03-06T00:00:00"/>
    <s v="Mar"/>
    <x v="1"/>
    <x v="2"/>
    <s v="Me"/>
    <n v="602"/>
    <s v="Koragon 5000"/>
    <s v="Injection"/>
  </r>
  <r>
    <x v="0"/>
    <d v="2012-03-12T00:00:00"/>
    <s v="Mar"/>
    <x v="1"/>
    <x v="2"/>
    <m/>
    <n v="602"/>
    <s v="Koragon 5000"/>
    <s v="Injection"/>
  </r>
  <r>
    <x v="0"/>
    <d v="2012-03-12T00:00:00"/>
    <s v="Mar"/>
    <x v="1"/>
    <x v="0"/>
    <m/>
    <n v="46"/>
    <m/>
    <s v="Medicine"/>
  </r>
  <r>
    <x v="0"/>
    <d v="2012-03-13T00:00:00"/>
    <s v="Mar"/>
    <x v="1"/>
    <x v="3"/>
    <s v="Me"/>
    <n v="250"/>
    <m/>
    <s v="Scan"/>
  </r>
  <r>
    <x v="0"/>
    <d v="2012-03-13T00:00:00"/>
    <s v="Mar"/>
    <x v="1"/>
    <x v="2"/>
    <s v="Me"/>
    <n v="900"/>
    <s v="Sifasi 10000"/>
    <s v="Injection"/>
  </r>
  <r>
    <x v="0"/>
    <d v="2012-03-14T00:00:00"/>
    <s v="Mar"/>
    <x v="1"/>
    <x v="5"/>
    <s v="Me"/>
    <n v="5000"/>
    <s v="IUI"/>
    <s v="IUI"/>
  </r>
  <r>
    <x v="0"/>
    <d v="2012-03-15T00:00:00"/>
    <s v="Mar"/>
    <x v="1"/>
    <x v="5"/>
    <m/>
    <n v="5000"/>
    <s v="IUI"/>
    <s v="IUI"/>
  </r>
  <r>
    <x v="0"/>
    <d v="2012-03-15T00:00:00"/>
    <s v="Mar"/>
    <x v="1"/>
    <x v="0"/>
    <m/>
    <n v="287"/>
    <m/>
    <s v="Medicine"/>
  </r>
  <r>
    <x v="0"/>
    <d v="2012-03-15T00:00:00"/>
    <s v="Mar"/>
    <x v="1"/>
    <x v="7"/>
    <s v="Me"/>
    <n v="110"/>
    <n v="2"/>
    <s v="UP test"/>
  </r>
  <r>
    <x v="0"/>
    <d v="2012-03-20T00:00:00"/>
    <s v="Mar"/>
    <x v="1"/>
    <x v="2"/>
    <m/>
    <n v="602"/>
    <s v="Koragon 5000"/>
    <s v="Injection"/>
  </r>
  <r>
    <x v="0"/>
    <d v="2012-03-26T00:00:00"/>
    <s v="Mar"/>
    <x v="1"/>
    <x v="2"/>
    <m/>
    <n v="602"/>
    <s v="Koragon 5000"/>
    <s v="Injection"/>
  </r>
  <r>
    <x v="0"/>
    <d v="2012-04-09T00:00:00"/>
    <s v="Apr"/>
    <x v="1"/>
    <x v="2"/>
    <s v="Me"/>
    <n v="602"/>
    <s v="Koragon 5000"/>
    <s v="Injection"/>
  </r>
  <r>
    <x v="0"/>
    <d v="2012-04-09T00:00:00"/>
    <s v="Apr"/>
    <x v="1"/>
    <x v="0"/>
    <s v="Me"/>
    <n v="1021"/>
    <m/>
    <s v="Medicine"/>
  </r>
  <r>
    <x v="0"/>
    <d v="2012-04-13T00:00:00"/>
    <s v="Apr"/>
    <x v="1"/>
    <x v="2"/>
    <s v="Me"/>
    <n v="602"/>
    <s v="Koragon 5000"/>
    <s v="Injection"/>
  </r>
  <r>
    <x v="0"/>
    <d v="2012-04-13T00:00:00"/>
    <s v="Apr"/>
    <x v="1"/>
    <x v="3"/>
    <s v="Me"/>
    <n v="250"/>
    <m/>
    <s v="Scan"/>
  </r>
  <r>
    <x v="0"/>
    <d v="2012-04-15T00:00:00"/>
    <s v="Apr"/>
    <x v="1"/>
    <x v="5"/>
    <m/>
    <n v="5000"/>
    <s v="IUI"/>
    <s v="IUI"/>
  </r>
  <r>
    <x v="0"/>
    <d v="2012-04-16T00:00:00"/>
    <s v="Apr"/>
    <x v="1"/>
    <x v="2"/>
    <s v="Me"/>
    <n v="602"/>
    <s v="Koragon 5000"/>
    <s v="Injection"/>
  </r>
  <r>
    <x v="0"/>
    <d v="2012-04-30T00:00:00"/>
    <s v="Apr"/>
    <x v="1"/>
    <x v="2"/>
    <m/>
    <n v="602"/>
    <s v="Koragon 5000"/>
    <s v="Injection"/>
  </r>
  <r>
    <x v="0"/>
    <d v="2012-05-02T00:00:00"/>
    <s v="May"/>
    <x v="1"/>
    <x v="2"/>
    <s v="Me"/>
    <n v="910"/>
    <s v="Sifasi 10000"/>
    <s v="Injection"/>
  </r>
  <r>
    <x v="0"/>
    <d v="2012-05-07T00:00:00"/>
    <s v="May"/>
    <x v="1"/>
    <x v="3"/>
    <s v="Me"/>
    <n v="250"/>
    <m/>
    <s v="Scan"/>
  </r>
  <r>
    <x v="0"/>
    <d v="2012-05-07T00:00:00"/>
    <s v="May"/>
    <x v="1"/>
    <x v="0"/>
    <s v="Me"/>
    <n v="852"/>
    <m/>
    <s v="Medicine"/>
  </r>
  <r>
    <x v="0"/>
    <d v="2012-05-18T00:00:00"/>
    <s v="May"/>
    <x v="1"/>
    <x v="0"/>
    <s v="Me"/>
    <n v="2820"/>
    <m/>
    <s v="Medicine"/>
  </r>
  <r>
    <x v="0"/>
    <d v="2012-05-20T00:00:00"/>
    <s v="May"/>
    <x v="1"/>
    <x v="8"/>
    <s v="Me"/>
    <n v="180000"/>
    <s v="IVF"/>
    <s v="IVF"/>
  </r>
  <r>
    <x v="0"/>
    <d v="2012-05-27T00:00:00"/>
    <s v="May"/>
    <x v="1"/>
    <x v="2"/>
    <s v="Me"/>
    <n v="900"/>
    <s v="Sifasi 10000"/>
    <s v="Injection"/>
  </r>
  <r>
    <x v="0"/>
    <d v="2012-06-10T00:00:00"/>
    <s v="Jun"/>
    <x v="1"/>
    <x v="0"/>
    <s v="Me"/>
    <n v="523"/>
    <m/>
    <s v="Medicine"/>
  </r>
  <r>
    <x v="0"/>
    <d v="2012-06-21T00:00:00"/>
    <s v="Jun"/>
    <x v="1"/>
    <x v="3"/>
    <s v="Me"/>
    <n v="250"/>
    <m/>
    <s v="Scan"/>
  </r>
  <r>
    <x v="0"/>
    <d v="2012-06-25T00:00:00"/>
    <s v="Jun"/>
    <x v="1"/>
    <x v="7"/>
    <s v="Me"/>
    <n v="110"/>
    <n v="2"/>
    <s v="UP test"/>
  </r>
  <r>
    <x v="0"/>
    <d v="2012-06-25T00:00:00"/>
    <s v="Jun"/>
    <x v="1"/>
    <x v="9"/>
    <s v="Me"/>
    <n v="5000"/>
    <s v="FET"/>
    <s v="FET"/>
  </r>
  <r>
    <x v="0"/>
    <d v="2012-06-25T00:00:00"/>
    <s v="Jun"/>
    <x v="1"/>
    <x v="10"/>
    <s v="Me"/>
    <n v="2499"/>
    <m/>
    <s v="FET medicine"/>
  </r>
  <r>
    <x v="1"/>
    <d v="2013-01-04T00:00:00"/>
    <s v="Jan"/>
    <x v="2"/>
    <x v="1"/>
    <s v="Me"/>
    <n v="400"/>
    <s v="Bina"/>
    <n v="0"/>
  </r>
  <r>
    <x v="1"/>
    <d v="2013-01-19T00:00:00"/>
    <s v="Jan"/>
    <x v="2"/>
    <x v="11"/>
    <s v="Me"/>
    <n v="9170"/>
    <s v="Biochemistry"/>
    <n v="0"/>
  </r>
  <r>
    <x v="1"/>
    <d v="2013-01-21T00:00:00"/>
    <s v="Jan"/>
    <x v="2"/>
    <x v="0"/>
    <s v="Me"/>
    <n v="35"/>
    <s v="Cytolog 200 mcg tablet "/>
    <n v="0"/>
  </r>
  <r>
    <x v="1"/>
    <d v="2013-01-21T00:00:00"/>
    <s v="Jan"/>
    <x v="2"/>
    <x v="12"/>
    <s v="DH"/>
    <n v="100"/>
    <n v="0"/>
    <n v="0"/>
  </r>
  <r>
    <x v="1"/>
    <d v="2013-01-21T00:00:00"/>
    <s v="Jan"/>
    <x v="2"/>
    <x v="4"/>
    <s v="DH"/>
    <n v="2660"/>
    <s v="DFI"/>
    <n v="0"/>
  </r>
  <r>
    <x v="1"/>
    <d v="2013-01-21T00:00:00"/>
    <s v="Jan"/>
    <x v="2"/>
    <x v="1"/>
    <s v="Me"/>
    <n v="400"/>
    <s v="Manju"/>
    <n v="0"/>
  </r>
  <r>
    <x v="1"/>
    <d v="2013-01-21T00:00:00"/>
    <s v="Jan"/>
    <x v="2"/>
    <x v="3"/>
    <s v="Me"/>
    <n v="790"/>
    <n v="0"/>
    <n v="0"/>
  </r>
  <r>
    <x v="1"/>
    <d v="2013-01-25T00:00:00"/>
    <s v="Jan"/>
    <x v="2"/>
    <x v="13"/>
    <s v="Me"/>
    <n v="28403"/>
    <s v="Hysteroscopy"/>
    <n v="0"/>
  </r>
  <r>
    <x v="1"/>
    <d v="2013-01-25T00:00:00"/>
    <s v="Jan"/>
    <x v="2"/>
    <x v="11"/>
    <s v="DH"/>
    <n v="3410"/>
    <s v="Hepatitis + HIV"/>
    <n v="0"/>
  </r>
  <r>
    <x v="1"/>
    <d v="2013-01-25T00:00:00"/>
    <s v="Jan"/>
    <x v="2"/>
    <x v="1"/>
    <s v="DH"/>
    <n v="400"/>
    <s v="Vasan"/>
    <n v="0"/>
  </r>
  <r>
    <x v="1"/>
    <d v="2013-02-01T00:00:00"/>
    <s v="Feb"/>
    <x v="2"/>
    <x v="0"/>
    <s v="Me"/>
    <n v="55"/>
    <s v="Primolut-N 5 mg tablet "/>
    <n v="0"/>
  </r>
  <r>
    <x v="1"/>
    <d v="2013-02-01T00:00:00"/>
    <s v="Feb"/>
    <x v="2"/>
    <x v="0"/>
    <s v="DH"/>
    <n v="400"/>
    <s v="Paternia tablet "/>
    <n v="0"/>
  </r>
  <r>
    <x v="1"/>
    <d v="2013-02-01T00:00:00"/>
    <s v="Feb"/>
    <x v="2"/>
    <x v="0"/>
    <s v="DH"/>
    <n v="6"/>
    <s v="Wysolone 5 mg disp tablet "/>
    <n v="0"/>
  </r>
  <r>
    <x v="1"/>
    <d v="2013-02-15T00:00:00"/>
    <s v="Feb"/>
    <x v="2"/>
    <x v="0"/>
    <s v="Me"/>
    <n v="63"/>
    <s v="Azithral 500 mg tablet "/>
    <n v="0"/>
  </r>
  <r>
    <x v="1"/>
    <d v="2013-02-15T00:00:00"/>
    <s v="Feb"/>
    <x v="2"/>
    <x v="0"/>
    <s v="Me"/>
    <n v="7"/>
    <s v="Metrogyl 400 mg tablet "/>
    <n v="0"/>
  </r>
  <r>
    <x v="1"/>
    <d v="2013-02-15T00:00:00"/>
    <s v="Feb"/>
    <x v="2"/>
    <x v="14"/>
    <s v="DH"/>
    <n v="115000"/>
    <n v="0"/>
    <n v="0"/>
  </r>
  <r>
    <x v="1"/>
    <d v="2013-02-23T00:00:00"/>
    <s v="Feb"/>
    <x v="2"/>
    <x v="4"/>
    <s v="DH"/>
    <n v="3300"/>
    <s v="Temp cryo freezing and DFI for a month"/>
    <n v="0"/>
  </r>
  <r>
    <x v="1"/>
    <d v="2013-02-24T00:00:00"/>
    <s v="Feb"/>
    <x v="2"/>
    <x v="11"/>
    <s v="Me"/>
    <n v="650"/>
    <s v="Progesterone"/>
    <n v="0"/>
  </r>
  <r>
    <x v="1"/>
    <d v="2013-02-25T00:00:00"/>
    <s v="Feb"/>
    <x v="2"/>
    <x v="1"/>
    <s v="DH"/>
    <n v="400"/>
    <s v="Vasan"/>
    <n v="0"/>
  </r>
  <r>
    <x v="1"/>
    <d v="2013-02-25T00:00:00"/>
    <s v="Feb"/>
    <x v="2"/>
    <x v="0"/>
    <s v="DH"/>
    <n v="3"/>
    <s v="Wysolone 5 mg disp tablet "/>
    <n v="0"/>
  </r>
  <r>
    <x v="1"/>
    <d v="2013-02-25T00:00:00"/>
    <s v="Feb"/>
    <x v="2"/>
    <x v="0"/>
    <s v="DH"/>
    <n v="400"/>
    <s v="Paternia tablet "/>
    <n v="0"/>
  </r>
  <r>
    <x v="1"/>
    <d v="2013-02-25T00:00:00"/>
    <s v="Feb"/>
    <x v="2"/>
    <x v="0"/>
    <s v="DH"/>
    <n v="382"/>
    <s v="Maxoza-L sachet "/>
    <n v="0"/>
  </r>
  <r>
    <x v="1"/>
    <d v="2013-02-26T00:00:00"/>
    <s v="Feb"/>
    <x v="2"/>
    <x v="13"/>
    <s v="Me"/>
    <n v="9066"/>
    <s v="Cyst aspiration"/>
    <n v="0"/>
  </r>
  <r>
    <x v="1"/>
    <d v="2013-02-26T00:00:00"/>
    <s v="Feb"/>
    <x v="2"/>
    <x v="0"/>
    <s v="Me"/>
    <n v="130"/>
    <s v="Novelon 5 mg "/>
    <n v="0"/>
  </r>
  <r>
    <x v="1"/>
    <d v="2013-03-06T00:00:00"/>
    <s v="Mar"/>
    <x v="2"/>
    <x v="0"/>
    <s v="DH"/>
    <n v="400"/>
    <s v="Paternia tablet "/>
    <s v="From Medicine House"/>
  </r>
  <r>
    <x v="1"/>
    <d v="2013-03-06T00:00:00"/>
    <s v="Mar"/>
    <x v="2"/>
    <x v="0"/>
    <s v="DH"/>
    <n v="764"/>
    <s v="Maxoza-L sachet "/>
    <s v="From Medicine House"/>
  </r>
  <r>
    <x v="1"/>
    <d v="2013-03-22T00:00:00"/>
    <s v="Mar"/>
    <x v="2"/>
    <x v="0"/>
    <s v="DH"/>
    <n v="1148"/>
    <s v="Maxoza-L sachet "/>
    <s v="From Fame Balaji"/>
  </r>
  <r>
    <x v="1"/>
    <d v="2013-03-22T00:00:00"/>
    <s v="Mar"/>
    <x v="2"/>
    <x v="0"/>
    <s v="DH"/>
    <n v="1200"/>
    <s v="Paternia tablet "/>
    <s v="From Fame Balaji"/>
  </r>
  <r>
    <x v="1"/>
    <d v="2013-03-22T00:00:00"/>
    <s v="Mar"/>
    <x v="2"/>
    <x v="0"/>
    <s v="DH"/>
    <n v="9"/>
    <s v="Wysolone 5 mg disp tablet "/>
    <s v="From Fame Balaji"/>
  </r>
  <r>
    <x v="1"/>
    <d v="2013-03-26T00:00:00"/>
    <s v="Mar"/>
    <x v="2"/>
    <x v="15"/>
    <s v="Me"/>
    <n v="32080"/>
    <s v="Gonal F 300 IU "/>
    <s v="Injection 225 daily"/>
  </r>
  <r>
    <x v="1"/>
    <d v="2013-03-30T00:00:00"/>
    <s v="Mar"/>
    <x v="2"/>
    <x v="11"/>
    <s v="DH"/>
    <n v="370"/>
    <s v="Complete blood count"/>
    <s v="Part of pre anaestesia check"/>
  </r>
  <r>
    <x v="1"/>
    <d v="2013-03-31T00:00:00"/>
    <s v="Mar"/>
    <x v="2"/>
    <x v="15"/>
    <s v="Me"/>
    <n v="8020"/>
    <s v="Gonal F 300 IU "/>
    <n v="0"/>
  </r>
  <r>
    <x v="1"/>
    <d v="2013-03-31T00:00:00"/>
    <s v="Mar"/>
    <x v="2"/>
    <x v="15"/>
    <s v="Me"/>
    <n v="2040"/>
    <s v="Ovurelix 0.25 mg "/>
    <n v="0"/>
  </r>
  <r>
    <x v="1"/>
    <d v="2013-03-31T00:00:00"/>
    <s v="Mar"/>
    <x v="2"/>
    <x v="15"/>
    <s v="Me"/>
    <n v="15"/>
    <s v="Syringe "/>
    <n v="0"/>
  </r>
  <r>
    <x v="1"/>
    <d v="2013-04-01T00:00:00"/>
    <s v="Apr"/>
    <x v="2"/>
    <x v="16"/>
    <s v="Me"/>
    <n v="0"/>
    <s v="Estradiol (package)"/>
    <n v="0"/>
  </r>
  <r>
    <x v="1"/>
    <d v="2013-04-01T00:00:00"/>
    <s v="Apr"/>
    <x v="2"/>
    <x v="16"/>
    <s v="Me"/>
    <n v="650"/>
    <s v="Progesterone"/>
    <n v="0"/>
  </r>
  <r>
    <x v="1"/>
    <d v="2013-04-01T00:00:00"/>
    <s v="Apr"/>
    <x v="2"/>
    <x v="15"/>
    <s v="Me"/>
    <n v="8020"/>
    <s v="Gonal F 300 IU "/>
    <n v="0"/>
  </r>
  <r>
    <x v="1"/>
    <d v="2013-04-01T00:00:00"/>
    <s v="Apr"/>
    <x v="2"/>
    <x v="15"/>
    <s v="Me"/>
    <n v="2040"/>
    <s v="Ovurelix 0.25 mg "/>
    <n v="0"/>
  </r>
  <r>
    <x v="1"/>
    <d v="2013-04-01T00:00:00"/>
    <s v="Apr"/>
    <x v="2"/>
    <x v="15"/>
    <s v="Me"/>
    <n v="2200"/>
    <s v="Persinal-HP 75 IU "/>
    <n v="0"/>
  </r>
  <r>
    <x v="1"/>
    <d v="2013-04-01T00:00:00"/>
    <s v="Apr"/>
    <x v="2"/>
    <x v="15"/>
    <s v="Me"/>
    <n v="16.5"/>
    <s v="Syringe "/>
    <n v="0"/>
  </r>
  <r>
    <x v="1"/>
    <d v="2013-04-01T00:00:00"/>
    <s v="Apr"/>
    <x v="2"/>
    <x v="15"/>
    <s v="Me"/>
    <n v="14.5"/>
    <s v="Syringe "/>
    <n v="0"/>
  </r>
  <r>
    <x v="1"/>
    <d v="2013-04-02T00:00:00"/>
    <s v="Apr"/>
    <x v="2"/>
    <x v="1"/>
    <s v="DH"/>
    <n v="400"/>
    <s v="Vasan"/>
    <n v="0"/>
  </r>
  <r>
    <x v="1"/>
    <d v="2013-04-02T00:00:00"/>
    <s v="Apr"/>
    <x v="2"/>
    <x v="15"/>
    <s v="DH"/>
    <n v="151"/>
    <s v="Penegra 25 mg "/>
    <n v="0"/>
  </r>
  <r>
    <x v="1"/>
    <d v="2013-04-03T00:00:00"/>
    <s v="Apr"/>
    <x v="2"/>
    <x v="16"/>
    <s v="Me"/>
    <n v="0"/>
    <s v="Estradiol (package)"/>
    <n v="0"/>
  </r>
  <r>
    <x v="1"/>
    <d v="2013-04-03T00:00:00"/>
    <s v="Apr"/>
    <x v="2"/>
    <x v="16"/>
    <s v="Me"/>
    <n v="650"/>
    <s v="Progesterone"/>
    <n v="0"/>
  </r>
  <r>
    <x v="1"/>
    <d v="2013-04-03T00:00:00"/>
    <s v="Apr"/>
    <x v="2"/>
    <x v="15"/>
    <s v="Me"/>
    <n v="1500"/>
    <s v="Ovitrelle 250 mcg"/>
    <n v="0"/>
  </r>
  <r>
    <x v="1"/>
    <d v="2013-04-03T00:00:00"/>
    <s v="Apr"/>
    <x v="2"/>
    <x v="15"/>
    <s v="Me"/>
    <n v="1100"/>
    <s v="Persinal-HP 75 IU "/>
    <n v="0"/>
  </r>
  <r>
    <x v="1"/>
    <d v="2013-04-03T00:00:00"/>
    <s v="Apr"/>
    <x v="2"/>
    <x v="15"/>
    <s v="Me"/>
    <n v="8"/>
    <s v="Syringe "/>
    <n v="0"/>
  </r>
  <r>
    <x v="1"/>
    <d v="2013-04-05T00:00:00"/>
    <s v="Apr"/>
    <x v="2"/>
    <x v="17"/>
    <s v="DH"/>
    <n v="65"/>
    <s v="Oframax 1 gm 6500 IU"/>
    <n v="0"/>
  </r>
  <r>
    <x v="1"/>
    <d v="2013-04-05T00:00:00"/>
    <s v="Apr"/>
    <x v="2"/>
    <x v="17"/>
    <s v="DH"/>
    <n v="31"/>
    <s v="Syringe "/>
    <n v="0"/>
  </r>
  <r>
    <x v="1"/>
    <d v="2013-04-05T00:00:00"/>
    <s v="Apr"/>
    <x v="2"/>
    <x v="17"/>
    <s v="DH"/>
    <n v="56"/>
    <s v="Ciplox 500 mg tablet"/>
    <n v="0"/>
  </r>
  <r>
    <x v="1"/>
    <d v="2013-04-05T00:00:00"/>
    <s v="Apr"/>
    <x v="2"/>
    <x v="17"/>
    <s v="DH"/>
    <n v="19"/>
    <s v="Proxyon tablet"/>
    <n v="0"/>
  </r>
  <r>
    <x v="1"/>
    <d v="2013-04-05T00:00:00"/>
    <s v="Apr"/>
    <x v="2"/>
    <x v="13"/>
    <s v="DH"/>
    <n v="23207"/>
    <s v="TESA"/>
    <n v="0"/>
  </r>
  <r>
    <x v="1"/>
    <d v="2013-04-05T00:00:00"/>
    <s v="Apr"/>
    <x v="2"/>
    <x v="18"/>
    <s v="Me"/>
    <n v="65"/>
    <s v="Oframax 1 gm 6500 IU"/>
    <n v="0"/>
  </r>
  <r>
    <x v="1"/>
    <d v="2013-04-05T00:00:00"/>
    <s v="Apr"/>
    <x v="2"/>
    <x v="18"/>
    <s v="Me"/>
    <n v="31"/>
    <s v="Syringe "/>
    <n v="0"/>
  </r>
  <r>
    <x v="1"/>
    <d v="2013-04-05T00:00:00"/>
    <s v="Apr"/>
    <x v="2"/>
    <x v="18"/>
    <s v="Me"/>
    <n v="77"/>
    <s v="Tiniden 800 mg"/>
    <n v="0"/>
  </r>
  <r>
    <x v="1"/>
    <d v="2013-04-05T00:00:00"/>
    <s v="Apr"/>
    <x v="2"/>
    <x v="18"/>
    <s v="Me"/>
    <n v="418"/>
    <s v="Gestone 100 mg"/>
    <n v="0"/>
  </r>
  <r>
    <x v="1"/>
    <d v="2013-04-05T00:00:00"/>
    <s v="Apr"/>
    <x v="2"/>
    <x v="18"/>
    <s v="Me"/>
    <n v="33"/>
    <s v="Syringe "/>
    <n v="0"/>
  </r>
  <r>
    <x v="1"/>
    <d v="2013-04-05T00:00:00"/>
    <s v="Apr"/>
    <x v="2"/>
    <x v="18"/>
    <s v="Me"/>
    <n v="259"/>
    <s v="Progynova 2 mg tablet"/>
    <n v="0"/>
  </r>
  <r>
    <x v="1"/>
    <d v="2013-04-05T00:00:00"/>
    <s v="Apr"/>
    <x v="2"/>
    <x v="18"/>
    <s v="Me"/>
    <n v="11"/>
    <s v="Dolo 650 mg"/>
    <n v="0"/>
  </r>
  <r>
    <x v="1"/>
    <d v="2013-04-05T00:00:00"/>
    <s v="Apr"/>
    <x v="2"/>
    <x v="18"/>
    <s v="Me"/>
    <n v="41"/>
    <s v="Susten 400 mg capsule"/>
    <n v="0"/>
  </r>
  <r>
    <x v="1"/>
    <d v="2013-04-08T00:00:00"/>
    <s v="Apr"/>
    <x v="2"/>
    <x v="19"/>
    <s v="Me"/>
    <n v="418"/>
    <s v="Gestone 100 mg"/>
    <n v="0"/>
  </r>
  <r>
    <x v="1"/>
    <d v="2013-04-08T00:00:00"/>
    <s v="Apr"/>
    <x v="2"/>
    <x v="19"/>
    <s v="Me"/>
    <n v="33"/>
    <s v="Syringe "/>
    <n v="0"/>
  </r>
  <r>
    <x v="1"/>
    <d v="2013-04-08T00:00:00"/>
    <s v="Apr"/>
    <x v="2"/>
    <x v="19"/>
    <s v="Me"/>
    <n v="380"/>
    <s v="Fertigyn-HP 2000 IU"/>
    <n v="0"/>
  </r>
  <r>
    <x v="1"/>
    <d v="2013-04-08T00:00:00"/>
    <s v="Apr"/>
    <x v="2"/>
    <x v="19"/>
    <s v="Me"/>
    <n v="1215"/>
    <s v="Susten 400 mg capsule"/>
    <n v="0"/>
  </r>
  <r>
    <x v="1"/>
    <d v="2013-04-08T00:00:00"/>
    <s v="Apr"/>
    <x v="2"/>
    <x v="19"/>
    <s v="Me"/>
    <n v="531"/>
    <s v="Duphaston 10 mg tablet"/>
    <n v="0"/>
  </r>
  <r>
    <x v="1"/>
    <d v="2013-04-08T00:00:00"/>
    <s v="Apr"/>
    <x v="2"/>
    <x v="19"/>
    <s v="Me"/>
    <n v="10"/>
    <s v="Wysolone 5 mg disp tablet "/>
    <n v="0"/>
  </r>
  <r>
    <x v="1"/>
    <d v="2013-04-08T00:00:00"/>
    <s v="Apr"/>
    <x v="2"/>
    <x v="19"/>
    <s v="Me"/>
    <n v="2"/>
    <s v="ASA 50 mg tablet"/>
    <s v="Delayed release aspirin"/>
  </r>
  <r>
    <x v="1"/>
    <d v="2013-04-08T00:00:00"/>
    <s v="Apr"/>
    <x v="2"/>
    <x v="19"/>
    <s v="Me"/>
    <n v="86"/>
    <s v="MCBM-69 tablet"/>
    <s v="Folic acid"/>
  </r>
  <r>
    <x v="1"/>
    <d v="2013-04-11T00:00:00"/>
    <s v="Apr"/>
    <x v="2"/>
    <x v="19"/>
    <s v="Me"/>
    <n v="380"/>
    <s v="Fertigyn-HP 2000 IU"/>
    <n v="0"/>
  </r>
  <r>
    <x v="1"/>
    <d v="2013-04-11T00:00:00"/>
    <s v="Apr"/>
    <x v="2"/>
    <x v="19"/>
    <s v="Me"/>
    <n v="17"/>
    <s v="Syringe "/>
    <n v="0"/>
  </r>
  <r>
    <x v="1"/>
    <d v="2013-04-11T00:00:00"/>
    <s v="Apr"/>
    <x v="2"/>
    <x v="19"/>
    <s v="Me"/>
    <n v="140"/>
    <s v="Injection"/>
    <n v="0"/>
  </r>
  <r>
    <x v="1"/>
    <d v="2013-04-14T00:00:00"/>
    <s v="Apr"/>
    <x v="2"/>
    <x v="19"/>
    <s v="Me"/>
    <n v="70"/>
    <s v="Injection"/>
    <n v="0"/>
  </r>
  <r>
    <x v="1"/>
    <d v="2013-04-14T00:00:00"/>
    <s v="Apr"/>
    <x v="2"/>
    <x v="19"/>
    <s v="Me"/>
    <n v="259"/>
    <s v="Progynova 2 mg tablet"/>
    <n v="0"/>
  </r>
  <r>
    <x v="1"/>
    <d v="2013-04-15T00:00:00"/>
    <s v="Apr"/>
    <x v="2"/>
    <x v="17"/>
    <s v="DH"/>
    <n v="444"/>
    <s v="Augmentin 625 mg"/>
    <n v="0"/>
  </r>
  <r>
    <x v="1"/>
    <d v="2013-04-15T00:00:00"/>
    <s v="Apr"/>
    <x v="2"/>
    <x v="17"/>
    <s v="DH"/>
    <n v="56"/>
    <s v="Voveran 100 mg"/>
    <n v="0"/>
  </r>
  <r>
    <x v="1"/>
    <d v="2013-04-22T00:00:00"/>
    <s v="Apr"/>
    <x v="2"/>
    <x v="20"/>
    <s v="Me"/>
    <n v="850"/>
    <s v="Beta HCG"/>
    <n v="0"/>
  </r>
  <r>
    <x v="1"/>
    <d v="2013-04-22T00:00:00"/>
    <s v="Apr"/>
    <x v="2"/>
    <x v="21"/>
    <s v="Me"/>
    <n v="523"/>
    <s v="Gestone 100 mg"/>
    <n v="0"/>
  </r>
  <r>
    <x v="1"/>
    <d v="2013-04-22T00:00:00"/>
    <s v="Apr"/>
    <x v="2"/>
    <x v="21"/>
    <s v="Me"/>
    <n v="41"/>
    <s v="Syringe "/>
    <n v="0"/>
  </r>
  <r>
    <x v="1"/>
    <d v="2013-04-22T00:00:00"/>
    <s v="Apr"/>
    <x v="2"/>
    <x v="21"/>
    <s v="Me"/>
    <n v="4860"/>
    <s v="Susten 400 mg capsule"/>
    <n v="0"/>
  </r>
  <r>
    <x v="1"/>
    <d v="2013-04-22T00:00:00"/>
    <s v="Apr"/>
    <x v="2"/>
    <x v="21"/>
    <s v="Me"/>
    <n v="1811"/>
    <s v="Progynova 2 mg tablet"/>
    <n v="0"/>
  </r>
  <r>
    <x v="1"/>
    <d v="2013-04-22T00:00:00"/>
    <s v="Apr"/>
    <x v="2"/>
    <x v="21"/>
    <s v="Me"/>
    <n v="57"/>
    <s v="MCBM-69 tablet"/>
    <n v="0"/>
  </r>
  <r>
    <x v="1"/>
    <d v="2013-04-22T00:00:00"/>
    <s v="Apr"/>
    <x v="2"/>
    <x v="21"/>
    <s v="Me"/>
    <n v="285"/>
    <s v="MCBM-69 tablet"/>
    <n v="0"/>
  </r>
  <r>
    <x v="1"/>
    <d v="2013-04-24T00:00:00"/>
    <s v="Apr"/>
    <x v="2"/>
    <x v="20"/>
    <s v="Me"/>
    <n v="850"/>
    <s v="Beta HCG"/>
    <n v="0"/>
  </r>
  <r>
    <x v="1"/>
    <d v="2013-04-27T00:00:00"/>
    <s v="Apr"/>
    <x v="2"/>
    <x v="20"/>
    <s v="Me"/>
    <n v="600"/>
    <s v="Beta HCG"/>
    <n v="0"/>
  </r>
  <r>
    <x v="1"/>
    <d v="2013-04-27T00:00:00"/>
    <s v="Apr"/>
    <x v="2"/>
    <x v="20"/>
    <s v="Me"/>
    <n v="850"/>
    <s v="Beta HCG"/>
    <n v="0"/>
  </r>
  <r>
    <x v="1"/>
    <d v="2013-05-01T00:00:00"/>
    <s v="May"/>
    <x v="2"/>
    <x v="20"/>
    <s v="Me"/>
    <n v="600"/>
    <s v="Beta HCG"/>
    <n v="0"/>
  </r>
  <r>
    <x v="1"/>
    <d v="2013-05-01T00:00:00"/>
    <s v="May"/>
    <x v="2"/>
    <x v="22"/>
    <s v="Me"/>
    <n v="900"/>
    <s v="Ultrasound"/>
    <n v="0"/>
  </r>
  <r>
    <x v="1"/>
    <d v="2013-05-04T00:00:00"/>
    <s v="May"/>
    <x v="2"/>
    <x v="17"/>
    <s v="DH"/>
    <n v="443"/>
    <s v="Augmentin 625 mg"/>
    <n v="0"/>
  </r>
  <r>
    <x v="1"/>
    <d v="2013-05-07T00:00:00"/>
    <s v="May"/>
    <x v="2"/>
    <x v="20"/>
    <s v="Me"/>
    <n v="850"/>
    <s v="Beta HCG"/>
    <n v="0"/>
  </r>
  <r>
    <x v="1"/>
    <d v="2013-05-07T00:00:00"/>
    <s v="May"/>
    <x v="2"/>
    <x v="22"/>
    <s v="Me"/>
    <n v="1140"/>
    <s v="Scan detailed (TVS &amp; TAS)"/>
    <n v="0"/>
  </r>
  <r>
    <x v="1"/>
    <d v="2013-05-09T00:00:00"/>
    <s v="May"/>
    <x v="2"/>
    <x v="17"/>
    <s v="DH"/>
    <n v="1000"/>
    <s v="Doppler and Ultrasound"/>
    <n v="0"/>
  </r>
  <r>
    <x v="1"/>
    <d v="2013-05-09T00:00:00"/>
    <s v="May"/>
    <x v="2"/>
    <x v="17"/>
    <s v="DH"/>
    <n v="10"/>
    <s v="Brufen 400 mg"/>
    <n v="0"/>
  </r>
  <r>
    <x v="1"/>
    <d v="2013-05-09T00:00:00"/>
    <s v="May"/>
    <x v="2"/>
    <x v="17"/>
    <s v="DH"/>
    <n v="65"/>
    <s v="Levoflox 750 mg"/>
    <n v="0"/>
  </r>
  <r>
    <x v="1"/>
    <d v="2013-05-10T00:00:00"/>
    <s v="May"/>
    <x v="2"/>
    <x v="20"/>
    <s v="Me"/>
    <n v="600"/>
    <s v="Beta HCG"/>
    <n v="0"/>
  </r>
  <r>
    <x v="1"/>
    <d v="2013-05-10T00:00:00"/>
    <s v="May"/>
    <x v="2"/>
    <x v="20"/>
    <s v="Me"/>
    <n v="60"/>
    <s v="Random blood sugar"/>
    <n v="0"/>
  </r>
  <r>
    <x v="1"/>
    <d v="2013-05-10T00:00:00"/>
    <s v="May"/>
    <x v="2"/>
    <x v="20"/>
    <s v="Me"/>
    <n v="90"/>
    <s v="Haemoglobin"/>
    <n v="0"/>
  </r>
  <r>
    <x v="1"/>
    <d v="2013-05-17T00:00:00"/>
    <s v="May"/>
    <x v="2"/>
    <x v="0"/>
    <s v="DH"/>
    <n v="14"/>
    <s v="Migranil"/>
    <n v="0"/>
  </r>
  <r>
    <x v="1"/>
    <d v="2013-05-17T00:00:00"/>
    <s v="May"/>
    <x v="2"/>
    <x v="0"/>
    <s v="DH"/>
    <n v="3"/>
    <s v="Saradon"/>
    <n v="0"/>
  </r>
  <r>
    <x v="1"/>
    <d v="2013-05-18T00:00:00"/>
    <s v="May"/>
    <x v="2"/>
    <x v="23"/>
    <s v="Me"/>
    <n v="600"/>
    <s v="Admission charges"/>
    <s v="11 May to 18 May"/>
  </r>
  <r>
    <x v="1"/>
    <d v="2013-05-18T00:00:00"/>
    <s v="May"/>
    <x v="2"/>
    <x v="23"/>
    <s v="Me"/>
    <n v="45500"/>
    <s v="Bed charges"/>
    <s v="11 May to 18 May"/>
  </r>
  <r>
    <x v="1"/>
    <d v="2013-05-18T00:00:00"/>
    <s v="May"/>
    <x v="2"/>
    <x v="23"/>
    <s v="Me"/>
    <n v="3640"/>
    <s v="Luxury tax"/>
    <s v="11 May to 18 May"/>
  </r>
  <r>
    <x v="1"/>
    <d v="2013-05-18T00:00:00"/>
    <s v="May"/>
    <x v="2"/>
    <x v="23"/>
    <s v="Me"/>
    <n v="8000"/>
    <s v="Clinical Management Fee - Dr Gayathri"/>
    <s v="11 May to 18 May"/>
  </r>
  <r>
    <x v="1"/>
    <d v="2013-05-18T00:00:00"/>
    <s v="May"/>
    <x v="2"/>
    <x v="23"/>
    <s v="Me"/>
    <n v="1000"/>
    <s v="Clinical Management Fee - Dr Manjunath"/>
    <s v="11 May to 18 May"/>
  </r>
  <r>
    <x v="1"/>
    <d v="2013-05-18T00:00:00"/>
    <s v="May"/>
    <x v="2"/>
    <x v="23"/>
    <s v="Me"/>
    <n v="7000"/>
    <s v="Medical Equipment"/>
    <s v="11 May to 18 May"/>
  </r>
  <r>
    <x v="1"/>
    <d v="2013-05-18T00:00:00"/>
    <s v="May"/>
    <x v="2"/>
    <x v="23"/>
    <s v="Me"/>
    <n v="11820"/>
    <s v="Biochemistry"/>
    <s v="11 May to 18 May"/>
  </r>
  <r>
    <x v="1"/>
    <d v="2013-05-18T00:00:00"/>
    <s v="May"/>
    <x v="2"/>
    <x v="23"/>
    <s v="Me"/>
    <n v="620"/>
    <s v="Blood bank"/>
    <s v="11 May to 18 May"/>
  </r>
  <r>
    <x v="1"/>
    <d v="2013-05-18T00:00:00"/>
    <s v="May"/>
    <x v="2"/>
    <x v="23"/>
    <s v="Me"/>
    <n v="1520"/>
    <s v="Haematology"/>
    <s v="11 May to 18 May"/>
  </r>
  <r>
    <x v="1"/>
    <d v="2013-05-18T00:00:00"/>
    <s v="May"/>
    <x v="2"/>
    <x v="23"/>
    <s v="Me"/>
    <n v="1410"/>
    <s v="Histopathology"/>
    <s v="11 May to 18 May"/>
  </r>
  <r>
    <x v="1"/>
    <d v="2013-05-18T00:00:00"/>
    <s v="May"/>
    <x v="2"/>
    <x v="23"/>
    <s v="Me"/>
    <n v="27600"/>
    <s v="Procedures"/>
    <s v="11 May to 18 May"/>
  </r>
  <r>
    <x v="1"/>
    <d v="2013-05-18T00:00:00"/>
    <s v="May"/>
    <x v="2"/>
    <x v="23"/>
    <s v="Me"/>
    <n v="18100"/>
    <s v="Theatre charges"/>
    <s v="11 May to 18 May"/>
  </r>
  <r>
    <x v="1"/>
    <d v="2013-05-18T00:00:00"/>
    <s v="May"/>
    <x v="2"/>
    <x v="23"/>
    <s v="Me"/>
    <n v="14300"/>
    <s v="Surgeon fee"/>
    <s v="11 May to 18 May"/>
  </r>
  <r>
    <x v="1"/>
    <d v="2013-05-18T00:00:00"/>
    <s v="May"/>
    <x v="2"/>
    <x v="23"/>
    <s v="Me"/>
    <n v="3575"/>
    <s v="Anasthetists fee"/>
    <s v="11 May to 18 May"/>
  </r>
  <r>
    <x v="1"/>
    <d v="2013-05-18T00:00:00"/>
    <s v="May"/>
    <x v="2"/>
    <x v="23"/>
    <s v="Me"/>
    <n v="4290"/>
    <s v="Surgical support fees"/>
    <s v="11 May to 18 May"/>
  </r>
  <r>
    <x v="1"/>
    <d v="2013-05-18T00:00:00"/>
    <s v="May"/>
    <x v="2"/>
    <x v="23"/>
    <s v="Me"/>
    <n v="282"/>
    <s v="Miscellaneous"/>
    <s v="11 May to 18 May"/>
  </r>
  <r>
    <x v="1"/>
    <d v="2013-05-18T00:00:00"/>
    <s v="May"/>
    <x v="2"/>
    <x v="23"/>
    <s v="Me"/>
    <n v="9392"/>
    <s v="Pharmacy drugs"/>
    <s v="11 May to 18 May"/>
  </r>
  <r>
    <x v="1"/>
    <d v="2013-05-18T00:00:00"/>
    <s v="May"/>
    <x v="2"/>
    <x v="23"/>
    <s v="Me"/>
    <n v="8504"/>
    <s v="Materials"/>
    <s v="11 May to 18 May"/>
  </r>
  <r>
    <x v="1"/>
    <d v="2013-05-24T00:00:00"/>
    <s v="May"/>
    <x v="2"/>
    <x v="1"/>
    <s v="Me"/>
    <n v="200"/>
    <s v="OBG Follow up - Dr Gayathri"/>
    <n v="0"/>
  </r>
  <r>
    <x v="1"/>
    <d v="2013-09-03T00:00:00"/>
    <s v="Sep"/>
    <x v="2"/>
    <x v="1"/>
    <s v="Me"/>
    <n v="400"/>
    <s v="Bina"/>
    <n v="0"/>
  </r>
  <r>
    <x v="1"/>
    <d v="2013-09-03T00:00:00"/>
    <s v="Sep"/>
    <x v="2"/>
    <x v="4"/>
    <s v="DH"/>
    <n v="250"/>
    <s v="SA"/>
    <n v="0"/>
  </r>
  <r>
    <x v="1"/>
    <d v="2013-09-05T00:00:00"/>
    <s v="Sep"/>
    <x v="2"/>
    <x v="1"/>
    <s v="DH"/>
    <n v="400"/>
    <s v="Vasan"/>
    <n v="0"/>
  </r>
  <r>
    <x v="1"/>
    <d v="2013-09-05T00:00:00"/>
    <s v="Sep"/>
    <x v="2"/>
    <x v="11"/>
    <s v="DH"/>
    <n v="2410"/>
    <s v="Hepatitis + HIV"/>
    <n v="0"/>
  </r>
  <r>
    <x v="1"/>
    <d v="2013-09-07T00:00:00"/>
    <s v="Sep"/>
    <x v="2"/>
    <x v="4"/>
    <s v="DH"/>
    <n v="0"/>
    <s v="DFI"/>
    <n v="0"/>
  </r>
  <r>
    <x v="1"/>
    <d v="2013-09-10T00:00:00"/>
    <s v="Sep"/>
    <x v="2"/>
    <x v="1"/>
    <s v="DH"/>
    <n v="0"/>
    <s v="Vasan"/>
    <n v="0"/>
  </r>
  <r>
    <x v="1"/>
    <d v="2013-09-11T00:00:00"/>
    <s v="Sep"/>
    <x v="2"/>
    <x v="24"/>
    <s v="DH"/>
    <n v="95000"/>
    <n v="0"/>
    <n v="0"/>
  </r>
  <r>
    <x v="1"/>
    <d v="2013-09-11T00:00:00"/>
    <s v="Sep"/>
    <x v="2"/>
    <x v="0"/>
    <s v="Me"/>
    <n v="42"/>
    <s v="Trulimax 500 mg"/>
    <n v="0"/>
  </r>
  <r>
    <x v="1"/>
    <d v="2013-09-11T00:00:00"/>
    <s v="Sep"/>
    <x v="2"/>
    <x v="0"/>
    <s v="Me"/>
    <n v="10"/>
    <s v="Metrogyl 400 mg tablet "/>
    <n v="0"/>
  </r>
  <r>
    <x v="1"/>
    <d v="2013-09-11T00:00:00"/>
    <s v="Sep"/>
    <x v="2"/>
    <x v="0"/>
    <s v="DH"/>
    <n v="3"/>
    <s v="Wysolone 5 mg disp tablet "/>
    <n v="0"/>
  </r>
  <r>
    <x v="1"/>
    <d v="2013-09-15T00:00:00"/>
    <s v="Sep"/>
    <x v="2"/>
    <x v="25"/>
    <s v="Me"/>
    <n v="26538"/>
    <s v="Recagon 300 IU"/>
    <n v="0"/>
  </r>
  <r>
    <x v="1"/>
    <d v="2013-09-18T00:00:00"/>
    <s v="Sep"/>
    <x v="2"/>
    <x v="25"/>
    <s v="Me"/>
    <n v="8846"/>
    <s v="Recagon 300 IU"/>
    <n v="0"/>
  </r>
  <r>
    <x v="1"/>
    <d v="2013-09-18T00:00:00"/>
    <s v="Sep"/>
    <x v="2"/>
    <x v="25"/>
    <s v="Me"/>
    <n v="1020"/>
    <s v="Ovurelix 0.25 mg "/>
    <n v="0"/>
  </r>
  <r>
    <x v="1"/>
    <d v="2013-09-18T00:00:00"/>
    <s v="Sep"/>
    <x v="2"/>
    <x v="25"/>
    <s v="Me"/>
    <n v="7"/>
    <s v="Syringe "/>
    <n v="0"/>
  </r>
  <r>
    <x v="1"/>
    <d v="2013-09-19T00:00:00"/>
    <s v="Sep"/>
    <x v="2"/>
    <x v="11"/>
    <s v="Me"/>
    <n v="370"/>
    <s v="Complete blood count"/>
    <s v="Part of pre anaestesia check"/>
  </r>
  <r>
    <x v="1"/>
    <d v="2013-09-20T00:00:00"/>
    <s v="Sep"/>
    <x v="2"/>
    <x v="26"/>
    <s v="Me"/>
    <n v="0"/>
    <s v="Estradiol (package)"/>
    <n v="0"/>
  </r>
  <r>
    <x v="1"/>
    <d v="2013-09-20T00:00:00"/>
    <s v="Sep"/>
    <x v="2"/>
    <x v="25"/>
    <s v="Me"/>
    <n v="17692"/>
    <s v="Recagon 300 IU"/>
    <n v="0"/>
  </r>
  <r>
    <x v="1"/>
    <d v="2013-09-20T00:00:00"/>
    <s v="Sep"/>
    <x v="2"/>
    <x v="25"/>
    <s v="Me"/>
    <n v="3060"/>
    <s v="Ovurelix 0.25 mg "/>
    <n v="0"/>
  </r>
  <r>
    <x v="1"/>
    <d v="2013-09-20T00:00:00"/>
    <s v="Sep"/>
    <x v="2"/>
    <x v="25"/>
    <s v="Me"/>
    <n v="2200"/>
    <s v="Persinal-HP 75 IU "/>
    <n v="0"/>
  </r>
  <r>
    <x v="1"/>
    <d v="2013-09-20T00:00:00"/>
    <s v="Sep"/>
    <x v="2"/>
    <x v="25"/>
    <s v="Me"/>
    <n v="16"/>
    <s v="Syringe "/>
    <n v="0"/>
  </r>
  <r>
    <x v="1"/>
    <d v="2013-09-20T00:00:00"/>
    <s v="Sep"/>
    <x v="2"/>
    <x v="25"/>
    <s v="Me"/>
    <n v="22"/>
    <s v="Syringe "/>
    <n v="0"/>
  </r>
  <r>
    <x v="1"/>
    <d v="2013-09-22T00:00:00"/>
    <s v="Sep"/>
    <x v="2"/>
    <x v="26"/>
    <s v="Me"/>
    <n v="0"/>
    <s v="Estradiol (package)"/>
    <n v="0"/>
  </r>
  <r>
    <x v="1"/>
    <d v="2013-09-22T00:00:00"/>
    <s v="Sep"/>
    <x v="2"/>
    <x v="26"/>
    <s v="Me"/>
    <n v="650"/>
    <s v="Progesterone"/>
    <n v="0"/>
  </r>
  <r>
    <x v="1"/>
    <d v="2013-09-23T00:00:00"/>
    <s v="Sep"/>
    <x v="2"/>
    <x v="25"/>
    <s v="Me"/>
    <n v="1100"/>
    <s v="Persinal-HP 75 IU "/>
    <n v="0"/>
  </r>
  <r>
    <x v="1"/>
    <d v="2013-09-23T00:00:00"/>
    <s v="Sep"/>
    <x v="2"/>
    <x v="25"/>
    <s v="Me"/>
    <n v="8"/>
    <s v="Syringe "/>
    <n v="0"/>
  </r>
  <r>
    <x v="1"/>
    <d v="2013-09-23T00:00:00"/>
    <s v="Sep"/>
    <x v="2"/>
    <x v="25"/>
    <s v="DH"/>
    <n v="1500"/>
    <s v="Ovitrelle 250 mcg"/>
    <n v="0"/>
  </r>
  <r>
    <x v="1"/>
    <d v="2013-09-23T00:00:00"/>
    <s v="Sep"/>
    <x v="2"/>
    <x v="4"/>
    <s v="DH"/>
    <n v="3960"/>
    <s v="Temp cryo freezing and DFI for a month"/>
    <n v="0"/>
  </r>
  <r>
    <x v="1"/>
    <d v="2013-09-25T00:00:00"/>
    <s v="Sep"/>
    <x v="2"/>
    <x v="27"/>
    <s v="Me"/>
    <n v="58"/>
    <s v="Oframax 1 gm 6500 IU"/>
    <n v="0"/>
  </r>
  <r>
    <x v="1"/>
    <d v="2013-09-25T00:00:00"/>
    <s v="Sep"/>
    <x v="2"/>
    <x v="27"/>
    <s v="Me"/>
    <n v="77"/>
    <s v="Tiniden 800 mg"/>
    <n v="0"/>
  </r>
  <r>
    <x v="1"/>
    <d v="2013-09-25T00:00:00"/>
    <s v="Sep"/>
    <x v="2"/>
    <x v="27"/>
    <s v="Me"/>
    <n v="8"/>
    <s v="Syringe "/>
    <n v="0"/>
  </r>
  <r>
    <x v="1"/>
    <d v="2013-09-25T00:00:00"/>
    <s v="Sep"/>
    <x v="2"/>
    <x v="27"/>
    <s v="Me"/>
    <n v="16"/>
    <s v="Syringe "/>
    <n v="0"/>
  </r>
  <r>
    <x v="1"/>
    <d v="2013-09-25T00:00:00"/>
    <s v="Sep"/>
    <x v="2"/>
    <x v="27"/>
    <s v="Me"/>
    <n v="7"/>
    <s v="Syringe "/>
    <n v="0"/>
  </r>
  <r>
    <x v="1"/>
    <d v="2013-09-25T00:00:00"/>
    <s v="Sep"/>
    <x v="2"/>
    <x v="28"/>
    <s v="DH"/>
    <n v="30000"/>
    <s v="Embryoscope"/>
    <n v="0"/>
  </r>
  <r>
    <x v="1"/>
    <d v="2013-09-25T00:00:00"/>
    <s v="Sep"/>
    <x v="2"/>
    <x v="27"/>
    <s v="DH"/>
    <n v="627"/>
    <s v="Gestone 100 mg"/>
    <n v="0"/>
  </r>
  <r>
    <x v="1"/>
    <d v="2013-09-25T00:00:00"/>
    <s v="Sep"/>
    <x v="2"/>
    <x v="27"/>
    <s v="DH"/>
    <n v="49"/>
    <s v="Syringe "/>
    <n v="0"/>
  </r>
  <r>
    <x v="1"/>
    <d v="2013-09-25T00:00:00"/>
    <s v="Sep"/>
    <x v="2"/>
    <x v="27"/>
    <s v="DH"/>
    <n v="282"/>
    <s v="Progynova 2 mg tablet"/>
    <n v="0"/>
  </r>
  <r>
    <x v="1"/>
    <d v="2013-09-25T00:00:00"/>
    <s v="Sep"/>
    <x v="2"/>
    <x v="27"/>
    <s v="DH"/>
    <n v="11"/>
    <s v="Dolo 650 mg"/>
    <n v="0"/>
  </r>
  <r>
    <x v="1"/>
    <d v="2013-09-25T00:00:00"/>
    <s v="Sep"/>
    <x v="2"/>
    <x v="27"/>
    <s v="DH"/>
    <n v="40"/>
    <s v="Susten 400 mg capsule"/>
    <n v="0"/>
  </r>
  <r>
    <x v="1"/>
    <d v="2013-09-30T00:00:00"/>
    <s v="Sep"/>
    <x v="2"/>
    <x v="29"/>
    <s v="Me"/>
    <n v="418"/>
    <s v="Gestone 100 mg"/>
    <n v="0"/>
  </r>
  <r>
    <x v="1"/>
    <d v="2013-09-30T00:00:00"/>
    <s v="Sep"/>
    <x v="2"/>
    <x v="29"/>
    <s v="Me"/>
    <n v="33"/>
    <s v="Syringe "/>
    <n v="0"/>
  </r>
  <r>
    <x v="1"/>
    <d v="2013-09-30T00:00:00"/>
    <s v="Sep"/>
    <x v="2"/>
    <x v="29"/>
    <s v="Me"/>
    <n v="531"/>
    <s v="Duphaston 10 mg tablet"/>
    <n v="0"/>
  </r>
  <r>
    <x v="1"/>
    <d v="2013-09-30T00:00:00"/>
    <s v="Sep"/>
    <x v="2"/>
    <x v="29"/>
    <s v="Me"/>
    <n v="10"/>
    <s v="Wysolone 5 mg disp tablet "/>
    <n v="0"/>
  </r>
  <r>
    <x v="1"/>
    <d v="2013-09-30T00:00:00"/>
    <s v="Sep"/>
    <x v="2"/>
    <x v="29"/>
    <s v="Me"/>
    <n v="2"/>
    <s v="ASA 50 mg tablet"/>
    <n v="0"/>
  </r>
  <r>
    <x v="1"/>
    <d v="2013-09-30T00:00:00"/>
    <s v="Sep"/>
    <x v="2"/>
    <x v="29"/>
    <s v="Me"/>
    <n v="94"/>
    <s v="MCBM-69 tablet"/>
    <n v="0"/>
  </r>
  <r>
    <x v="1"/>
    <d v="2013-10-14T00:00:00"/>
    <s v="Oct"/>
    <x v="2"/>
    <x v="26"/>
    <s v="Me"/>
    <n v="850"/>
    <s v="Beta HCG"/>
    <s v="Not pregnant"/>
  </r>
  <r>
    <x v="2"/>
    <d v="2014-05-23T00:00:00"/>
    <s v="May"/>
    <x v="3"/>
    <x v="12"/>
    <s v="Me"/>
    <n v="1200"/>
    <n v="0"/>
    <n v="0"/>
  </r>
  <r>
    <x v="2"/>
    <d v="2014-05-23T00:00:00"/>
    <s v="May"/>
    <x v="3"/>
    <x v="30"/>
    <s v="Me"/>
    <n v="720"/>
    <n v="0"/>
    <n v="0"/>
  </r>
  <r>
    <x v="2"/>
    <d v="2014-05-23T00:00:00"/>
    <s v="May"/>
    <x v="3"/>
    <x v="1"/>
    <s v="Me"/>
    <n v="7200"/>
    <s v="Dr Loh Seong Feei"/>
    <n v="0"/>
  </r>
  <r>
    <x v="2"/>
    <d v="2014-05-23T00:00:00"/>
    <s v="May"/>
    <x v="3"/>
    <x v="11"/>
    <s v="DH"/>
    <n v="17760"/>
    <s v="Blood Chromosome (Adult blood)"/>
    <n v="0"/>
  </r>
  <r>
    <x v="2"/>
    <d v="2014-05-23T00:00:00"/>
    <s v="May"/>
    <x v="3"/>
    <x v="31"/>
    <s v="DH"/>
    <n v="8016"/>
    <s v="Pre IVF blood test"/>
    <n v="0"/>
  </r>
  <r>
    <x v="2"/>
    <d v="2014-05-23T00:00:00"/>
    <s v="May"/>
    <x v="3"/>
    <x v="32"/>
    <s v="Me"/>
    <n v="2443.1999999999998"/>
    <s v="GST"/>
    <n v="0"/>
  </r>
  <r>
    <x v="2"/>
    <d v="2014-05-30T00:00:00"/>
    <s v="May"/>
    <x v="3"/>
    <x v="0"/>
    <s v="Me"/>
    <n v="132"/>
    <n v="0"/>
    <s v="Folic Acid 5mg"/>
  </r>
  <r>
    <x v="2"/>
    <d v="2014-06-27T00:00:00"/>
    <s v="Jun"/>
    <x v="3"/>
    <x v="30"/>
    <s v="Me"/>
    <n v="720"/>
    <n v="0"/>
    <n v="0"/>
  </r>
  <r>
    <x v="2"/>
    <d v="2014-06-27T00:00:00"/>
    <s v="Jun"/>
    <x v="3"/>
    <x v="1"/>
    <s v="Me"/>
    <n v="4800"/>
    <s v="Dr Loh Seong Feei"/>
    <n v="0"/>
  </r>
  <r>
    <x v="2"/>
    <d v="2014-06-27T00:00:00"/>
    <s v="Jun"/>
    <x v="3"/>
    <x v="3"/>
    <s v="Me"/>
    <n v="4800"/>
    <n v="0"/>
    <n v="0"/>
  </r>
  <r>
    <x v="2"/>
    <d v="2014-06-27T00:00:00"/>
    <s v="Jun"/>
    <x v="3"/>
    <x v="15"/>
    <s v="Me"/>
    <n v="44160"/>
    <n v="0"/>
    <s v="Gonal F 450 IU "/>
  </r>
  <r>
    <x v="2"/>
    <d v="2014-06-27T00:00:00"/>
    <s v="Jun"/>
    <x v="3"/>
    <x v="32"/>
    <s v="Me"/>
    <n v="3813.6000000000004"/>
    <s v="GST"/>
    <n v="0"/>
  </r>
  <r>
    <x v="2"/>
    <d v="2014-07-01T00:00:00"/>
    <s v="Jul"/>
    <x v="3"/>
    <x v="30"/>
    <s v="Me"/>
    <n v="720"/>
    <n v="0"/>
    <n v="0"/>
  </r>
  <r>
    <x v="2"/>
    <d v="2014-07-01T00:00:00"/>
    <s v="Jul"/>
    <x v="3"/>
    <x v="1"/>
    <s v="Me"/>
    <n v="4800"/>
    <s v="Dr Loh Seong Feei"/>
    <n v="0"/>
  </r>
  <r>
    <x v="2"/>
    <d v="2014-07-01T00:00:00"/>
    <s v="Jul"/>
    <x v="3"/>
    <x v="3"/>
    <s v="Me"/>
    <n v="4800"/>
    <n v="0"/>
    <n v="0"/>
  </r>
  <r>
    <x v="2"/>
    <d v="2014-07-01T00:00:00"/>
    <s v="Jul"/>
    <x v="3"/>
    <x v="15"/>
    <s v="Me"/>
    <n v="22080"/>
    <n v="0"/>
    <s v="Gonal F 450 IU "/>
  </r>
  <r>
    <x v="2"/>
    <d v="2014-07-01T00:00:00"/>
    <s v="Jul"/>
    <x v="3"/>
    <x v="15"/>
    <s v="Me"/>
    <n v="20620.800000000003"/>
    <n v="0"/>
    <s v="Cetrotide 0.25 mg"/>
  </r>
  <r>
    <x v="2"/>
    <d v="2014-07-01T00:00:00"/>
    <s v="Jul"/>
    <x v="3"/>
    <x v="15"/>
    <s v="Me"/>
    <n v="50112"/>
    <n v="0"/>
    <s v="Pergoveris 150/ 75IU"/>
  </r>
  <r>
    <x v="2"/>
    <d v="2014-07-01T00:00:00"/>
    <s v="Jul"/>
    <x v="3"/>
    <x v="33"/>
    <s v="DH"/>
    <n v="14880"/>
    <s v="Charged per 6 mnths. Paid for one year"/>
    <n v="0"/>
  </r>
  <r>
    <x v="2"/>
    <d v="2014-07-01T00:00:00"/>
    <s v="Jul"/>
    <x v="3"/>
    <x v="34"/>
    <s v="DH"/>
    <n v="8400"/>
    <n v="0"/>
    <n v="0"/>
  </r>
  <r>
    <x v="2"/>
    <d v="2014-07-01T00:00:00"/>
    <s v="Jul"/>
    <x v="3"/>
    <x v="11"/>
    <s v="Me"/>
    <n v="8016"/>
    <s v="Pre IVF blood test"/>
    <n v="0"/>
  </r>
  <r>
    <x v="2"/>
    <d v="2014-07-01T00:00:00"/>
    <s v="Jul"/>
    <x v="3"/>
    <x v="32"/>
    <s v="Me"/>
    <n v="9410.4000000000015"/>
    <s v="GST"/>
    <n v="0"/>
  </r>
  <r>
    <x v="2"/>
    <d v="2014-07-05T00:00:00"/>
    <s v="Jul"/>
    <x v="3"/>
    <x v="30"/>
    <s v="Me"/>
    <n v="720"/>
    <n v="0"/>
    <n v="0"/>
  </r>
  <r>
    <x v="2"/>
    <d v="2014-07-05T00:00:00"/>
    <s v="Jul"/>
    <x v="3"/>
    <x v="1"/>
    <s v="Me"/>
    <n v="4800"/>
    <s v="Dr Loh Seong Feei"/>
    <n v="0"/>
  </r>
  <r>
    <x v="2"/>
    <d v="2014-07-05T00:00:00"/>
    <s v="Jul"/>
    <x v="3"/>
    <x v="3"/>
    <s v="Me"/>
    <n v="4800"/>
    <n v="0"/>
    <n v="0"/>
  </r>
  <r>
    <x v="2"/>
    <d v="2014-07-05T00:00:00"/>
    <s v="Jul"/>
    <x v="3"/>
    <x v="15"/>
    <s v="Me"/>
    <n v="16368"/>
    <n v="0"/>
    <s v="Gonal F 300 IU "/>
  </r>
  <r>
    <x v="2"/>
    <d v="2014-07-05T00:00:00"/>
    <s v="Jul"/>
    <x v="3"/>
    <x v="15"/>
    <s v="Me"/>
    <n v="10310.400000000001"/>
    <n v="0"/>
    <s v="Cetrotide 0.25 mg"/>
  </r>
  <r>
    <x v="2"/>
    <d v="2014-07-05T00:00:00"/>
    <s v="Jul"/>
    <x v="3"/>
    <x v="15"/>
    <s v="Me"/>
    <n v="25056"/>
    <n v="0"/>
    <s v="Pergoveris 150/ 75IU"/>
  </r>
  <r>
    <x v="2"/>
    <d v="2014-07-05T00:00:00"/>
    <s v="Jul"/>
    <x v="3"/>
    <x v="32"/>
    <s v="Me"/>
    <n v="4344"/>
    <s v="GST"/>
    <n v="0"/>
  </r>
  <r>
    <x v="2"/>
    <d v="2014-07-05T00:00:00"/>
    <s v="Jul"/>
    <x v="3"/>
    <x v="0"/>
    <s v="DH"/>
    <n v="6009.12"/>
    <s v="From The O&amp;G Specialist Clinic"/>
    <s v="Carnipure Oral solution 500 ml"/>
  </r>
  <r>
    <x v="2"/>
    <d v="2014-07-05T00:00:00"/>
    <s v="Jul"/>
    <x v="3"/>
    <x v="0"/>
    <s v="DH"/>
    <n v="0"/>
    <s v="From The O&amp;G Specialist Clinic"/>
    <s v="Quantum Plus"/>
  </r>
  <r>
    <x v="2"/>
    <d v="2014-07-05T00:00:00"/>
    <s v="Jul"/>
    <x v="3"/>
    <x v="0"/>
    <s v="DH"/>
    <n v="0"/>
    <s v="From The O&amp;G Specialist Clinic"/>
    <s v="Compleal"/>
  </r>
  <r>
    <x v="2"/>
    <d v="2014-07-06T00:00:00"/>
    <s v="Jul"/>
    <x v="3"/>
    <x v="0"/>
    <s v="Me"/>
    <n v="132"/>
    <n v="0"/>
    <s v="Folic Acid 5mg"/>
  </r>
  <r>
    <x v="2"/>
    <d v="2014-07-07T00:00:00"/>
    <s v="Jul"/>
    <x v="3"/>
    <x v="30"/>
    <s v="Me"/>
    <n v="720"/>
    <n v="0"/>
    <n v="0"/>
  </r>
  <r>
    <x v="2"/>
    <d v="2014-07-07T00:00:00"/>
    <s v="Jul"/>
    <x v="3"/>
    <x v="1"/>
    <s v="Me"/>
    <n v="4800"/>
    <s v="Dr Loh Seong Feei"/>
    <n v="0"/>
  </r>
  <r>
    <x v="2"/>
    <d v="2014-07-07T00:00:00"/>
    <s v="Jul"/>
    <x v="3"/>
    <x v="3"/>
    <s v="Me"/>
    <n v="4800"/>
    <n v="0"/>
    <n v="0"/>
  </r>
  <r>
    <x v="2"/>
    <d v="2014-07-07T00:00:00"/>
    <s v="Jul"/>
    <x v="3"/>
    <x v="15"/>
    <s v="Me"/>
    <n v="4128"/>
    <n v="0"/>
    <s v="Pregnyl 5000 IU"/>
  </r>
  <r>
    <x v="2"/>
    <d v="2014-07-07T00:00:00"/>
    <s v="Jul"/>
    <x v="3"/>
    <x v="15"/>
    <s v="Me"/>
    <n v="1731.84"/>
    <n v="0"/>
    <s v="Zithromax tablet 250mg"/>
  </r>
  <r>
    <x v="2"/>
    <d v="2014-07-07T00:00:00"/>
    <s v="Jul"/>
    <x v="3"/>
    <x v="32"/>
    <s v="Me"/>
    <n v="1133.76"/>
    <s v="GST"/>
    <n v="0"/>
  </r>
  <r>
    <x v="3"/>
    <d v="2014-07-07T00:00:00"/>
    <s v="Jul"/>
    <x v="3"/>
    <x v="15"/>
    <s v="Me"/>
    <n v="1200"/>
    <s v="Fertility Injection procedure - Pregnyl 10000 IU"/>
    <n v="0"/>
  </r>
  <r>
    <x v="3"/>
    <d v="2014-07-07T00:00:00"/>
    <s v="Jul"/>
    <x v="3"/>
    <x v="32"/>
    <s v="Me"/>
    <n v="84"/>
    <n v="0"/>
    <s v="Fentanyl injection 2ml"/>
  </r>
  <r>
    <x v="2"/>
    <d v="2014-07-09T00:00:00"/>
    <s v="Jul"/>
    <x v="3"/>
    <x v="18"/>
    <s v="Me"/>
    <n v="630.24"/>
    <n v="0"/>
    <s v="Propofol-Lipuro 1% GA injection"/>
  </r>
  <r>
    <x v="2"/>
    <d v="2014-07-09T00:00:00"/>
    <s v="Jul"/>
    <x v="3"/>
    <x v="18"/>
    <s v="Me"/>
    <n v="708"/>
    <n v="0"/>
    <n v="0"/>
  </r>
  <r>
    <x v="2"/>
    <d v="2014-07-09T00:00:00"/>
    <s v="Jul"/>
    <x v="3"/>
    <x v="18"/>
    <s v="Me"/>
    <n v="653.76"/>
    <s v="Medical surgeon gown"/>
    <n v="0"/>
  </r>
  <r>
    <x v="2"/>
    <d v="2014-07-09T00:00:00"/>
    <s v="Jul"/>
    <x v="3"/>
    <x v="18"/>
    <s v="Me"/>
    <n v="3723.84"/>
    <s v="Oocyte recovery set 17g needle with tubing"/>
    <n v="0"/>
  </r>
  <r>
    <x v="2"/>
    <d v="2014-07-09T00:00:00"/>
    <s v="Jul"/>
    <x v="3"/>
    <x v="18"/>
    <s v="Me"/>
    <n v="5760"/>
    <s v="Facilities (OT &amp; recovery)"/>
    <n v="0"/>
  </r>
  <r>
    <x v="2"/>
    <d v="2014-07-09T00:00:00"/>
    <s v="Jul"/>
    <x v="3"/>
    <x v="18"/>
    <s v="Me"/>
    <n v="326400"/>
    <s v="IVF package"/>
    <n v="0"/>
  </r>
  <r>
    <x v="2"/>
    <d v="2014-07-09T00:00:00"/>
    <s v="Jul"/>
    <x v="3"/>
    <x v="32"/>
    <s v="Me"/>
    <n v="23650.560000000001"/>
    <s v="GST"/>
    <n v="0"/>
  </r>
  <r>
    <x v="2"/>
    <d v="2014-07-09T00:00:00"/>
    <s v="Jul"/>
    <x v="3"/>
    <x v="18"/>
    <s v="Me"/>
    <n v="16800"/>
    <s v="Dr Chan Sy (NMS) Anestheologist"/>
    <s v="Progynova 2mg tab"/>
  </r>
  <r>
    <x v="2"/>
    <d v="2014-07-11T00:00:00"/>
    <s v="Jul"/>
    <x v="3"/>
    <x v="19"/>
    <s v="Me"/>
    <n v="1881.6000000000001"/>
    <n v="0"/>
    <s v="Utrogestan capsule 100mg"/>
  </r>
  <r>
    <x v="2"/>
    <d v="2014-07-11T00:00:00"/>
    <s v="Jul"/>
    <x v="3"/>
    <x v="19"/>
    <s v="Me"/>
    <n v="8064"/>
    <n v="0"/>
    <n v="0"/>
  </r>
  <r>
    <x v="2"/>
    <d v="2014-07-11T00:00:00"/>
    <s v="Jul"/>
    <x v="3"/>
    <x v="19"/>
    <s v="Me"/>
    <n v="4088.6400000000003"/>
    <s v="ER catheter, 23cm, 1816N"/>
    <n v="0"/>
  </r>
  <r>
    <x v="2"/>
    <d v="2014-07-11T00:00:00"/>
    <s v="Jul"/>
    <x v="3"/>
    <x v="19"/>
    <s v="Me"/>
    <n v="1680"/>
    <s v="HCG Blood test"/>
    <n v="0"/>
  </r>
  <r>
    <x v="2"/>
    <d v="2014-07-11T00:00:00"/>
    <s v="Jul"/>
    <x v="3"/>
    <x v="19"/>
    <s v="Me"/>
    <n v="1680"/>
    <s v="Progesterone blood test"/>
    <n v="0"/>
  </r>
  <r>
    <x v="2"/>
    <d v="2014-07-11T00:00:00"/>
    <s v="Jul"/>
    <x v="3"/>
    <x v="19"/>
    <s v="Me"/>
    <n v="5760"/>
    <s v="Facilities (OT &amp; recovery)"/>
    <n v="0"/>
  </r>
  <r>
    <x v="2"/>
    <d v="2014-07-11T00:00:00"/>
    <s v="Jul"/>
    <x v="3"/>
    <x v="35"/>
    <s v="Me"/>
    <n v="43200"/>
    <s v="Embryo freezing (1 yr- 5 straws)"/>
    <n v="0"/>
  </r>
  <r>
    <x v="2"/>
    <d v="2014-07-11T00:00:00"/>
    <s v="Jul"/>
    <x v="3"/>
    <x v="32"/>
    <s v="Me"/>
    <n v="4644.96"/>
    <s v="GST"/>
    <s v="Folic Acid 5mg"/>
  </r>
  <r>
    <x v="2"/>
    <d v="2014-09-05T00:00:00"/>
    <s v="Sep"/>
    <x v="3"/>
    <x v="0"/>
    <s v="Me"/>
    <n v="132"/>
    <n v="0"/>
    <n v="0"/>
  </r>
  <r>
    <x v="2"/>
    <d v="2014-09-10T00:00:00"/>
    <s v="Sep"/>
    <x v="3"/>
    <x v="30"/>
    <s v="Me"/>
    <n v="720"/>
    <n v="0"/>
    <n v="0"/>
  </r>
  <r>
    <x v="2"/>
    <d v="2014-09-10T00:00:00"/>
    <s v="Sep"/>
    <x v="3"/>
    <x v="1"/>
    <s v="Me"/>
    <n v="4800"/>
    <s v="Dr Loh Seong Feei"/>
    <n v="0"/>
  </r>
  <r>
    <x v="2"/>
    <d v="2014-09-10T00:00:00"/>
    <s v="Sep"/>
    <x v="3"/>
    <x v="3"/>
    <s v="Me"/>
    <n v="4800"/>
    <n v="0"/>
    <n v="0"/>
  </r>
  <r>
    <x v="2"/>
    <d v="2014-09-10T00:00:00"/>
    <s v="Sep"/>
    <x v="3"/>
    <x v="32"/>
    <s v="Me"/>
    <n v="722.40000000000009"/>
    <s v="GST"/>
    <n v="0"/>
  </r>
  <r>
    <x v="2"/>
    <d v="2014-09-10T00:00:00"/>
    <s v="Sep"/>
    <x v="3"/>
    <x v="0"/>
    <s v="Me"/>
    <n v="2448"/>
    <s v="Clearblue Ovulation kit"/>
    <n v="0"/>
  </r>
  <r>
    <x v="2"/>
    <d v="2014-09-15T00:00:00"/>
    <s v="Sep"/>
    <x v="3"/>
    <x v="0"/>
    <s v="Me"/>
    <n v="3292.7999999999997"/>
    <s v="Clearblue Digital Ovulation kit"/>
    <n v="0"/>
  </r>
  <r>
    <x v="2"/>
    <d v="2014-09-15T00:00:00"/>
    <s v="Sep"/>
    <x v="3"/>
    <x v="30"/>
    <s v="Me"/>
    <n v="720"/>
    <n v="0"/>
    <n v="0"/>
  </r>
  <r>
    <x v="2"/>
    <d v="2014-09-15T00:00:00"/>
    <s v="Sep"/>
    <x v="3"/>
    <x v="1"/>
    <s v="Me"/>
    <n v="4800"/>
    <s v="Dr Loh Seong Feei"/>
    <n v="0"/>
  </r>
  <r>
    <x v="2"/>
    <d v="2014-09-15T00:00:00"/>
    <s v="Sep"/>
    <x v="3"/>
    <x v="3"/>
    <s v="Me"/>
    <n v="4800"/>
    <n v="0"/>
    <n v="0"/>
  </r>
  <r>
    <x v="2"/>
    <d v="2014-09-15T00:00:00"/>
    <s v="Sep"/>
    <x v="3"/>
    <x v="32"/>
    <s v="Me"/>
    <n v="952.80000000000007"/>
    <s v="GST"/>
    <n v="0"/>
  </r>
  <r>
    <x v="2"/>
    <d v="2014-09-17T00:00:00"/>
    <s v="Sep"/>
    <x v="3"/>
    <x v="33"/>
    <s v="DH"/>
    <n v="-14880"/>
    <s v="Reversal of sperm storage charges + GST"/>
    <n v="0"/>
  </r>
  <r>
    <x v="2"/>
    <d v="2014-09-17T00:00:00"/>
    <s v="Sep"/>
    <x v="3"/>
    <x v="32"/>
    <s v="DH"/>
    <n v="-1041.5999999999999"/>
    <s v="Reversal of sperm storage charges + GST"/>
    <s v="Utrogestan capsule 100mg"/>
  </r>
  <r>
    <x v="2"/>
    <d v="2014-09-19T00:00:00"/>
    <s v="Sep"/>
    <x v="3"/>
    <x v="9"/>
    <s v="Me"/>
    <n v="4032"/>
    <n v="0"/>
    <n v="0"/>
  </r>
  <r>
    <x v="2"/>
    <d v="2014-09-19T00:00:00"/>
    <s v="Sep"/>
    <x v="3"/>
    <x v="9"/>
    <s v="Me"/>
    <n v="4088.6400000000003"/>
    <s v="ER catheter, 23cm, 1816N"/>
    <n v="0"/>
  </r>
  <r>
    <x v="2"/>
    <d v="2014-09-19T00:00:00"/>
    <s v="Sep"/>
    <x v="3"/>
    <x v="9"/>
    <s v="Me"/>
    <n v="960"/>
    <s v="OT patient disposable set"/>
    <n v="0"/>
  </r>
  <r>
    <x v="2"/>
    <d v="2014-09-19T00:00:00"/>
    <s v="Sep"/>
    <x v="3"/>
    <x v="9"/>
    <s v="Me"/>
    <n v="1680"/>
    <s v="HCG Blood test"/>
    <n v="0"/>
  </r>
  <r>
    <x v="2"/>
    <d v="2014-09-19T00:00:00"/>
    <s v="Sep"/>
    <x v="3"/>
    <x v="9"/>
    <s v="Me"/>
    <n v="5760"/>
    <s v="Facilities (OT &amp; recovery)"/>
    <n v="0"/>
  </r>
  <r>
    <x v="2"/>
    <d v="2014-09-19T00:00:00"/>
    <s v="Sep"/>
    <x v="3"/>
    <x v="9"/>
    <s v="Me"/>
    <n v="72000"/>
    <s v="Embryo thawing &amp; ET"/>
    <n v="0"/>
  </r>
  <r>
    <x v="2"/>
    <d v="2014-09-19T00:00:00"/>
    <s v="Sep"/>
    <x v="3"/>
    <x v="9"/>
    <s v="Me"/>
    <n v="33600"/>
    <s v="ET - Doctor's fee"/>
    <n v="0"/>
  </r>
  <r>
    <x v="2"/>
    <d v="2014-09-19T00:00:00"/>
    <s v="Sep"/>
    <x v="3"/>
    <x v="32"/>
    <s v="Me"/>
    <n v="8547.36"/>
    <s v="GST"/>
    <s v="Ganilia"/>
  </r>
  <r>
    <x v="2"/>
    <d v="2014-10-10T00:00:00"/>
    <s v="Oct"/>
    <x v="3"/>
    <x v="0"/>
    <s v="Me"/>
    <n v="2016"/>
    <n v="0"/>
    <n v="0"/>
  </r>
  <r>
    <x v="2"/>
    <d v="2014-10-10T00:00:00"/>
    <s v="Oct"/>
    <x v="3"/>
    <x v="32"/>
    <s v="Me"/>
    <n v="141.60000000000002"/>
    <n v="0"/>
    <s v="11 Jul 2016 - 11 Sept 2017"/>
  </r>
  <r>
    <x v="2"/>
    <d v="2014-10-14T00:00:00"/>
    <s v="Oct"/>
    <x v="3"/>
    <x v="0"/>
    <s v="Me"/>
    <n v="960"/>
    <s v="Injection for bleeding"/>
    <s v="11 Jul 2016 - 11 Sept 2017"/>
  </r>
  <r>
    <x v="2"/>
    <d v="2014-10-14T00:00:00"/>
    <s v="Oct"/>
    <x v="3"/>
    <x v="32"/>
    <s v="Me"/>
    <n v="67.199999999999989"/>
    <n v="0"/>
    <s v="Curam tab 625mg"/>
  </r>
  <r>
    <x v="2"/>
    <d v="2014-10-18T00:00:00"/>
    <s v="Oct"/>
    <x v="3"/>
    <x v="0"/>
    <s v="Me"/>
    <n v="4032"/>
    <n v="0"/>
    <n v="0"/>
  </r>
  <r>
    <x v="2"/>
    <d v="2014-10-18T00:00:00"/>
    <s v="Oct"/>
    <x v="3"/>
    <x v="0"/>
    <s v="Me"/>
    <n v="2880"/>
    <n v="0"/>
    <n v="0"/>
  </r>
  <r>
    <x v="2"/>
    <d v="2014-10-18T00:00:00"/>
    <s v="Oct"/>
    <x v="3"/>
    <x v="0"/>
    <s v="Me"/>
    <n v="960"/>
    <s v="Injection for bleeding"/>
    <n v="0"/>
  </r>
  <r>
    <x v="2"/>
    <d v="2014-10-18T00:00:00"/>
    <s v="Oct"/>
    <x v="3"/>
    <x v="30"/>
    <s v="Me"/>
    <n v="720"/>
    <n v="0"/>
    <n v="0"/>
  </r>
  <r>
    <x v="2"/>
    <d v="2014-10-18T00:00:00"/>
    <s v="Oct"/>
    <x v="3"/>
    <x v="1"/>
    <s v="Me"/>
    <n v="4800"/>
    <s v="Dr Loh Seong Feei"/>
    <n v="0"/>
  </r>
  <r>
    <x v="2"/>
    <d v="2014-10-18T00:00:00"/>
    <s v="Oct"/>
    <x v="3"/>
    <x v="3"/>
    <s v="Me"/>
    <n v="4800"/>
    <n v="0"/>
    <n v="0"/>
  </r>
  <r>
    <x v="2"/>
    <d v="2014-10-18T00:00:00"/>
    <s v="Oct"/>
    <x v="3"/>
    <x v="32"/>
    <s v="Me"/>
    <n v="1274.4000000000001"/>
    <s v="GST"/>
    <n v="0"/>
  </r>
  <r>
    <x v="2"/>
    <d v="2014-11-01T00:00:00"/>
    <s v="Nov"/>
    <x v="3"/>
    <x v="0"/>
    <s v="Me"/>
    <n v="6048"/>
    <n v="0"/>
    <n v="0"/>
  </r>
  <r>
    <x v="2"/>
    <d v="2014-11-01T00:00:00"/>
    <s v="Nov"/>
    <x v="3"/>
    <x v="0"/>
    <s v="Me"/>
    <n v="2880"/>
    <n v="0"/>
    <n v="0"/>
  </r>
  <r>
    <x v="2"/>
    <d v="2014-11-01T00:00:00"/>
    <s v="Nov"/>
    <x v="3"/>
    <x v="30"/>
    <s v="Me"/>
    <n v="720"/>
    <n v="0"/>
    <n v="0"/>
  </r>
  <r>
    <x v="2"/>
    <d v="2014-11-01T00:00:00"/>
    <s v="Nov"/>
    <x v="3"/>
    <x v="1"/>
    <s v="Me"/>
    <n v="4800"/>
    <n v="0"/>
    <n v="0"/>
  </r>
  <r>
    <x v="2"/>
    <d v="2014-11-01T00:00:00"/>
    <s v="Nov"/>
    <x v="3"/>
    <x v="3"/>
    <s v="Me"/>
    <n v="4800"/>
    <n v="0"/>
    <n v="0"/>
  </r>
  <r>
    <x v="2"/>
    <d v="2014-11-01T00:00:00"/>
    <s v="Nov"/>
    <x v="3"/>
    <x v="32"/>
    <s v="Me"/>
    <n v="1346.4"/>
    <n v="0"/>
    <n v="0"/>
  </r>
  <r>
    <x v="3"/>
    <d v="2014-11-21T00:00:00"/>
    <s v="Nov"/>
    <x v="3"/>
    <x v="1"/>
    <s v="Me"/>
    <n v="4320"/>
    <n v="0"/>
    <n v="0"/>
  </r>
  <r>
    <x v="3"/>
    <d v="2014-11-21T00:00:00"/>
    <s v="Nov"/>
    <x v="3"/>
    <x v="36"/>
    <s v="Me"/>
    <n v="480"/>
    <s v="Height, weight &amp; BP"/>
    <n v="0"/>
  </r>
  <r>
    <x v="3"/>
    <d v="2014-11-21T00:00:00"/>
    <s v="Nov"/>
    <x v="3"/>
    <x v="3"/>
    <s v="Me"/>
    <n v="2400"/>
    <n v="0"/>
    <n v="0"/>
  </r>
  <r>
    <x v="3"/>
    <d v="2014-11-21T00:00:00"/>
    <s v="Nov"/>
    <x v="3"/>
    <x v="37"/>
    <s v="Me"/>
    <n v="62400"/>
    <s v="Blood test for Down Syndrome"/>
    <n v="0"/>
  </r>
  <r>
    <x v="3"/>
    <d v="2014-11-21T00:00:00"/>
    <s v="Nov"/>
    <x v="3"/>
    <x v="0"/>
    <s v="Me"/>
    <n v="2304"/>
    <s v="Vitamins, iron &amp; folic acid tablets"/>
    <n v="0"/>
  </r>
  <r>
    <x v="3"/>
    <d v="2014-11-21T00:00:00"/>
    <s v="Nov"/>
    <x v="3"/>
    <x v="32"/>
    <s v="Me"/>
    <n v="5033.28"/>
    <n v="0"/>
    <n v="0"/>
  </r>
  <r>
    <x v="3"/>
    <d v="2014-12-19T00:00:00"/>
    <s v="Dec"/>
    <x v="3"/>
    <x v="1"/>
    <s v="Me"/>
    <n v="4320"/>
    <n v="0"/>
    <n v="0"/>
  </r>
  <r>
    <x v="3"/>
    <d v="2014-12-19T00:00:00"/>
    <s v="Dec"/>
    <x v="3"/>
    <x v="36"/>
    <s v="Me"/>
    <n v="480"/>
    <s v="Height, weight &amp; BP"/>
    <n v="0"/>
  </r>
  <r>
    <x v="3"/>
    <d v="2014-12-19T00:00:00"/>
    <s v="Dec"/>
    <x v="3"/>
    <x v="3"/>
    <s v="Me"/>
    <n v="2400"/>
    <n v="0"/>
    <n v="0"/>
  </r>
  <r>
    <x v="3"/>
    <d v="2014-12-19T00:00:00"/>
    <s v="Dec"/>
    <x v="3"/>
    <x v="0"/>
    <s v="Me"/>
    <n v="2304"/>
    <s v="Vitamins, iron &amp; folic acid tablets"/>
    <n v="0"/>
  </r>
  <r>
    <x v="3"/>
    <d v="2014-12-19T00:00:00"/>
    <s v="Dec"/>
    <x v="3"/>
    <x v="32"/>
    <s v="Me"/>
    <n v="665.28"/>
    <n v="0"/>
    <n v="0"/>
  </r>
  <r>
    <x v="3"/>
    <d v="2015-01-19T00:00:00"/>
    <s v="Jan"/>
    <x v="4"/>
    <x v="3"/>
    <s v="Me"/>
    <n v="7344"/>
    <s v="Fetal assessment scan"/>
    <n v="0"/>
  </r>
  <r>
    <x v="3"/>
    <d v="2015-01-19T00:00:00"/>
    <s v="Jan"/>
    <x v="4"/>
    <x v="32"/>
    <s v="Me"/>
    <n v="513.59999999999991"/>
    <n v="0"/>
    <n v="0"/>
  </r>
  <r>
    <x v="3"/>
    <d v="2015-01-19T00:00:00"/>
    <s v="Jan"/>
    <x v="4"/>
    <x v="1"/>
    <s v="Me"/>
    <n v="4320"/>
    <n v="0"/>
    <n v="0"/>
  </r>
  <r>
    <x v="3"/>
    <d v="2015-01-19T00:00:00"/>
    <s v="Jan"/>
    <x v="4"/>
    <x v="36"/>
    <s v="Me"/>
    <n v="480"/>
    <s v="Height, weight &amp; BP"/>
    <n v="0"/>
  </r>
  <r>
    <x v="3"/>
    <d v="2015-01-19T00:00:00"/>
    <s v="Jan"/>
    <x v="4"/>
    <x v="0"/>
    <s v="Me"/>
    <n v="2304"/>
    <s v="Vitamins, iron &amp; folic acid tablets"/>
    <n v="0"/>
  </r>
  <r>
    <x v="3"/>
    <d v="2015-01-19T00:00:00"/>
    <s v="Jan"/>
    <x v="4"/>
    <x v="32"/>
    <s v="Me"/>
    <n v="497.28"/>
    <n v="0"/>
    <n v="0"/>
  </r>
  <r>
    <x v="2"/>
    <d v="2015-07-31T00:00:00"/>
    <s v="Jul"/>
    <x v="4"/>
    <x v="35"/>
    <s v="Me"/>
    <n v="40320"/>
    <s v="Embryo freezing (1 yr- 5 straws)"/>
    <n v="0"/>
  </r>
  <r>
    <x v="2"/>
    <d v="2015-07-31T00:00:00"/>
    <s v="Jul"/>
    <x v="4"/>
    <x v="32"/>
    <s v="Me"/>
    <n v="2822.3999999999996"/>
    <s v="GST"/>
    <n v="0"/>
  </r>
  <r>
    <x v="2"/>
    <d v="2017-06-17T00:00:00"/>
    <s v="Jun"/>
    <x v="5"/>
    <x v="35"/>
    <s v="Me"/>
    <n v="47040"/>
    <s v="Embryo freezing (1 yr- 5 straws)"/>
    <n v="0"/>
  </r>
  <r>
    <x v="2"/>
    <d v="2017-06-17T00:00:00"/>
    <s v="Jun"/>
    <x v="5"/>
    <x v="32"/>
    <s v="Me"/>
    <n v="3292.7999999999997"/>
    <s v="GST"/>
    <n v="0"/>
  </r>
  <r>
    <x v="2"/>
    <d v="2017-09-15T00:00:00"/>
    <s v="Sep"/>
    <x v="5"/>
    <x v="35"/>
    <s v="Me"/>
    <n v="20160"/>
    <s v="Embryo freezing (1 yr- 5 straws)"/>
    <n v="0"/>
  </r>
  <r>
    <x v="2"/>
    <d v="2017-09-15T00:00:00"/>
    <s v="Sep"/>
    <x v="5"/>
    <x v="32"/>
    <s v="Me"/>
    <n v="1411.1999999999998"/>
    <s v="GST"/>
    <n v="0"/>
  </r>
  <r>
    <x v="2"/>
    <d v="2017-12-11T00:00:00"/>
    <s v="Dec"/>
    <x v="5"/>
    <x v="1"/>
    <s v="Me"/>
    <n v="4800"/>
    <s v="Dr Loh Seong Feei"/>
    <n v="0"/>
  </r>
  <r>
    <x v="2"/>
    <d v="2017-12-11T00:00:00"/>
    <s v="Dec"/>
    <x v="5"/>
    <x v="3"/>
    <s v="Me"/>
    <n v="4800"/>
    <n v="0"/>
    <n v="0"/>
  </r>
  <r>
    <x v="2"/>
    <d v="2017-12-11T00:00:00"/>
    <s v="Dec"/>
    <x v="5"/>
    <x v="30"/>
    <s v="Me"/>
    <n v="720"/>
    <n v="0"/>
    <n v="0"/>
  </r>
  <r>
    <x v="2"/>
    <d v="2017-12-11T00:00:00"/>
    <s v="Dec"/>
    <x v="5"/>
    <x v="32"/>
    <s v="Me"/>
    <n v="722.40000000000009"/>
    <s v="GST"/>
    <n v="0"/>
  </r>
  <r>
    <x v="3"/>
    <d v="2018-01-04T00:00:00"/>
    <s v="Jan"/>
    <x v="6"/>
    <x v="38"/>
    <s v="Me"/>
    <n v="62160"/>
    <s v="Hosp number - 62-03-00184-2018"/>
    <n v="0"/>
  </r>
  <r>
    <x v="3"/>
    <d v="2018-01-04T00:00:00"/>
    <s v="Jan"/>
    <x v="6"/>
    <x v="38"/>
    <s v="Me"/>
    <n v="310.08"/>
    <n v="0"/>
    <n v="0"/>
  </r>
  <r>
    <x v="3"/>
    <d v="2018-01-04T00:00:00"/>
    <s v="Jan"/>
    <x v="6"/>
    <x v="38"/>
    <s v="Me"/>
    <n v="1200"/>
    <n v="0"/>
    <n v="0"/>
  </r>
  <r>
    <x v="3"/>
    <d v="2018-01-04T00:00:00"/>
    <s v="Jan"/>
    <x v="6"/>
    <x v="38"/>
    <s v="Me"/>
    <n v="3974.3999999999996"/>
    <n v="0"/>
    <n v="0"/>
  </r>
  <r>
    <x v="3"/>
    <d v="2018-01-04T00:00:00"/>
    <s v="Jan"/>
    <x v="6"/>
    <x v="38"/>
    <s v="Me"/>
    <n v="864"/>
    <s v="Normal saline 1000ml"/>
    <n v="0"/>
  </r>
  <r>
    <x v="3"/>
    <d v="2018-01-04T00:00:00"/>
    <s v="Jan"/>
    <x v="6"/>
    <x v="38"/>
    <s v="Me"/>
    <n v="144"/>
    <s v="Disposable panties"/>
    <n v="0"/>
  </r>
  <r>
    <x v="3"/>
    <d v="2018-01-04T00:00:00"/>
    <s v="Jan"/>
    <x v="6"/>
    <x v="38"/>
    <s v="Me"/>
    <n v="398.40000000000003"/>
    <s v="Surgical gloves"/>
    <n v="0"/>
  </r>
  <r>
    <x v="3"/>
    <d v="2018-01-04T00:00:00"/>
    <s v="Jan"/>
    <x v="6"/>
    <x v="38"/>
    <s v="Me"/>
    <n v="3648"/>
    <s v="Instrument set"/>
    <n v="0"/>
  </r>
  <r>
    <x v="3"/>
    <d v="2018-01-04T00:00:00"/>
    <s v="Jan"/>
    <x v="6"/>
    <x v="38"/>
    <s v="Me"/>
    <n v="1704"/>
    <s v="Urigation set"/>
    <n v="0"/>
  </r>
  <r>
    <x v="3"/>
    <d v="2018-01-04T00:00:00"/>
    <s v="Jan"/>
    <x v="6"/>
    <x v="38"/>
    <s v="Me"/>
    <n v="508.79999999999995"/>
    <s v="Video printout"/>
    <n v="0"/>
  </r>
  <r>
    <x v="3"/>
    <d v="2018-01-04T00:00:00"/>
    <s v="Jan"/>
    <x v="6"/>
    <x v="38"/>
    <s v="Me"/>
    <n v="5760"/>
    <s v="Histology - Lab fees"/>
    <n v="0"/>
  </r>
  <r>
    <x v="3"/>
    <d v="2018-01-04T00:00:00"/>
    <s v="Jan"/>
    <x v="6"/>
    <x v="38"/>
    <s v="Me"/>
    <n v="1680"/>
    <s v="Admission procedure"/>
    <n v="0"/>
  </r>
  <r>
    <x v="3"/>
    <d v="2018-01-04T00:00:00"/>
    <s v="Jan"/>
    <x v="6"/>
    <x v="32"/>
    <s v="Me"/>
    <n v="5743.2000000000007"/>
    <n v="0"/>
    <n v="0"/>
  </r>
  <r>
    <x v="3"/>
    <d v="2018-01-04T00:00:00"/>
    <s v="Jan"/>
    <x v="6"/>
    <x v="39"/>
    <s v="Me"/>
    <n v="15408"/>
    <s v="Doctors fee - Dr Loh Seong Feei - attendance"/>
    <n v="0"/>
  </r>
  <r>
    <x v="3"/>
    <d v="2018-01-04T00:00:00"/>
    <s v="Jan"/>
    <x v="6"/>
    <x v="39"/>
    <s v="Me"/>
    <n v="143808"/>
    <s v="Doctors fee - Dr Loh Seong Feei - operation fee"/>
    <n v="0"/>
  </r>
  <r>
    <x v="3"/>
    <d v="2018-01-04T00:00:00"/>
    <s v="Jan"/>
    <x v="6"/>
    <x v="40"/>
    <s v="Me"/>
    <n v="35952"/>
    <s v="Doctors fee - Dr Loo Chee Chuen - operation fee"/>
    <n v="0"/>
  </r>
  <r>
    <x v="3"/>
    <d v="2018-02-05T00:00:00"/>
    <s v="Feb"/>
    <x v="6"/>
    <x v="1"/>
    <s v="Me"/>
    <n v="4320"/>
    <s v="Dr Loh Seong Feei"/>
    <n v="0"/>
  </r>
  <r>
    <x v="3"/>
    <d v="2018-02-05T00:00:00"/>
    <s v="Feb"/>
    <x v="6"/>
    <x v="0"/>
    <s v="Me"/>
    <n v="2880"/>
    <s v="Progesteron "/>
    <n v="0"/>
  </r>
  <r>
    <x v="3"/>
    <d v="2018-02-05T00:00:00"/>
    <s v="Feb"/>
    <x v="6"/>
    <x v="11"/>
    <s v="Me"/>
    <n v="9600"/>
    <s v="HIV blood test for both of us"/>
    <n v="0"/>
  </r>
  <r>
    <x v="3"/>
    <d v="2018-02-05T00:00:00"/>
    <s v="Feb"/>
    <x v="6"/>
    <x v="32"/>
    <s v="Me"/>
    <n v="1176.0000000000002"/>
    <n v="350.00000000000006"/>
    <n v="0"/>
  </r>
  <r>
    <x v="3"/>
    <d v="2018-03-05T00:00:00"/>
    <s v="Mar"/>
    <x v="6"/>
    <x v="41"/>
    <s v="Me"/>
    <n v="11654.611200000001"/>
    <s v="rescan?"/>
    <n v="0"/>
  </r>
  <r>
    <x v="3"/>
    <d v="2018-03-05T00:00:00"/>
    <s v="Mar"/>
    <x v="6"/>
    <x v="32"/>
    <s v="Me"/>
    <n v="877.22880000000009"/>
    <n v="0"/>
    <n v="0"/>
  </r>
  <r>
    <x v="3"/>
    <d v="2018-03-05T00:00:00"/>
    <s v="Mar"/>
    <x v="6"/>
    <x v="42"/>
    <s v="Me"/>
    <n v="687.45600000000002"/>
    <s v="medicine"/>
    <n v="0"/>
  </r>
  <r>
    <x v="3"/>
    <d v="2018-03-05T00:00:00"/>
    <s v="Mar"/>
    <x v="6"/>
    <x v="32"/>
    <s v="Me"/>
    <n v="51.744"/>
    <n v="0"/>
    <n v="0"/>
  </r>
  <r>
    <x v="2"/>
    <d v="2018-03-08T00:00:00"/>
    <s v="Mar"/>
    <x v="6"/>
    <x v="43"/>
    <s v="Me"/>
    <n v="130645.65600000003"/>
    <s v="FET - 2 embryos. Ammamma passed on 22 Mar. collapsed on 19 mar"/>
    <n v="0"/>
  </r>
  <r>
    <x v="2"/>
    <d v="2018-03-08T00:00:00"/>
    <s v="Mar"/>
    <x v="6"/>
    <x v="32"/>
    <s v="Me"/>
    <n v="9833.5440000000017"/>
    <n v="0"/>
    <n v="0"/>
  </r>
  <r>
    <x v="2"/>
    <d v="2018-03-28T00:00:00"/>
    <s v="Mar"/>
    <x v="6"/>
    <x v="43"/>
    <s v="Me"/>
    <n v="1872.6480000000004"/>
    <n v="0"/>
    <n v="0"/>
  </r>
  <r>
    <x v="2"/>
    <d v="2018-03-28T00:00:00"/>
    <s v="Mar"/>
    <x v="6"/>
    <x v="32"/>
    <s v="Me"/>
    <n v="140.95200000000003"/>
    <n v="0"/>
    <n v="0"/>
  </r>
  <r>
    <x v="3"/>
    <d v="2018-04-07T00:00:00"/>
    <s v="Apr"/>
    <x v="6"/>
    <x v="41"/>
    <s v="Me"/>
    <n v="10508.256000000001"/>
    <n v="0"/>
    <n v="0"/>
  </r>
  <r>
    <x v="3"/>
    <d v="2018-04-07T00:00:00"/>
    <s v="Apr"/>
    <x v="6"/>
    <x v="32"/>
    <s v="Me"/>
    <n v="790.94400000000007"/>
    <n v="0"/>
    <n v="0"/>
  </r>
  <r>
    <x v="2"/>
    <d v="2018-04-07T00:00:00"/>
    <s v="Apr"/>
    <x v="6"/>
    <x v="43"/>
    <s v="Me"/>
    <n v="10269.432000000003"/>
    <s v="scan"/>
    <n v="0"/>
  </r>
  <r>
    <x v="2"/>
    <d v="2018-04-07T00:00:00"/>
    <s v="Apr"/>
    <x v="6"/>
    <x v="32"/>
    <s v="Me"/>
    <n v="772.96800000000019"/>
    <n v="0"/>
    <n v="0"/>
  </r>
  <r>
    <x v="2"/>
    <d v="2018-04-10T00:00:00"/>
    <s v="Apr"/>
    <x v="6"/>
    <x v="43"/>
    <s v="Me"/>
    <n v="122793.47999999998"/>
    <s v="FET - 1 embryo. Achan passed on 19 Apr. To india that night"/>
    <n v="0"/>
  </r>
  <r>
    <x v="2"/>
    <d v="2018-04-10T00:00:00"/>
    <s v="Apr"/>
    <x v="6"/>
    <x v="32"/>
    <s v="Me"/>
    <n v="9242.52"/>
    <n v="0"/>
    <n v="0"/>
  </r>
  <r>
    <x v="2"/>
    <d v="2019-09-30T00:00:00"/>
    <s v="Sep"/>
    <x v="7"/>
    <x v="1"/>
    <s v="Me"/>
    <n v="5100"/>
    <n v="0"/>
    <n v="0"/>
  </r>
  <r>
    <x v="2"/>
    <d v="2019-09-30T00:00:00"/>
    <s v="Sep"/>
    <x v="7"/>
    <x v="3"/>
    <s v="Me"/>
    <n v="5100"/>
    <n v="0"/>
    <n v="0"/>
  </r>
  <r>
    <x v="2"/>
    <d v="2019-09-30T00:00:00"/>
    <s v="Sep"/>
    <x v="7"/>
    <x v="11"/>
    <s v="Me"/>
    <n v="13260"/>
    <n v="0"/>
    <n v="0"/>
  </r>
  <r>
    <x v="2"/>
    <d v="2019-09-30T00:00:00"/>
    <s v="Sep"/>
    <x v="7"/>
    <x v="30"/>
    <s v="Me"/>
    <n v="765"/>
    <n v="0"/>
    <n v="0"/>
  </r>
  <r>
    <x v="2"/>
    <d v="2019-09-30T00:00:00"/>
    <s v="Sep"/>
    <x v="7"/>
    <x v="15"/>
    <s v="Me"/>
    <n v="40800"/>
    <n v="0"/>
    <n v="0"/>
  </r>
  <r>
    <x v="2"/>
    <d v="2019-09-30T00:00:00"/>
    <s v="Sep"/>
    <x v="7"/>
    <x v="15"/>
    <s v="Me"/>
    <n v="51000"/>
    <n v="0"/>
    <n v="0"/>
  </r>
  <r>
    <x v="2"/>
    <d v="2019-09-30T00:00:00"/>
    <s v="Sep"/>
    <x v="7"/>
    <x v="0"/>
    <s v="Me"/>
    <n v="2001.75"/>
    <n v="0"/>
    <n v="0"/>
  </r>
  <r>
    <x v="2"/>
    <d v="2019-09-30T00:00:00"/>
    <s v="Sep"/>
    <x v="7"/>
    <x v="32"/>
    <s v="Me"/>
    <n v="8262"/>
    <n v="0"/>
    <n v="0"/>
  </r>
  <r>
    <x v="2"/>
    <d v="2019-10-04T00:00:00"/>
    <s v="Oct"/>
    <x v="7"/>
    <x v="1"/>
    <s v="Me"/>
    <n v="5100"/>
    <n v="0"/>
    <n v="0"/>
  </r>
  <r>
    <x v="2"/>
    <d v="2019-10-04T00:00:00"/>
    <s v="Oct"/>
    <x v="7"/>
    <x v="3"/>
    <s v="Me"/>
    <n v="5100"/>
    <n v="0"/>
    <n v="0"/>
  </r>
  <r>
    <x v="2"/>
    <d v="2019-10-04T00:00:00"/>
    <s v="Oct"/>
    <x v="7"/>
    <x v="30"/>
    <s v="Me"/>
    <n v="765"/>
    <n v="0"/>
    <n v="0"/>
  </r>
  <r>
    <x v="2"/>
    <d v="2019-10-04T00:00:00"/>
    <s v="Oct"/>
    <x v="7"/>
    <x v="15"/>
    <s v="Me"/>
    <n v="16432.2"/>
    <n v="0"/>
    <n v="0"/>
  </r>
  <r>
    <x v="2"/>
    <d v="2019-10-04T00:00:00"/>
    <s v="Oct"/>
    <x v="7"/>
    <x v="15"/>
    <s v="Me"/>
    <n v="30600"/>
    <n v="0"/>
    <n v="0"/>
  </r>
  <r>
    <x v="2"/>
    <d v="2019-10-04T00:00:00"/>
    <s v="Oct"/>
    <x v="7"/>
    <x v="15"/>
    <s v="Me"/>
    <n v="51000"/>
    <n v="0"/>
    <n v="0"/>
  </r>
  <r>
    <x v="2"/>
    <d v="2019-10-04T00:00:00"/>
    <s v="Oct"/>
    <x v="7"/>
    <x v="32"/>
    <s v="Me"/>
    <n v="0"/>
    <n v="0"/>
    <n v="0"/>
  </r>
  <r>
    <x v="2"/>
    <d v="2019-10-07T00:00:00"/>
    <s v="Oct"/>
    <x v="7"/>
    <x v="1"/>
    <s v="Me"/>
    <n v="5100"/>
    <n v="0"/>
    <n v="0"/>
  </r>
  <r>
    <x v="2"/>
    <d v="2019-10-07T00:00:00"/>
    <s v="Oct"/>
    <x v="7"/>
    <x v="3"/>
    <s v="Me"/>
    <n v="5100"/>
    <n v="0"/>
    <n v="0"/>
  </r>
  <r>
    <x v="2"/>
    <d v="2019-10-07T00:00:00"/>
    <s v="Oct"/>
    <x v="7"/>
    <x v="30"/>
    <s v="Me"/>
    <n v="765"/>
    <n v="0"/>
    <n v="0"/>
  </r>
  <r>
    <x v="2"/>
    <d v="2019-10-07T00:00:00"/>
    <s v="Oct"/>
    <x v="7"/>
    <x v="15"/>
    <s v="Me"/>
    <n v="10954.800000000001"/>
    <n v="0"/>
    <n v="0"/>
  </r>
  <r>
    <x v="2"/>
    <d v="2019-10-07T00:00:00"/>
    <s v="Oct"/>
    <x v="7"/>
    <x v="15"/>
    <s v="Me"/>
    <n v="20400"/>
    <n v="0"/>
    <n v="0"/>
  </r>
  <r>
    <x v="2"/>
    <d v="2019-10-07T00:00:00"/>
    <s v="Oct"/>
    <x v="7"/>
    <x v="15"/>
    <s v="Me"/>
    <n v="34782"/>
    <n v="0"/>
    <n v="0"/>
  </r>
  <r>
    <x v="2"/>
    <d v="2019-10-07T00:00:00"/>
    <s v="Oct"/>
    <x v="7"/>
    <x v="15"/>
    <s v="Me"/>
    <n v="4386"/>
    <n v="0"/>
    <n v="0"/>
  </r>
  <r>
    <x v="2"/>
    <d v="2019-10-07T00:00:00"/>
    <s v="Oct"/>
    <x v="7"/>
    <x v="0"/>
    <s v="Me"/>
    <n v="1978.8"/>
    <n v="0"/>
    <n v="0"/>
  </r>
  <r>
    <x v="2"/>
    <d v="2019-10-07T00:00:00"/>
    <s v="Oct"/>
    <x v="7"/>
    <x v="32"/>
    <s v="Me"/>
    <n v="5842.05"/>
    <n v="0"/>
    <n v="0"/>
  </r>
  <r>
    <x v="3"/>
    <d v="2019-10-09T00:00:00"/>
    <s v="Oct"/>
    <x v="7"/>
    <x v="15"/>
    <s v="Me"/>
    <n v="1275"/>
    <s v="Fertility Injection procedure - Pregnyl 10000 IU"/>
    <n v="0"/>
  </r>
  <r>
    <x v="3"/>
    <d v="2019-10-09T00:00:00"/>
    <s v="Oct"/>
    <x v="7"/>
    <x v="32"/>
    <s v="Me"/>
    <n v="89.25"/>
    <n v="0"/>
    <n v="0"/>
  </r>
  <r>
    <x v="2"/>
    <d v="2019-10-11T00:00:00"/>
    <s v="Oct"/>
    <x v="7"/>
    <x v="18"/>
    <s v="Me"/>
    <n v="670.65"/>
    <n v="0"/>
    <n v="0"/>
  </r>
  <r>
    <x v="2"/>
    <d v="2019-10-11T00:00:00"/>
    <s v="Oct"/>
    <x v="7"/>
    <x v="18"/>
    <s v="Me"/>
    <n v="752.25"/>
    <n v="0"/>
    <n v="0"/>
  </r>
  <r>
    <x v="2"/>
    <d v="2019-10-11T00:00:00"/>
    <s v="Oct"/>
    <x v="7"/>
    <x v="18"/>
    <s v="Me"/>
    <n v="581.4"/>
    <s v="Standard oxygen mask"/>
    <n v="0"/>
  </r>
  <r>
    <x v="2"/>
    <d v="2019-10-11T00:00:00"/>
    <s v="Oct"/>
    <x v="7"/>
    <x v="18"/>
    <s v="Me"/>
    <n v="1071"/>
    <s v="OT patient disposable set"/>
    <n v="0"/>
  </r>
  <r>
    <x v="2"/>
    <d v="2019-10-11T00:00:00"/>
    <s v="Oct"/>
    <x v="7"/>
    <x v="18"/>
    <s v="Me"/>
    <n v="5033.7"/>
    <s v="Oocyte recovery set 17g needle with tubing"/>
    <n v="0"/>
  </r>
  <r>
    <x v="2"/>
    <d v="2019-10-11T00:00:00"/>
    <s v="Oct"/>
    <x v="7"/>
    <x v="18"/>
    <s v="Me"/>
    <n v="887.4"/>
    <s v="Medical surgeon gown"/>
    <n v="0"/>
  </r>
  <r>
    <x v="2"/>
    <d v="2019-10-11T00:00:00"/>
    <s v="Oct"/>
    <x v="7"/>
    <x v="18"/>
    <s v="Me"/>
    <n v="76500"/>
    <s v="Professional fee- egg pickup"/>
    <n v="0"/>
  </r>
  <r>
    <x v="2"/>
    <d v="2019-10-11T00:00:00"/>
    <s v="Oct"/>
    <x v="7"/>
    <x v="18"/>
    <s v="Me"/>
    <n v="6120"/>
    <s v="Facilities (OT &amp; recovery)"/>
    <n v="0"/>
  </r>
  <r>
    <x v="2"/>
    <d v="2019-10-11T00:00:00"/>
    <s v="Oct"/>
    <x v="7"/>
    <x v="18"/>
    <s v="Me"/>
    <n v="150450"/>
    <s v="TFC Embryo lab"/>
    <n v="0"/>
  </r>
  <r>
    <x v="2"/>
    <d v="2019-10-11T00:00:00"/>
    <s v="Oct"/>
    <x v="7"/>
    <x v="32"/>
    <s v="Me"/>
    <n v="16944.75"/>
    <n v="0"/>
    <n v="0"/>
  </r>
  <r>
    <x v="2"/>
    <d v="2019-10-11T00:00:00"/>
    <s v="Oct"/>
    <x v="7"/>
    <x v="18"/>
    <s v="Me"/>
    <n v="27285"/>
    <s v="Dr Chan Sy (NMS) Anestheologist"/>
    <n v="0"/>
  </r>
  <r>
    <x v="2"/>
    <d v="2019-10-14T00:00:00"/>
    <s v="Oct"/>
    <x v="7"/>
    <x v="19"/>
    <s v="Me"/>
    <n v="1020"/>
    <n v="0"/>
    <n v="0"/>
  </r>
  <r>
    <x v="2"/>
    <d v="2019-10-14T00:00:00"/>
    <s v="Oct"/>
    <x v="7"/>
    <x v="19"/>
    <s v="Me"/>
    <n v="6528"/>
    <n v="0"/>
    <n v="0"/>
  </r>
  <r>
    <x v="2"/>
    <d v="2019-10-14T00:00:00"/>
    <s v="Oct"/>
    <x v="7"/>
    <x v="19"/>
    <s v="Me"/>
    <n v="1999.2"/>
    <n v="0"/>
    <n v="0"/>
  </r>
  <r>
    <x v="2"/>
    <d v="2019-10-14T00:00:00"/>
    <s v="Oct"/>
    <x v="7"/>
    <x v="19"/>
    <s v="Me"/>
    <n v="5518.2"/>
    <s v="ER catheter, 23cm, 1816N"/>
    <n v="0"/>
  </r>
  <r>
    <x v="2"/>
    <d v="2019-10-14T00:00:00"/>
    <s v="Oct"/>
    <x v="7"/>
    <x v="19"/>
    <s v="Me"/>
    <n v="1071"/>
    <s v="OT patient disposable set"/>
    <n v="0"/>
  </r>
  <r>
    <x v="2"/>
    <d v="2019-10-14T00:00:00"/>
    <s v="Oct"/>
    <x v="7"/>
    <x v="19"/>
    <s v="Me"/>
    <n v="1989"/>
    <s v="Progesterone blood test"/>
    <n v="0"/>
  </r>
  <r>
    <x v="2"/>
    <d v="2019-10-14T00:00:00"/>
    <s v="Oct"/>
    <x v="7"/>
    <x v="19"/>
    <s v="Me"/>
    <n v="1989"/>
    <s v="HCG Blood test"/>
    <n v="0"/>
  </r>
  <r>
    <x v="2"/>
    <d v="2019-10-14T00:00:00"/>
    <s v="Oct"/>
    <x v="7"/>
    <x v="19"/>
    <s v="Me"/>
    <n v="40800"/>
    <s v="Embryo transfer professional fee"/>
    <n v="0"/>
  </r>
  <r>
    <x v="2"/>
    <d v="2019-10-14T00:00:00"/>
    <s v="Oct"/>
    <x v="7"/>
    <x v="19"/>
    <s v="Me"/>
    <n v="6120"/>
    <s v="Facilities (OT &amp; recovery)"/>
    <n v="0"/>
  </r>
  <r>
    <x v="2"/>
    <d v="2019-10-14T00:00:00"/>
    <s v="Oct"/>
    <x v="7"/>
    <x v="19"/>
    <s v="Me"/>
    <n v="45900"/>
    <n v="0"/>
    <n v="0"/>
  </r>
  <r>
    <x v="2"/>
    <d v="2019-10-14T00:00:00"/>
    <s v="Oct"/>
    <x v="7"/>
    <x v="19"/>
    <s v="Me"/>
    <n v="60690"/>
    <s v="TFC Embryo lab - embryo transfer lab work"/>
    <n v="0"/>
  </r>
  <r>
    <x v="2"/>
    <d v="2019-10-14T00:00:00"/>
    <s v="Oct"/>
    <x v="7"/>
    <x v="19"/>
    <s v="Me"/>
    <n v="51000"/>
    <s v="TFC Embryo lab - ICSI (4-15 eggs)"/>
    <n v="0"/>
  </r>
  <r>
    <x v="2"/>
    <d v="2019-10-14T00:00:00"/>
    <s v="Oct"/>
    <x v="7"/>
    <x v="32"/>
    <s v="Me"/>
    <n v="15723.300000000001"/>
    <n v="0"/>
    <n v="0"/>
  </r>
  <r>
    <x v="3"/>
    <d v="2019-10-14T00:00:00"/>
    <s v="Oct"/>
    <x v="7"/>
    <x v="15"/>
    <s v="Me"/>
    <n v="10200"/>
    <s v="Intralipid"/>
    <n v="0"/>
  </r>
  <r>
    <x v="3"/>
    <d v="2019-10-14T00:00:00"/>
    <s v="Oct"/>
    <x v="7"/>
    <x v="15"/>
    <s v="Me"/>
    <n v="1020"/>
    <s v="IV drip"/>
    <n v="0"/>
  </r>
  <r>
    <x v="3"/>
    <d v="2019-10-14T00:00:00"/>
    <s v="Oct"/>
    <x v="7"/>
    <x v="32"/>
    <s v="Me"/>
    <n v="785.4"/>
    <n v="0"/>
    <n v="0"/>
  </r>
  <r>
    <x v="4"/>
    <m/>
    <m/>
    <x v="8"/>
    <x v="44"/>
    <m/>
    <m/>
    <m/>
    <m/>
  </r>
  <r>
    <x v="4"/>
    <m/>
    <m/>
    <x v="8"/>
    <x v="44"/>
    <m/>
    <m/>
    <m/>
    <m/>
  </r>
  <r>
    <x v="4"/>
    <m/>
    <m/>
    <x v="8"/>
    <x v="44"/>
    <m/>
    <m/>
    <m/>
    <m/>
  </r>
  <r>
    <x v="4"/>
    <m/>
    <m/>
    <x v="8"/>
    <x v="44"/>
    <m/>
    <m/>
    <m/>
    <m/>
  </r>
  <r>
    <x v="4"/>
    <m/>
    <m/>
    <x v="8"/>
    <x v="44"/>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x v="0"/>
    <d v="2014-05-23T00:00:00"/>
    <x v="0"/>
    <s v="May"/>
    <x v="0"/>
    <s v="Me"/>
    <s v="Card"/>
    <n v="25"/>
    <m/>
    <m/>
    <m/>
    <n v="1200"/>
  </r>
  <r>
    <x v="0"/>
    <d v="2014-05-23T00:00:00"/>
    <x v="0"/>
    <s v="May"/>
    <x v="1"/>
    <s v="Me"/>
    <s v="Card"/>
    <n v="15"/>
    <m/>
    <m/>
    <m/>
    <n v="720"/>
  </r>
  <r>
    <x v="0"/>
    <d v="2014-05-23T00:00:00"/>
    <x v="0"/>
    <s v="May"/>
    <x v="2"/>
    <s v="Me"/>
    <s v="Card"/>
    <n v="150"/>
    <s v="Dr Loh Seong Feei"/>
    <m/>
    <m/>
    <n v="7200"/>
  </r>
  <r>
    <x v="0"/>
    <d v="2014-05-23T00:00:00"/>
    <x v="0"/>
    <s v="May"/>
    <x v="3"/>
    <s v="DH"/>
    <s v="Card"/>
    <n v="370"/>
    <s v="Blood Chromosome (Adult blood)"/>
    <m/>
    <m/>
    <n v="17760"/>
  </r>
  <r>
    <x v="0"/>
    <d v="2014-05-23T00:00:00"/>
    <x v="0"/>
    <s v="May"/>
    <x v="4"/>
    <s v="DH"/>
    <s v="Card"/>
    <n v="167"/>
    <s v="Pre IVF blood test"/>
    <m/>
    <m/>
    <n v="8016"/>
  </r>
  <r>
    <x v="0"/>
    <d v="2014-05-23T00:00:00"/>
    <x v="0"/>
    <s v="May"/>
    <x v="5"/>
    <s v="Me"/>
    <s v="Card"/>
    <n v="50.9"/>
    <s v="GST"/>
    <m/>
    <m/>
    <n v="2443.1999999999998"/>
  </r>
  <r>
    <x v="0"/>
    <d v="2014-05-30T00:00:00"/>
    <x v="0"/>
    <s v="May"/>
    <x v="6"/>
    <s v="Me"/>
    <s v="Card"/>
    <n v="2.75"/>
    <m/>
    <s v="Folic Acid 5mg"/>
    <n v="50"/>
    <n v="132"/>
  </r>
  <r>
    <x v="0"/>
    <d v="2014-06-27T00:00:00"/>
    <x v="0"/>
    <s v="Jun"/>
    <x v="1"/>
    <s v="Me"/>
    <s v="Card"/>
    <n v="15"/>
    <m/>
    <m/>
    <m/>
    <n v="720"/>
  </r>
  <r>
    <x v="0"/>
    <d v="2014-06-27T00:00:00"/>
    <x v="0"/>
    <s v="Jun"/>
    <x v="2"/>
    <s v="Me"/>
    <s v="Card"/>
    <n v="100"/>
    <s v="Dr Loh Seong Feei"/>
    <m/>
    <m/>
    <n v="4800"/>
  </r>
  <r>
    <x v="0"/>
    <d v="2014-06-27T00:00:00"/>
    <x v="0"/>
    <s v="Jun"/>
    <x v="7"/>
    <s v="Me"/>
    <s v="Card"/>
    <n v="100"/>
    <m/>
    <m/>
    <m/>
    <n v="4800"/>
  </r>
  <r>
    <x v="0"/>
    <d v="2014-06-27T00:00:00"/>
    <x v="0"/>
    <s v="Jun"/>
    <x v="8"/>
    <s v="Me"/>
    <s v="Card"/>
    <n v="920"/>
    <m/>
    <s v="Gonal F 450 IU "/>
    <n v="2"/>
    <n v="44160"/>
  </r>
  <r>
    <x v="0"/>
    <d v="2014-06-27T00:00:00"/>
    <x v="0"/>
    <s v="Jun"/>
    <x v="5"/>
    <s v="Me"/>
    <s v="Card"/>
    <n v="79.45"/>
    <s v="GST"/>
    <m/>
    <m/>
    <n v="3813.6000000000004"/>
  </r>
  <r>
    <x v="0"/>
    <d v="2014-07-01T00:00:00"/>
    <x v="0"/>
    <s v="Jul"/>
    <x v="1"/>
    <s v="Me"/>
    <s v="Card"/>
    <n v="15"/>
    <m/>
    <m/>
    <m/>
    <n v="720"/>
  </r>
  <r>
    <x v="0"/>
    <d v="2014-07-01T00:00:00"/>
    <x v="0"/>
    <s v="Jul"/>
    <x v="2"/>
    <s v="Me"/>
    <s v="Card"/>
    <n v="100"/>
    <s v="Dr Loh Seong Feei"/>
    <m/>
    <m/>
    <n v="4800"/>
  </r>
  <r>
    <x v="0"/>
    <d v="2014-07-01T00:00:00"/>
    <x v="0"/>
    <s v="Jul"/>
    <x v="7"/>
    <s v="Me"/>
    <s v="Card"/>
    <n v="100"/>
    <m/>
    <m/>
    <m/>
    <n v="4800"/>
  </r>
  <r>
    <x v="0"/>
    <d v="2014-07-01T00:00:00"/>
    <x v="0"/>
    <s v="Jul"/>
    <x v="8"/>
    <s v="Me"/>
    <s v="Card"/>
    <n v="460"/>
    <m/>
    <s v="Gonal F 450 IU "/>
    <n v="1"/>
    <n v="22080"/>
  </r>
  <r>
    <x v="0"/>
    <d v="2014-07-01T00:00:00"/>
    <x v="0"/>
    <s v="Jul"/>
    <x v="8"/>
    <s v="Me"/>
    <s v="Card"/>
    <n v="429.6"/>
    <m/>
    <s v="Cetrotide 0.25 mg"/>
    <n v="4"/>
    <n v="20620.800000000003"/>
  </r>
  <r>
    <x v="0"/>
    <d v="2014-07-01T00:00:00"/>
    <x v="0"/>
    <s v="Jul"/>
    <x v="8"/>
    <s v="Me"/>
    <s v="Card"/>
    <n v="1044"/>
    <m/>
    <s v="Pergoveris 150/ 75IU"/>
    <n v="4"/>
    <n v="50112"/>
  </r>
  <r>
    <x v="0"/>
    <d v="2014-07-01T00:00:00"/>
    <x v="0"/>
    <s v="Jul"/>
    <x v="9"/>
    <s v="DH"/>
    <s v="Card"/>
    <n v="310"/>
    <s v="Charged per 6 mnths. Paid for one year"/>
    <m/>
    <n v="2"/>
    <n v="14880"/>
  </r>
  <r>
    <x v="0"/>
    <d v="2014-07-01T00:00:00"/>
    <x v="0"/>
    <s v="Jul"/>
    <x v="10"/>
    <s v="DH"/>
    <s v="Card"/>
    <n v="175"/>
    <m/>
    <m/>
    <m/>
    <n v="8400"/>
  </r>
  <r>
    <x v="0"/>
    <d v="2014-07-01T00:00:00"/>
    <x v="0"/>
    <s v="Jul"/>
    <x v="3"/>
    <s v="Me"/>
    <s v="Card"/>
    <n v="167"/>
    <s v="Pre IVF blood test"/>
    <m/>
    <m/>
    <n v="8016"/>
  </r>
  <r>
    <x v="0"/>
    <d v="2014-07-01T00:00:00"/>
    <x v="0"/>
    <s v="Jul"/>
    <x v="5"/>
    <s v="Me"/>
    <s v="Card"/>
    <n v="196.05"/>
    <s v="GST"/>
    <m/>
    <m/>
    <n v="9410.4000000000015"/>
  </r>
  <r>
    <x v="0"/>
    <d v="2014-07-05T00:00:00"/>
    <x v="0"/>
    <s v="Jul"/>
    <x v="1"/>
    <s v="Me"/>
    <s v="Card"/>
    <n v="15"/>
    <m/>
    <m/>
    <m/>
    <n v="720"/>
  </r>
  <r>
    <x v="0"/>
    <d v="2014-07-05T00:00:00"/>
    <x v="0"/>
    <s v="Jul"/>
    <x v="2"/>
    <s v="Me"/>
    <s v="Card"/>
    <n v="100"/>
    <s v="Dr Loh Seong Feei"/>
    <m/>
    <m/>
    <n v="4800"/>
  </r>
  <r>
    <x v="0"/>
    <d v="2014-07-05T00:00:00"/>
    <x v="0"/>
    <s v="Jul"/>
    <x v="7"/>
    <s v="Me"/>
    <s v="Card"/>
    <n v="100"/>
    <m/>
    <m/>
    <m/>
    <n v="4800"/>
  </r>
  <r>
    <x v="0"/>
    <d v="2014-07-05T00:00:00"/>
    <x v="0"/>
    <s v="Jul"/>
    <x v="8"/>
    <s v="Me"/>
    <s v="Card"/>
    <n v="341"/>
    <m/>
    <s v="Gonal F 300 IU "/>
    <n v="1"/>
    <n v="16368"/>
  </r>
  <r>
    <x v="0"/>
    <d v="2014-07-05T00:00:00"/>
    <x v="0"/>
    <s v="Jul"/>
    <x v="8"/>
    <s v="Me"/>
    <s v="Card"/>
    <n v="214.8"/>
    <m/>
    <s v="Cetrotide 0.25 mg"/>
    <n v="2"/>
    <n v="10310.400000000001"/>
  </r>
  <r>
    <x v="0"/>
    <d v="2014-07-05T00:00:00"/>
    <x v="0"/>
    <s v="Jul"/>
    <x v="8"/>
    <s v="Me"/>
    <s v="Card"/>
    <n v="522"/>
    <m/>
    <s v="Pergoveris 150/ 75IU"/>
    <n v="2"/>
    <n v="25056"/>
  </r>
  <r>
    <x v="0"/>
    <d v="2014-07-05T00:00:00"/>
    <x v="0"/>
    <s v="Jul"/>
    <x v="5"/>
    <s v="Me"/>
    <s v="Card"/>
    <n v="90.5"/>
    <s v="GST"/>
    <m/>
    <m/>
    <n v="4344"/>
  </r>
  <r>
    <x v="0"/>
    <d v="2014-07-05T00:00:00"/>
    <x v="0"/>
    <s v="Jul"/>
    <x v="6"/>
    <s v="DH"/>
    <s v="Card"/>
    <n v="125.19"/>
    <s v="From The O&amp;G Specialist Clinic"/>
    <s v="Carnipure Oral solution 500 ml"/>
    <n v="1"/>
    <n v="6009.12"/>
  </r>
  <r>
    <x v="0"/>
    <d v="2014-07-05T00:00:00"/>
    <x v="0"/>
    <s v="Jul"/>
    <x v="6"/>
    <s v="DH"/>
    <s v="Card"/>
    <m/>
    <s v="From The O&amp;G Specialist Clinic"/>
    <s v="Quantum Plus"/>
    <n v="30"/>
    <n v="0"/>
  </r>
  <r>
    <x v="0"/>
    <d v="2014-07-05T00:00:00"/>
    <x v="0"/>
    <s v="Jul"/>
    <x v="6"/>
    <s v="DH"/>
    <s v="Card"/>
    <m/>
    <s v="From The O&amp;G Specialist Clinic"/>
    <s v="Compleal"/>
    <n v="30"/>
    <n v="0"/>
  </r>
  <r>
    <x v="0"/>
    <d v="2014-07-06T00:00:00"/>
    <x v="0"/>
    <s v="Jul"/>
    <x v="6"/>
    <s v="Me"/>
    <s v="Card"/>
    <n v="2.75"/>
    <m/>
    <s v="Folic Acid 5mg"/>
    <n v="50"/>
    <n v="132"/>
  </r>
  <r>
    <x v="0"/>
    <d v="2014-07-07T00:00:00"/>
    <x v="0"/>
    <s v="Jul"/>
    <x v="1"/>
    <s v="Me"/>
    <s v="Card"/>
    <n v="15"/>
    <m/>
    <m/>
    <m/>
    <n v="720"/>
  </r>
  <r>
    <x v="0"/>
    <d v="2014-07-07T00:00:00"/>
    <x v="0"/>
    <s v="Jul"/>
    <x v="2"/>
    <s v="Me"/>
    <s v="Card"/>
    <n v="100"/>
    <s v="Dr Loh Seong Feei"/>
    <m/>
    <m/>
    <n v="4800"/>
  </r>
  <r>
    <x v="0"/>
    <d v="2014-07-07T00:00:00"/>
    <x v="0"/>
    <s v="Jul"/>
    <x v="7"/>
    <s v="Me"/>
    <s v="Card"/>
    <n v="100"/>
    <m/>
    <m/>
    <m/>
    <n v="4800"/>
  </r>
  <r>
    <x v="0"/>
    <d v="2014-07-07T00:00:00"/>
    <x v="0"/>
    <s v="Jul"/>
    <x v="8"/>
    <s v="Me"/>
    <s v="Card"/>
    <n v="86"/>
    <m/>
    <s v="Pregnyl 5000 IU"/>
    <n v="2"/>
    <n v="4128"/>
  </r>
  <r>
    <x v="0"/>
    <d v="2014-07-07T00:00:00"/>
    <x v="0"/>
    <s v="Jul"/>
    <x v="8"/>
    <s v="Me"/>
    <s v="Card"/>
    <n v="36.08"/>
    <m/>
    <s v="Zithromax tablet 250mg"/>
    <n v="4"/>
    <n v="1731.84"/>
  </r>
  <r>
    <x v="0"/>
    <d v="2014-07-07T00:00:00"/>
    <x v="0"/>
    <s v="Jul"/>
    <x v="5"/>
    <s v="Me"/>
    <s v="Card"/>
    <n v="23.62"/>
    <s v="GST"/>
    <m/>
    <m/>
    <n v="1133.76"/>
  </r>
  <r>
    <x v="1"/>
    <d v="2014-07-07T00:00:00"/>
    <x v="0"/>
    <s v="Jul"/>
    <x v="8"/>
    <s v="Me"/>
    <s v="Card"/>
    <n v="25"/>
    <s v="Fertility Injection procedure - Pregnyl 10000 IU"/>
    <m/>
    <m/>
    <n v="1200"/>
  </r>
  <r>
    <x v="1"/>
    <d v="2014-07-07T00:00:00"/>
    <x v="0"/>
    <s v="Jul"/>
    <x v="5"/>
    <s v="Me"/>
    <s v="Card"/>
    <n v="1.75"/>
    <m/>
    <m/>
    <m/>
    <n v="84"/>
  </r>
  <r>
    <x v="0"/>
    <d v="2014-07-09T00:00:00"/>
    <x v="0"/>
    <s v="Jul"/>
    <x v="11"/>
    <s v="Me"/>
    <s v="Card"/>
    <n v="13.13"/>
    <m/>
    <s v="Fentanyl injection 2ml"/>
    <m/>
    <n v="630.24"/>
  </r>
  <r>
    <x v="0"/>
    <d v="2014-07-09T00:00:00"/>
    <x v="0"/>
    <s v="Jul"/>
    <x v="11"/>
    <s v="Me"/>
    <s v="Card"/>
    <n v="14.75"/>
    <m/>
    <s v="Propofol-Lipuro 1% GA injection"/>
    <m/>
    <n v="708"/>
  </r>
  <r>
    <x v="0"/>
    <d v="2014-07-09T00:00:00"/>
    <x v="0"/>
    <s v="Jul"/>
    <x v="11"/>
    <s v="Me"/>
    <s v="Card"/>
    <n v="13.62"/>
    <s v="Medical surgeon gown"/>
    <m/>
    <m/>
    <n v="653.76"/>
  </r>
  <r>
    <x v="0"/>
    <d v="2014-07-09T00:00:00"/>
    <x v="0"/>
    <s v="Jul"/>
    <x v="11"/>
    <s v="Me"/>
    <s v="Card"/>
    <n v="77.58"/>
    <s v="Oocyte recovery set 17g needle with tubing"/>
    <m/>
    <m/>
    <n v="3723.84"/>
  </r>
  <r>
    <x v="0"/>
    <d v="2014-07-09T00:00:00"/>
    <x v="0"/>
    <s v="Jul"/>
    <x v="11"/>
    <s v="Me"/>
    <s v="Card"/>
    <n v="120"/>
    <s v="Facilities (OT &amp; recovery)"/>
    <m/>
    <m/>
    <n v="5760"/>
  </r>
  <r>
    <x v="0"/>
    <d v="2014-07-09T00:00:00"/>
    <x v="0"/>
    <s v="Jul"/>
    <x v="11"/>
    <s v="Me"/>
    <s v="Card"/>
    <n v="6800"/>
    <s v="IVF package"/>
    <m/>
    <m/>
    <n v="326400"/>
  </r>
  <r>
    <x v="0"/>
    <d v="2014-07-09T00:00:00"/>
    <x v="0"/>
    <s v="Jul"/>
    <x v="5"/>
    <s v="Me"/>
    <s v="Card"/>
    <n v="492.72"/>
    <s v="GST"/>
    <m/>
    <m/>
    <n v="23650.560000000001"/>
  </r>
  <r>
    <x v="0"/>
    <d v="2014-07-09T00:00:00"/>
    <x v="0"/>
    <s v="Jul"/>
    <x v="11"/>
    <s v="Me"/>
    <s v="Card"/>
    <n v="350"/>
    <s v="Dr Chan Sy (NMS) Anestheologist"/>
    <m/>
    <m/>
    <n v="16800"/>
  </r>
  <r>
    <x v="0"/>
    <d v="2014-07-11T00:00:00"/>
    <x v="0"/>
    <s v="Jul"/>
    <x v="12"/>
    <s v="Me"/>
    <s v="Card"/>
    <n v="39.200000000000003"/>
    <m/>
    <s v="Progynova 2mg tab"/>
    <n v="56"/>
    <n v="1881.6000000000001"/>
  </r>
  <r>
    <x v="0"/>
    <d v="2014-07-11T00:00:00"/>
    <x v="0"/>
    <s v="Jul"/>
    <x v="12"/>
    <s v="Me"/>
    <s v="Card"/>
    <n v="168"/>
    <m/>
    <s v="Utrogestan capsule 100mg"/>
    <n v="120"/>
    <n v="8064"/>
  </r>
  <r>
    <x v="0"/>
    <d v="2014-07-11T00:00:00"/>
    <x v="0"/>
    <s v="Jul"/>
    <x v="12"/>
    <s v="Me"/>
    <s v="Card"/>
    <n v="85.18"/>
    <s v="ER catheter, 23cm, 1816N"/>
    <m/>
    <m/>
    <n v="4088.6400000000003"/>
  </r>
  <r>
    <x v="0"/>
    <d v="2014-07-11T00:00:00"/>
    <x v="0"/>
    <s v="Jul"/>
    <x v="12"/>
    <s v="Me"/>
    <s v="Card"/>
    <n v="35"/>
    <s v="HCG Blood test"/>
    <m/>
    <m/>
    <n v="1680"/>
  </r>
  <r>
    <x v="0"/>
    <d v="2014-07-11T00:00:00"/>
    <x v="0"/>
    <s v="Jul"/>
    <x v="12"/>
    <s v="Me"/>
    <s v="Card"/>
    <n v="35"/>
    <s v="Progesterone blood test"/>
    <m/>
    <m/>
    <n v="1680"/>
  </r>
  <r>
    <x v="0"/>
    <d v="2014-07-11T00:00:00"/>
    <x v="0"/>
    <s v="Jul"/>
    <x v="12"/>
    <s v="Me"/>
    <s v="Card"/>
    <n v="120"/>
    <s v="Facilities (OT &amp; recovery)"/>
    <m/>
    <m/>
    <n v="5760"/>
  </r>
  <r>
    <x v="0"/>
    <d v="2014-07-11T00:00:00"/>
    <x v="0"/>
    <s v="Jul"/>
    <x v="13"/>
    <s v="Me"/>
    <s v="Card"/>
    <n v="900"/>
    <s v="Embryo freezing (1 yr- 5 straws)"/>
    <m/>
    <m/>
    <n v="43200"/>
  </r>
  <r>
    <x v="0"/>
    <d v="2014-07-11T00:00:00"/>
    <x v="0"/>
    <s v="Jul"/>
    <x v="5"/>
    <s v="Me"/>
    <s v="Card"/>
    <n v="96.77"/>
    <s v="GST"/>
    <m/>
    <m/>
    <n v="4644.96"/>
  </r>
  <r>
    <x v="0"/>
    <d v="2014-09-05T00:00:00"/>
    <x v="0"/>
    <s v="Sep"/>
    <x v="6"/>
    <s v="Me"/>
    <s v="Card"/>
    <n v="2.75"/>
    <m/>
    <s v="Folic Acid 5mg"/>
    <n v="50"/>
    <n v="132"/>
  </r>
  <r>
    <x v="0"/>
    <d v="2014-09-10T00:00:00"/>
    <x v="0"/>
    <s v="Sep"/>
    <x v="1"/>
    <s v="Me"/>
    <s v="Card"/>
    <n v="15"/>
    <m/>
    <m/>
    <m/>
    <n v="720"/>
  </r>
  <r>
    <x v="0"/>
    <d v="2014-09-10T00:00:00"/>
    <x v="0"/>
    <s v="Sep"/>
    <x v="2"/>
    <s v="Me"/>
    <s v="Card"/>
    <n v="100"/>
    <s v="Dr Loh Seong Feei"/>
    <m/>
    <m/>
    <n v="4800"/>
  </r>
  <r>
    <x v="0"/>
    <d v="2014-09-10T00:00:00"/>
    <x v="0"/>
    <s v="Sep"/>
    <x v="7"/>
    <s v="Me"/>
    <s v="Card"/>
    <n v="100"/>
    <m/>
    <m/>
    <m/>
    <n v="4800"/>
  </r>
  <r>
    <x v="0"/>
    <d v="2014-09-10T00:00:00"/>
    <x v="0"/>
    <s v="Sep"/>
    <x v="5"/>
    <s v="Me"/>
    <s v="Card"/>
    <n v="15.05"/>
    <s v="GST"/>
    <m/>
    <m/>
    <n v="722.40000000000009"/>
  </r>
  <r>
    <x v="0"/>
    <d v="2014-09-10T00:00:00"/>
    <x v="0"/>
    <s v="Sep"/>
    <x v="6"/>
    <s v="Me"/>
    <s v="Card"/>
    <n v="51"/>
    <s v="Clearblue Ovulation kit"/>
    <m/>
    <n v="5"/>
    <n v="2448"/>
  </r>
  <r>
    <x v="0"/>
    <d v="2014-09-15T00:00:00"/>
    <x v="0"/>
    <s v="Sep"/>
    <x v="6"/>
    <s v="Me"/>
    <s v="Card"/>
    <n v="68.599999999999994"/>
    <s v="Clearblue Digital Ovulation kit"/>
    <m/>
    <n v="7"/>
    <n v="3292.7999999999997"/>
  </r>
  <r>
    <x v="0"/>
    <d v="2014-09-15T00:00:00"/>
    <x v="0"/>
    <s v="Sep"/>
    <x v="1"/>
    <s v="Me"/>
    <s v="Card"/>
    <n v="15"/>
    <m/>
    <m/>
    <m/>
    <n v="720"/>
  </r>
  <r>
    <x v="0"/>
    <d v="2014-09-15T00:00:00"/>
    <x v="0"/>
    <s v="Sep"/>
    <x v="2"/>
    <s v="Me"/>
    <s v="Card"/>
    <n v="100"/>
    <s v="Dr Loh Seong Feei"/>
    <m/>
    <m/>
    <n v="4800"/>
  </r>
  <r>
    <x v="0"/>
    <d v="2014-09-15T00:00:00"/>
    <x v="0"/>
    <s v="Sep"/>
    <x v="7"/>
    <s v="Me"/>
    <s v="Card"/>
    <n v="100"/>
    <m/>
    <m/>
    <m/>
    <n v="4800"/>
  </r>
  <r>
    <x v="0"/>
    <d v="2014-09-15T00:00:00"/>
    <x v="0"/>
    <s v="Sep"/>
    <x v="5"/>
    <s v="Me"/>
    <s v="Card"/>
    <n v="19.850000000000001"/>
    <s v="GST"/>
    <m/>
    <m/>
    <n v="952.80000000000007"/>
  </r>
  <r>
    <x v="0"/>
    <d v="2014-09-17T00:00:00"/>
    <x v="0"/>
    <s v="Sep"/>
    <x v="9"/>
    <s v="DH"/>
    <s v="Card"/>
    <n v="-310"/>
    <s v="Reversal of sperm storage charges + GST"/>
    <m/>
    <m/>
    <n v="-14880"/>
  </r>
  <r>
    <x v="0"/>
    <d v="2014-09-17T00:00:00"/>
    <x v="0"/>
    <s v="Sep"/>
    <x v="5"/>
    <s v="DH"/>
    <s v="Card"/>
    <n v="-21.7"/>
    <s v="Reversal of sperm storage charges + GST"/>
    <m/>
    <m/>
    <n v="-1041.5999999999999"/>
  </r>
  <r>
    <x v="0"/>
    <d v="2014-09-19T00:00:00"/>
    <x v="0"/>
    <s v="Sep"/>
    <x v="14"/>
    <s v="Me"/>
    <s v="Card"/>
    <n v="84"/>
    <m/>
    <s v="Utrogestan capsule 100mg"/>
    <n v="60"/>
    <n v="4032"/>
  </r>
  <r>
    <x v="0"/>
    <d v="2014-09-19T00:00:00"/>
    <x v="0"/>
    <s v="Sep"/>
    <x v="14"/>
    <s v="Me"/>
    <s v="Card"/>
    <n v="85.18"/>
    <s v="ER catheter, 23cm, 1816N"/>
    <m/>
    <m/>
    <n v="4088.6400000000003"/>
  </r>
  <r>
    <x v="0"/>
    <d v="2014-09-19T00:00:00"/>
    <x v="0"/>
    <s v="Sep"/>
    <x v="14"/>
    <s v="Me"/>
    <s v="Card"/>
    <n v="20"/>
    <s v="OT patient disposable set"/>
    <m/>
    <m/>
    <n v="960"/>
  </r>
  <r>
    <x v="0"/>
    <d v="2014-09-19T00:00:00"/>
    <x v="0"/>
    <s v="Sep"/>
    <x v="14"/>
    <s v="Me"/>
    <s v="Card"/>
    <n v="35"/>
    <s v="HCG Blood test"/>
    <m/>
    <m/>
    <n v="1680"/>
  </r>
  <r>
    <x v="0"/>
    <d v="2014-09-19T00:00:00"/>
    <x v="0"/>
    <s v="Sep"/>
    <x v="14"/>
    <s v="Me"/>
    <s v="Card"/>
    <n v="120"/>
    <s v="Facilities (OT &amp; recovery)"/>
    <m/>
    <m/>
    <n v="5760"/>
  </r>
  <r>
    <x v="0"/>
    <d v="2014-09-19T00:00:00"/>
    <x v="0"/>
    <s v="Sep"/>
    <x v="14"/>
    <s v="Me"/>
    <s v="Card"/>
    <n v="1500"/>
    <s v="Embryo thawing &amp; ET"/>
    <m/>
    <m/>
    <n v="72000"/>
  </r>
  <r>
    <x v="0"/>
    <d v="2014-09-19T00:00:00"/>
    <x v="0"/>
    <s v="Sep"/>
    <x v="14"/>
    <s v="Me"/>
    <s v="Card"/>
    <n v="700"/>
    <s v="ET - Doctor's fee"/>
    <m/>
    <m/>
    <n v="33600"/>
  </r>
  <r>
    <x v="0"/>
    <d v="2014-09-19T00:00:00"/>
    <x v="0"/>
    <s v="Sep"/>
    <x v="5"/>
    <s v="Me"/>
    <s v="Card"/>
    <n v="178.07"/>
    <s v="GST"/>
    <m/>
    <m/>
    <n v="8547.36"/>
  </r>
  <r>
    <x v="0"/>
    <d v="2014-10-10T00:00:00"/>
    <x v="0"/>
    <s v="Oct"/>
    <x v="6"/>
    <s v="Me"/>
    <s v="Card"/>
    <n v="42"/>
    <m/>
    <s v="Utrogestan capsule 100mg"/>
    <n v="30"/>
    <n v="2016"/>
  </r>
  <r>
    <x v="0"/>
    <d v="2014-10-10T00:00:00"/>
    <x v="0"/>
    <s v="Oct"/>
    <x v="5"/>
    <s v="Me"/>
    <s v="Card"/>
    <n v="2.95"/>
    <m/>
    <m/>
    <m/>
    <n v="141.60000000000002"/>
  </r>
  <r>
    <x v="0"/>
    <d v="2014-10-14T00:00:00"/>
    <x v="0"/>
    <s v="Oct"/>
    <x v="6"/>
    <s v="Me"/>
    <s v="Card"/>
    <n v="20"/>
    <s v="Injection for bleeding"/>
    <s v="Proluton depot 250mg IM"/>
    <m/>
    <n v="960"/>
  </r>
  <r>
    <x v="0"/>
    <d v="2014-10-14T00:00:00"/>
    <x v="0"/>
    <s v="Oct"/>
    <x v="5"/>
    <s v="Me"/>
    <s v="Card"/>
    <n v="1.4"/>
    <m/>
    <m/>
    <m/>
    <n v="67.199999999999989"/>
  </r>
  <r>
    <x v="0"/>
    <d v="2014-10-18T00:00:00"/>
    <x v="0"/>
    <s v="Oct"/>
    <x v="6"/>
    <s v="Me"/>
    <s v="Card"/>
    <n v="84"/>
    <m/>
    <s v="Utrogestan capsule 100mg"/>
    <n v="60"/>
    <n v="4032"/>
  </r>
  <r>
    <x v="0"/>
    <d v="2014-10-18T00:00:00"/>
    <x v="0"/>
    <s v="Oct"/>
    <x v="6"/>
    <s v="Me"/>
    <s v="Card"/>
    <n v="60"/>
    <m/>
    <s v="Duphaston tablet 10mg"/>
    <n v="30"/>
    <n v="2880"/>
  </r>
  <r>
    <x v="0"/>
    <d v="2014-10-18T00:00:00"/>
    <x v="0"/>
    <s v="Oct"/>
    <x v="6"/>
    <s v="Me"/>
    <s v="Card"/>
    <n v="20"/>
    <s v="Injection for bleeding"/>
    <s v="Proluton depot 250mg IM"/>
    <m/>
    <n v="960"/>
  </r>
  <r>
    <x v="0"/>
    <d v="2014-10-18T00:00:00"/>
    <x v="0"/>
    <s v="Oct"/>
    <x v="1"/>
    <s v="Me"/>
    <s v="Card"/>
    <n v="15"/>
    <m/>
    <m/>
    <m/>
    <n v="720"/>
  </r>
  <r>
    <x v="0"/>
    <d v="2014-10-18T00:00:00"/>
    <x v="0"/>
    <s v="Oct"/>
    <x v="2"/>
    <s v="Me"/>
    <s v="Card"/>
    <n v="100"/>
    <s v="Dr Loh Seong Feei"/>
    <m/>
    <m/>
    <n v="4800"/>
  </r>
  <r>
    <x v="0"/>
    <d v="2014-10-18T00:00:00"/>
    <x v="0"/>
    <s v="Oct"/>
    <x v="7"/>
    <s v="Me"/>
    <s v="Card"/>
    <n v="100"/>
    <m/>
    <m/>
    <m/>
    <n v="4800"/>
  </r>
  <r>
    <x v="0"/>
    <d v="2014-10-18T00:00:00"/>
    <x v="0"/>
    <s v="Oct"/>
    <x v="5"/>
    <s v="Me"/>
    <s v="Card"/>
    <n v="26.55"/>
    <s v="GST"/>
    <m/>
    <m/>
    <n v="1274.4000000000001"/>
  </r>
  <r>
    <x v="0"/>
    <d v="2014-11-01T00:00:00"/>
    <x v="0"/>
    <s v="Nov"/>
    <x v="6"/>
    <s v="Me"/>
    <s v="Card"/>
    <n v="126"/>
    <m/>
    <s v="Utrogestan capsule 100mg"/>
    <n v="90"/>
    <n v="6048"/>
  </r>
  <r>
    <x v="0"/>
    <d v="2014-11-01T00:00:00"/>
    <x v="0"/>
    <s v="Nov"/>
    <x v="6"/>
    <s v="Me"/>
    <s v="Card"/>
    <n v="60"/>
    <m/>
    <s v="Duphaston tablet 10mg"/>
    <n v="30"/>
    <n v="2880"/>
  </r>
  <r>
    <x v="0"/>
    <d v="2014-11-01T00:00:00"/>
    <x v="0"/>
    <s v="Nov"/>
    <x v="1"/>
    <s v="Me"/>
    <s v="Card"/>
    <n v="15"/>
    <m/>
    <m/>
    <m/>
    <n v="720"/>
  </r>
  <r>
    <x v="0"/>
    <d v="2014-11-01T00:00:00"/>
    <x v="0"/>
    <s v="Nov"/>
    <x v="2"/>
    <s v="Me"/>
    <s v="Card"/>
    <n v="100"/>
    <m/>
    <m/>
    <m/>
    <n v="4800"/>
  </r>
  <r>
    <x v="0"/>
    <d v="2014-11-01T00:00:00"/>
    <x v="0"/>
    <s v="Nov"/>
    <x v="7"/>
    <s v="Me"/>
    <s v="Card"/>
    <n v="100"/>
    <m/>
    <m/>
    <m/>
    <n v="4800"/>
  </r>
  <r>
    <x v="0"/>
    <d v="2014-11-01T00:00:00"/>
    <x v="0"/>
    <s v="Nov"/>
    <x v="5"/>
    <s v="Me"/>
    <s v="Card"/>
    <n v="28.05"/>
    <m/>
    <m/>
    <m/>
    <n v="1346.4"/>
  </r>
  <r>
    <x v="1"/>
    <d v="2014-11-21T00:00:00"/>
    <x v="0"/>
    <s v="Nov"/>
    <x v="2"/>
    <s v="Me"/>
    <s v="Card"/>
    <n v="90"/>
    <m/>
    <m/>
    <m/>
    <n v="4320"/>
  </r>
  <r>
    <x v="1"/>
    <d v="2014-11-21T00:00:00"/>
    <x v="0"/>
    <s v="Nov"/>
    <x v="15"/>
    <s v="Me"/>
    <s v="Card"/>
    <n v="10"/>
    <s v="Height, weight &amp; BP"/>
    <m/>
    <m/>
    <n v="480"/>
  </r>
  <r>
    <x v="1"/>
    <d v="2014-11-21T00:00:00"/>
    <x v="0"/>
    <s v="Nov"/>
    <x v="7"/>
    <s v="Me"/>
    <s v="Card"/>
    <n v="50"/>
    <m/>
    <m/>
    <m/>
    <n v="2400"/>
  </r>
  <r>
    <x v="1"/>
    <d v="2014-11-21T00:00:00"/>
    <x v="0"/>
    <s v="Nov"/>
    <x v="16"/>
    <s v="Me"/>
    <s v="Card"/>
    <n v="1300"/>
    <s v="Blood test for Down Syndrome"/>
    <m/>
    <m/>
    <n v="62400"/>
  </r>
  <r>
    <x v="1"/>
    <d v="2014-11-21T00:00:00"/>
    <x v="0"/>
    <s v="Nov"/>
    <x v="6"/>
    <s v="Me"/>
    <s v="Card"/>
    <n v="48"/>
    <s v="Vitamins, iron &amp; folic acid tablets"/>
    <s v="Ganilia"/>
    <n v="60"/>
    <n v="2304"/>
  </r>
  <r>
    <x v="1"/>
    <d v="2014-11-21T00:00:00"/>
    <x v="0"/>
    <s v="Nov"/>
    <x v="5"/>
    <s v="Me"/>
    <s v="Card"/>
    <n v="104.86"/>
    <m/>
    <m/>
    <m/>
    <n v="5033.28"/>
  </r>
  <r>
    <x v="1"/>
    <d v="2014-12-19T00:00:00"/>
    <x v="0"/>
    <s v="Dec"/>
    <x v="2"/>
    <s v="Me"/>
    <s v="Card"/>
    <n v="90"/>
    <m/>
    <m/>
    <m/>
    <n v="4320"/>
  </r>
  <r>
    <x v="1"/>
    <d v="2014-12-19T00:00:00"/>
    <x v="0"/>
    <s v="Dec"/>
    <x v="15"/>
    <s v="Me"/>
    <s v="Card"/>
    <n v="10"/>
    <s v="Height, weight &amp; BP"/>
    <m/>
    <m/>
    <n v="480"/>
  </r>
  <r>
    <x v="1"/>
    <d v="2014-12-19T00:00:00"/>
    <x v="0"/>
    <s v="Dec"/>
    <x v="7"/>
    <s v="Me"/>
    <s v="Card"/>
    <n v="50"/>
    <m/>
    <m/>
    <m/>
    <n v="2400"/>
  </r>
  <r>
    <x v="1"/>
    <d v="2014-12-19T00:00:00"/>
    <x v="0"/>
    <s v="Dec"/>
    <x v="6"/>
    <s v="Me"/>
    <s v="Card"/>
    <n v="48"/>
    <s v="Vitamins, iron &amp; folic acid tablets"/>
    <s v="Ganilia"/>
    <n v="60"/>
    <n v="2304"/>
  </r>
  <r>
    <x v="1"/>
    <d v="2014-12-19T00:00:00"/>
    <x v="0"/>
    <s v="Dec"/>
    <x v="5"/>
    <s v="Me"/>
    <s v="Card"/>
    <n v="13.86"/>
    <m/>
    <m/>
    <m/>
    <n v="665.28"/>
  </r>
  <r>
    <x v="1"/>
    <d v="2015-01-19T00:00:00"/>
    <x v="1"/>
    <s v="Jan"/>
    <x v="7"/>
    <s v="Me"/>
    <s v="Card"/>
    <n v="153"/>
    <s v="Fetal assessment scan"/>
    <m/>
    <m/>
    <n v="7344"/>
  </r>
  <r>
    <x v="1"/>
    <d v="2015-01-19T00:00:00"/>
    <x v="1"/>
    <s v="Jan"/>
    <x v="5"/>
    <s v="Me"/>
    <s v="Card"/>
    <n v="10.7"/>
    <m/>
    <m/>
    <m/>
    <n v="513.59999999999991"/>
  </r>
  <r>
    <x v="1"/>
    <d v="2015-01-19T00:00:00"/>
    <x v="1"/>
    <s v="Jan"/>
    <x v="2"/>
    <s v="Me"/>
    <s v="Card"/>
    <n v="90"/>
    <m/>
    <m/>
    <m/>
    <n v="4320"/>
  </r>
  <r>
    <x v="1"/>
    <d v="2015-01-19T00:00:00"/>
    <x v="1"/>
    <s v="Jan"/>
    <x v="15"/>
    <s v="Me"/>
    <s v="Card"/>
    <n v="10"/>
    <s v="Height, weight &amp; BP"/>
    <m/>
    <m/>
    <n v="480"/>
  </r>
  <r>
    <x v="1"/>
    <d v="2015-01-19T00:00:00"/>
    <x v="1"/>
    <s v="Jan"/>
    <x v="6"/>
    <s v="Me"/>
    <s v="Card"/>
    <n v="48"/>
    <s v="Vitamins, iron &amp; folic acid tablets"/>
    <s v="Ganilia"/>
    <n v="60"/>
    <n v="2304"/>
  </r>
  <r>
    <x v="1"/>
    <d v="2015-01-19T00:00:00"/>
    <x v="1"/>
    <s v="Jan"/>
    <x v="5"/>
    <s v="Me"/>
    <s v="Card"/>
    <n v="10.36"/>
    <m/>
    <m/>
    <m/>
    <n v="497.28"/>
  </r>
  <r>
    <x v="0"/>
    <d v="2015-07-31T00:00:00"/>
    <x v="1"/>
    <s v="Jul"/>
    <x v="13"/>
    <s v="Me"/>
    <s v="Card"/>
    <n v="840"/>
    <s v="Embryo freezing (1 yr- 5 straws)"/>
    <s v="11 Jul 2015 - 10 Jul 2016"/>
    <m/>
    <n v="40320"/>
  </r>
  <r>
    <x v="0"/>
    <d v="2015-07-31T00:00:00"/>
    <x v="1"/>
    <s v="Jul"/>
    <x v="5"/>
    <s v="Me"/>
    <s v="Card"/>
    <n v="58.8"/>
    <s v="GST"/>
    <s v="11 Jul 2015 - 10 Jul 2016"/>
    <m/>
    <n v="2822.3999999999996"/>
  </r>
  <r>
    <x v="0"/>
    <d v="2017-06-17T00:00:00"/>
    <x v="2"/>
    <s v="Jun"/>
    <x v="13"/>
    <s v="Me"/>
    <s v="Card"/>
    <n v="980"/>
    <s v="Embryo freezing (1 yr- 5 straws)"/>
    <s v="11 Jul 2016 - 11 Sept 2017"/>
    <m/>
    <n v="47040"/>
  </r>
  <r>
    <x v="0"/>
    <d v="2017-06-17T00:00:00"/>
    <x v="2"/>
    <s v="Jun"/>
    <x v="5"/>
    <s v="Me"/>
    <s v="Card"/>
    <n v="68.599999999999994"/>
    <s v="GST"/>
    <s v="11 Jul 2016 - 11 Sept 2017"/>
    <m/>
    <n v="3292.7999999999997"/>
  </r>
  <r>
    <x v="0"/>
    <d v="2017-09-15T00:00:00"/>
    <x v="2"/>
    <s v="Sep"/>
    <x v="13"/>
    <s v="Me"/>
    <s v="Card"/>
    <n v="420"/>
    <s v="Embryo freezing (1 yr- 5 straws)"/>
    <s v="12 Sept 2017 - 12 Mar 2018"/>
    <m/>
    <n v="20160"/>
  </r>
  <r>
    <x v="0"/>
    <d v="2017-09-15T00:00:00"/>
    <x v="2"/>
    <s v="Sep"/>
    <x v="5"/>
    <s v="Me"/>
    <s v="Card"/>
    <n v="29.4"/>
    <s v="GST"/>
    <s v="12 Sept 2017 - 12 Mar 2018"/>
    <m/>
    <n v="1411.1999999999998"/>
  </r>
  <r>
    <x v="0"/>
    <d v="2017-12-11T00:00:00"/>
    <x v="2"/>
    <s v="Dec"/>
    <x v="2"/>
    <s v="Me"/>
    <s v="Card"/>
    <n v="100"/>
    <s v="Dr Loh Seong Feei"/>
    <s v="Found polyp"/>
    <m/>
    <n v="4800"/>
  </r>
  <r>
    <x v="0"/>
    <d v="2017-12-11T00:00:00"/>
    <x v="2"/>
    <s v="Dec"/>
    <x v="7"/>
    <s v="Me"/>
    <s v="Card"/>
    <n v="100"/>
    <m/>
    <m/>
    <m/>
    <n v="4800"/>
  </r>
  <r>
    <x v="0"/>
    <d v="2017-12-11T00:00:00"/>
    <x v="2"/>
    <s v="Dec"/>
    <x v="1"/>
    <s v="Me"/>
    <s v="Card"/>
    <n v="15"/>
    <m/>
    <m/>
    <m/>
    <n v="720"/>
  </r>
  <r>
    <x v="0"/>
    <d v="2017-12-11T00:00:00"/>
    <x v="2"/>
    <s v="Dec"/>
    <x v="5"/>
    <s v="Me"/>
    <s v="Card"/>
    <n v="15.05"/>
    <s v="GST"/>
    <m/>
    <m/>
    <n v="722.40000000000009"/>
  </r>
  <r>
    <x v="1"/>
    <d v="2018-01-04T00:00:00"/>
    <x v="3"/>
    <s v="Jan"/>
    <x v="17"/>
    <s v="Me"/>
    <s v="Card"/>
    <n v="1295"/>
    <s v="Hosp number - 62-03-00184-2018"/>
    <m/>
    <m/>
    <n v="62160"/>
  </r>
  <r>
    <x v="1"/>
    <d v="2018-01-04T00:00:00"/>
    <x v="3"/>
    <s v="Jan"/>
    <x v="17"/>
    <s v="Me"/>
    <s v="Card"/>
    <n v="6.46"/>
    <m/>
    <s v="Cytotec (no bill)"/>
    <n v="2"/>
    <n v="310.08"/>
  </r>
  <r>
    <x v="1"/>
    <d v="2018-01-04T00:00:00"/>
    <x v="3"/>
    <s v="Jan"/>
    <x v="17"/>
    <s v="Me"/>
    <s v="Card"/>
    <n v="25"/>
    <m/>
    <s v="Curam tab 625mg"/>
    <n v="10"/>
    <n v="1200"/>
  </r>
  <r>
    <x v="1"/>
    <d v="2018-01-04T00:00:00"/>
    <x v="3"/>
    <s v="Jan"/>
    <x v="17"/>
    <s v="Me"/>
    <s v="Card"/>
    <n v="82.8"/>
    <m/>
    <s v="Norethisterone tab 5mg (Sonolut)"/>
    <n v="60"/>
    <n v="3974.3999999999996"/>
  </r>
  <r>
    <x v="1"/>
    <d v="2018-01-04T00:00:00"/>
    <x v="3"/>
    <s v="Jan"/>
    <x v="17"/>
    <s v="Me"/>
    <s v="Card"/>
    <n v="18"/>
    <s v="Normal saline 1000ml"/>
    <m/>
    <n v="1"/>
    <n v="864"/>
  </r>
  <r>
    <x v="1"/>
    <d v="2018-01-04T00:00:00"/>
    <x v="3"/>
    <s v="Jan"/>
    <x v="17"/>
    <s v="Me"/>
    <s v="Card"/>
    <n v="3"/>
    <s v="Disposable panties"/>
    <m/>
    <n v="3"/>
    <n v="144"/>
  </r>
  <r>
    <x v="1"/>
    <d v="2018-01-04T00:00:00"/>
    <x v="3"/>
    <s v="Jan"/>
    <x v="17"/>
    <s v="Me"/>
    <s v="Card"/>
    <n v="8.3000000000000007"/>
    <s v="Surgical gloves"/>
    <m/>
    <n v="3"/>
    <n v="398.40000000000003"/>
  </r>
  <r>
    <x v="1"/>
    <d v="2018-01-04T00:00:00"/>
    <x v="3"/>
    <s v="Jan"/>
    <x v="17"/>
    <s v="Me"/>
    <s v="Card"/>
    <n v="76"/>
    <s v="Instrument set"/>
    <m/>
    <n v="4"/>
    <n v="3648"/>
  </r>
  <r>
    <x v="1"/>
    <d v="2018-01-04T00:00:00"/>
    <x v="3"/>
    <s v="Jan"/>
    <x v="17"/>
    <s v="Me"/>
    <s v="Card"/>
    <n v="35.5"/>
    <s v="Urigation set"/>
    <m/>
    <n v="1"/>
    <n v="1704"/>
  </r>
  <r>
    <x v="1"/>
    <d v="2018-01-04T00:00:00"/>
    <x v="3"/>
    <s v="Jan"/>
    <x v="17"/>
    <s v="Me"/>
    <s v="Card"/>
    <n v="10.6"/>
    <s v="Video printout"/>
    <m/>
    <n v="2"/>
    <n v="508.79999999999995"/>
  </r>
  <r>
    <x v="1"/>
    <d v="2018-01-04T00:00:00"/>
    <x v="3"/>
    <s v="Jan"/>
    <x v="17"/>
    <s v="Me"/>
    <s v="Card"/>
    <n v="120"/>
    <s v="Histology - Lab fees"/>
    <m/>
    <m/>
    <n v="5760"/>
  </r>
  <r>
    <x v="1"/>
    <d v="2018-01-04T00:00:00"/>
    <x v="3"/>
    <s v="Jan"/>
    <x v="17"/>
    <s v="Me"/>
    <s v="Card"/>
    <n v="35"/>
    <s v="Admission procedure"/>
    <m/>
    <m/>
    <n v="1680"/>
  </r>
  <r>
    <x v="1"/>
    <d v="2018-01-04T00:00:00"/>
    <x v="3"/>
    <s v="Jan"/>
    <x v="5"/>
    <s v="Me"/>
    <s v="Card"/>
    <n v="119.65"/>
    <m/>
    <m/>
    <m/>
    <n v="5743.2000000000007"/>
  </r>
  <r>
    <x v="1"/>
    <d v="2018-01-04T00:00:00"/>
    <x v="3"/>
    <s v="Jan"/>
    <x v="18"/>
    <s v="Me"/>
    <s v="Card"/>
    <n v="321"/>
    <s v="Doctors fee - Dr Loh Seong Feei - attendance"/>
    <m/>
    <m/>
    <n v="15408"/>
  </r>
  <r>
    <x v="1"/>
    <d v="2018-01-04T00:00:00"/>
    <x v="3"/>
    <s v="Jan"/>
    <x v="18"/>
    <s v="Me"/>
    <s v="Card"/>
    <n v="2996"/>
    <s v="Doctors fee - Dr Loh Seong Feei - operation fee"/>
    <m/>
    <m/>
    <n v="143808"/>
  </r>
  <r>
    <x v="1"/>
    <d v="2018-01-04T00:00:00"/>
    <x v="3"/>
    <s v="Jan"/>
    <x v="19"/>
    <s v="Me"/>
    <s v="Card"/>
    <n v="749"/>
    <s v="Doctors fee - Dr Loo Chee Chuen - operation fee"/>
    <m/>
    <m/>
    <n v="35952"/>
  </r>
  <r>
    <x v="1"/>
    <d v="2018-02-05T00:00:00"/>
    <x v="3"/>
    <s v="Feb"/>
    <x v="2"/>
    <s v="Me"/>
    <s v="Card"/>
    <n v="90"/>
    <s v="Dr Loh Seong Feei"/>
    <m/>
    <m/>
    <n v="4320"/>
  </r>
  <r>
    <x v="1"/>
    <d v="2018-02-05T00:00:00"/>
    <x v="3"/>
    <s v="Feb"/>
    <x v="6"/>
    <s v="Me"/>
    <s v="Card"/>
    <n v="60"/>
    <s v="Progesteron "/>
    <s v="Progynova 2mg tab"/>
    <n v="30"/>
    <n v="2880"/>
  </r>
  <r>
    <x v="1"/>
    <d v="2018-02-05T00:00:00"/>
    <x v="3"/>
    <s v="Feb"/>
    <x v="3"/>
    <s v="Me"/>
    <s v="Card"/>
    <n v="200"/>
    <s v="HIV blood test for both of us"/>
    <m/>
    <m/>
    <n v="9600"/>
  </r>
  <r>
    <x v="1"/>
    <d v="2018-02-05T00:00:00"/>
    <x v="3"/>
    <s v="Feb"/>
    <x v="5"/>
    <s v="Me"/>
    <s v="Card"/>
    <n v="24.500000000000004"/>
    <n v="350.00000000000006"/>
    <m/>
    <m/>
    <n v="1176.0000000000002"/>
  </r>
  <r>
    <x v="1"/>
    <d v="2018-03-05T00:00:00"/>
    <x v="3"/>
    <s v="Mar"/>
    <x v="20"/>
    <s v="Me"/>
    <s v="Card"/>
    <n v="242.80440000000002"/>
    <s v="rescan?"/>
    <m/>
    <m/>
    <n v="11654.611200000001"/>
  </r>
  <r>
    <x v="1"/>
    <d v="2018-03-05T00:00:00"/>
    <x v="3"/>
    <s v="Mar"/>
    <x v="5"/>
    <s v="Me"/>
    <s v="Card"/>
    <n v="18.275600000000001"/>
    <m/>
    <m/>
    <m/>
    <n v="877.22880000000009"/>
  </r>
  <r>
    <x v="1"/>
    <d v="2018-03-05T00:00:00"/>
    <x v="3"/>
    <s v="Mar"/>
    <x v="21"/>
    <s v="Me"/>
    <s v="Card"/>
    <n v="14.322000000000001"/>
    <s v="medicine"/>
    <m/>
    <m/>
    <n v="687.45600000000002"/>
  </r>
  <r>
    <x v="1"/>
    <d v="2018-03-05T00:00:00"/>
    <x v="3"/>
    <s v="Mar"/>
    <x v="5"/>
    <s v="Me"/>
    <s v="Card"/>
    <n v="1.0780000000000001"/>
    <m/>
    <m/>
    <m/>
    <n v="51.744"/>
  </r>
  <r>
    <x v="0"/>
    <d v="2018-03-08T00:00:00"/>
    <x v="3"/>
    <s v="Mar"/>
    <x v="22"/>
    <s v="Me"/>
    <s v="Card"/>
    <n v="2721.7845000000007"/>
    <s v="FET - 2 embryos. Ammamma passed on 22 Mar. collapsed on 19 mar"/>
    <m/>
    <m/>
    <n v="130645.65600000003"/>
  </r>
  <r>
    <x v="0"/>
    <d v="2018-03-08T00:00:00"/>
    <x v="3"/>
    <s v="Mar"/>
    <x v="5"/>
    <s v="Me"/>
    <s v="Card"/>
    <n v="204.86550000000003"/>
    <m/>
    <m/>
    <m/>
    <n v="9833.5440000000017"/>
  </r>
  <r>
    <x v="0"/>
    <d v="2018-03-28T00:00:00"/>
    <x v="3"/>
    <s v="Mar"/>
    <x v="22"/>
    <s v="Me"/>
    <s v="Card"/>
    <n v="39.013500000000008"/>
    <m/>
    <m/>
    <m/>
    <n v="1872.6480000000004"/>
  </r>
  <r>
    <x v="0"/>
    <d v="2018-03-28T00:00:00"/>
    <x v="3"/>
    <s v="Mar"/>
    <x v="5"/>
    <s v="Me"/>
    <s v="Card"/>
    <n v="2.9365000000000006"/>
    <m/>
    <m/>
    <m/>
    <n v="140.95200000000003"/>
  </r>
  <r>
    <x v="1"/>
    <d v="2018-04-07T00:00:00"/>
    <x v="3"/>
    <s v="Apr"/>
    <x v="20"/>
    <s v="Me"/>
    <s v="Card"/>
    <n v="218.92200000000003"/>
    <m/>
    <m/>
    <m/>
    <n v="10508.256000000001"/>
  </r>
  <r>
    <x v="1"/>
    <d v="2018-04-07T00:00:00"/>
    <x v="3"/>
    <s v="Apr"/>
    <x v="5"/>
    <s v="Me"/>
    <s v="Card"/>
    <n v="16.478000000000002"/>
    <m/>
    <m/>
    <m/>
    <n v="790.94400000000007"/>
  </r>
  <r>
    <x v="0"/>
    <d v="2018-04-07T00:00:00"/>
    <x v="3"/>
    <s v="Apr"/>
    <x v="22"/>
    <s v="Me"/>
    <s v="Card"/>
    <n v="213.94650000000004"/>
    <s v="scan"/>
    <m/>
    <m/>
    <n v="10269.432000000003"/>
  </r>
  <r>
    <x v="0"/>
    <d v="2018-04-07T00:00:00"/>
    <x v="3"/>
    <s v="Apr"/>
    <x v="5"/>
    <s v="Me"/>
    <s v="Card"/>
    <n v="16.103500000000004"/>
    <m/>
    <m/>
    <m/>
    <n v="772.96800000000019"/>
  </r>
  <r>
    <x v="0"/>
    <d v="2018-04-10T00:00:00"/>
    <x v="3"/>
    <s v="Apr"/>
    <x v="22"/>
    <s v="Me"/>
    <s v="Card"/>
    <n v="2558.1974999999998"/>
    <s v="FET - 1 embryo. Achan passed on 19 Apr. To india that night"/>
    <m/>
    <m/>
    <n v="122793.47999999998"/>
  </r>
  <r>
    <x v="0"/>
    <d v="2018-04-10T00:00:00"/>
    <x v="3"/>
    <s v="Apr"/>
    <x v="5"/>
    <s v="Me"/>
    <s v="Card"/>
    <n v="192.55250000000001"/>
    <m/>
    <m/>
    <m/>
    <n v="9242.52"/>
  </r>
  <r>
    <x v="0"/>
    <d v="2019-09-30T00:00:00"/>
    <x v="4"/>
    <s v="Sep"/>
    <x v="2"/>
    <s v="Me"/>
    <s v="Card"/>
    <n v="100"/>
    <m/>
    <m/>
    <m/>
    <n v="5100"/>
  </r>
  <r>
    <x v="0"/>
    <d v="2019-09-30T00:00:00"/>
    <x v="4"/>
    <s v="Sep"/>
    <x v="7"/>
    <s v="Me"/>
    <s v="Card"/>
    <n v="100"/>
    <m/>
    <m/>
    <m/>
    <n v="5100"/>
  </r>
  <r>
    <x v="0"/>
    <d v="2019-09-30T00:00:00"/>
    <x v="4"/>
    <s v="Sep"/>
    <x v="3"/>
    <s v="Me"/>
    <s v="Card"/>
    <n v="260"/>
    <m/>
    <m/>
    <m/>
    <n v="13260"/>
  </r>
  <r>
    <x v="0"/>
    <d v="2019-09-30T00:00:00"/>
    <x v="4"/>
    <s v="Sep"/>
    <x v="1"/>
    <s v="Me"/>
    <s v="Card"/>
    <n v="15"/>
    <m/>
    <m/>
    <m/>
    <n v="765"/>
  </r>
  <r>
    <x v="0"/>
    <d v="2019-09-30T00:00:00"/>
    <x v="4"/>
    <s v="Sep"/>
    <x v="8"/>
    <s v="Me"/>
    <s v="Card"/>
    <n v="800"/>
    <m/>
    <s v="Pergoveris Inj 150/75 IU"/>
    <n v="4"/>
    <n v="40800"/>
  </r>
  <r>
    <x v="0"/>
    <d v="2019-09-30T00:00:00"/>
    <x v="4"/>
    <s v="Sep"/>
    <x v="8"/>
    <s v="Me"/>
    <s v="Card"/>
    <n v="1000"/>
    <m/>
    <s v="Gonal-F Inj 1050 IU (1200)"/>
    <n v="1"/>
    <n v="51000"/>
  </r>
  <r>
    <x v="0"/>
    <d v="2019-09-30T00:00:00"/>
    <x v="4"/>
    <s v="Sep"/>
    <x v="6"/>
    <s v="Me"/>
    <s v="Card"/>
    <n v="39.25"/>
    <m/>
    <s v="Compleal Cap"/>
    <n v="30"/>
    <n v="2001.75"/>
  </r>
  <r>
    <x v="0"/>
    <d v="2019-09-30T00:00:00"/>
    <x v="4"/>
    <s v="Sep"/>
    <x v="5"/>
    <s v="Me"/>
    <s v="Card"/>
    <n v="162"/>
    <m/>
    <m/>
    <m/>
    <n v="8262"/>
  </r>
  <r>
    <x v="0"/>
    <d v="2019-10-04T00:00:00"/>
    <x v="4"/>
    <s v="Oct"/>
    <x v="2"/>
    <s v="Me"/>
    <s v="Card"/>
    <n v="100"/>
    <m/>
    <m/>
    <m/>
    <n v="5100"/>
  </r>
  <r>
    <x v="0"/>
    <d v="2019-10-04T00:00:00"/>
    <x v="4"/>
    <s v="Oct"/>
    <x v="7"/>
    <s v="Me"/>
    <s v="Card"/>
    <n v="100"/>
    <m/>
    <m/>
    <m/>
    <n v="5100"/>
  </r>
  <r>
    <x v="0"/>
    <d v="2019-10-04T00:00:00"/>
    <x v="4"/>
    <s v="Oct"/>
    <x v="1"/>
    <s v="Me"/>
    <s v="Card"/>
    <n v="15"/>
    <m/>
    <m/>
    <m/>
    <n v="765"/>
  </r>
  <r>
    <x v="0"/>
    <d v="2019-10-04T00:00:00"/>
    <x v="4"/>
    <s v="Oct"/>
    <x v="8"/>
    <s v="Me"/>
    <s v="Card"/>
    <n v="322.2"/>
    <m/>
    <s v="Cetrotide Inj 0.25 mg (Cetrorelix)"/>
    <n v="3"/>
    <n v="16432.2"/>
  </r>
  <r>
    <x v="0"/>
    <d v="2019-10-04T00:00:00"/>
    <x v="4"/>
    <s v="Oct"/>
    <x v="8"/>
    <s v="Me"/>
    <s v="Card"/>
    <n v="600"/>
    <m/>
    <s v="Pergoveris Inj 150/75 IU"/>
    <n v="3"/>
    <n v="30600"/>
  </r>
  <r>
    <x v="0"/>
    <d v="2019-10-04T00:00:00"/>
    <x v="4"/>
    <s v="Oct"/>
    <x v="8"/>
    <s v="Me"/>
    <s v="Card"/>
    <n v="1000"/>
    <m/>
    <s v="Gonal-F Inj 1050 IU (1200)"/>
    <n v="1"/>
    <n v="51000"/>
  </r>
  <r>
    <x v="0"/>
    <d v="2019-10-04T00:00:00"/>
    <x v="4"/>
    <s v="Oct"/>
    <x v="5"/>
    <s v="Me"/>
    <s v="Card"/>
    <n v="149.6"/>
    <m/>
    <m/>
    <m/>
    <m/>
  </r>
  <r>
    <x v="0"/>
    <d v="2019-10-07T00:00:00"/>
    <x v="4"/>
    <s v="Oct"/>
    <x v="2"/>
    <s v="Me"/>
    <s v="Card"/>
    <n v="100"/>
    <m/>
    <m/>
    <m/>
    <n v="5100"/>
  </r>
  <r>
    <x v="0"/>
    <d v="2019-10-07T00:00:00"/>
    <x v="4"/>
    <s v="Oct"/>
    <x v="7"/>
    <s v="Me"/>
    <s v="Card"/>
    <n v="100"/>
    <m/>
    <m/>
    <m/>
    <n v="5100"/>
  </r>
  <r>
    <x v="0"/>
    <d v="2019-10-07T00:00:00"/>
    <x v="4"/>
    <s v="Oct"/>
    <x v="1"/>
    <s v="Me"/>
    <s v="Card"/>
    <n v="15"/>
    <m/>
    <m/>
    <m/>
    <n v="765"/>
  </r>
  <r>
    <x v="0"/>
    <d v="2019-10-07T00:00:00"/>
    <x v="4"/>
    <s v="Oct"/>
    <x v="8"/>
    <s v="Me"/>
    <s v="Card"/>
    <n v="214.8"/>
    <m/>
    <s v="Cetrotide Inj 0.25 mg (Cetrorelix)"/>
    <n v="2"/>
    <n v="10954.800000000001"/>
  </r>
  <r>
    <x v="0"/>
    <d v="2019-10-07T00:00:00"/>
    <x v="4"/>
    <s v="Oct"/>
    <x v="8"/>
    <s v="Me"/>
    <s v="Card"/>
    <n v="400"/>
    <m/>
    <s v="Pergoveris Inj 150/75 IU"/>
    <n v="2"/>
    <n v="20400"/>
  </r>
  <r>
    <x v="0"/>
    <d v="2019-10-07T00:00:00"/>
    <x v="4"/>
    <s v="Oct"/>
    <x v="8"/>
    <s v="Me"/>
    <s v="Card"/>
    <n v="682"/>
    <m/>
    <s v="Gonal-F Inj 300 IU (0.5ml)"/>
    <n v="2"/>
    <n v="34782"/>
  </r>
  <r>
    <x v="0"/>
    <d v="2019-10-07T00:00:00"/>
    <x v="4"/>
    <s v="Oct"/>
    <x v="8"/>
    <s v="Me"/>
    <s v="Card"/>
    <n v="86"/>
    <m/>
    <s v="Pregnyl inj 5000 IU"/>
    <n v="2"/>
    <n v="4386"/>
  </r>
  <r>
    <x v="0"/>
    <d v="2019-10-07T00:00:00"/>
    <x v="4"/>
    <s v="Oct"/>
    <x v="6"/>
    <s v="Me"/>
    <s v="Card"/>
    <n v="38.799999999999997"/>
    <m/>
    <s v="Zithromax tab 250mg"/>
    <n v="4"/>
    <n v="1978.8"/>
  </r>
  <r>
    <x v="0"/>
    <d v="2019-10-07T00:00:00"/>
    <x v="4"/>
    <s v="Oct"/>
    <x v="5"/>
    <s v="Me"/>
    <s v="Card"/>
    <n v="114.55"/>
    <m/>
    <m/>
    <m/>
    <n v="5842.05"/>
  </r>
  <r>
    <x v="1"/>
    <d v="2019-10-09T00:00:00"/>
    <x v="4"/>
    <s v="Oct"/>
    <x v="8"/>
    <s v="Me"/>
    <s v="Card"/>
    <n v="25"/>
    <s v="Fertility Injection procedure - Pregnyl 10000 IU"/>
    <m/>
    <m/>
    <n v="1275"/>
  </r>
  <r>
    <x v="1"/>
    <d v="2019-10-09T00:00:00"/>
    <x v="4"/>
    <s v="Oct"/>
    <x v="5"/>
    <s v="Me"/>
    <s v="Card"/>
    <n v="1.75"/>
    <m/>
    <m/>
    <m/>
    <n v="89.25"/>
  </r>
  <r>
    <x v="0"/>
    <d v="2019-10-11T00:00:00"/>
    <x v="4"/>
    <s v="Oct"/>
    <x v="11"/>
    <s v="Me"/>
    <s v="Card"/>
    <n v="13.15"/>
    <m/>
    <s v="Fentanyl injection 2ml"/>
    <m/>
    <n v="670.65"/>
  </r>
  <r>
    <x v="0"/>
    <d v="2019-10-11T00:00:00"/>
    <x v="4"/>
    <s v="Oct"/>
    <x v="11"/>
    <s v="Me"/>
    <s v="Card"/>
    <n v="14.75"/>
    <m/>
    <s v="Propofol-Lipuro 1% GA injection"/>
    <m/>
    <n v="752.25"/>
  </r>
  <r>
    <x v="0"/>
    <d v="2019-10-11T00:00:00"/>
    <x v="4"/>
    <s v="Oct"/>
    <x v="11"/>
    <s v="Me"/>
    <s v="Card"/>
    <n v="11.4"/>
    <s v="Standard oxygen mask"/>
    <m/>
    <m/>
    <n v="581.4"/>
  </r>
  <r>
    <x v="0"/>
    <d v="2019-10-11T00:00:00"/>
    <x v="4"/>
    <s v="Oct"/>
    <x v="11"/>
    <s v="Me"/>
    <s v="Card"/>
    <n v="21"/>
    <s v="OT patient disposable set"/>
    <m/>
    <m/>
    <n v="1071"/>
  </r>
  <r>
    <x v="0"/>
    <d v="2019-10-11T00:00:00"/>
    <x v="4"/>
    <s v="Oct"/>
    <x v="11"/>
    <s v="Me"/>
    <s v="Card"/>
    <n v="98.7"/>
    <s v="Oocyte recovery set 17g needle with tubing"/>
    <m/>
    <m/>
    <n v="5033.7"/>
  </r>
  <r>
    <x v="0"/>
    <d v="2019-10-11T00:00:00"/>
    <x v="4"/>
    <s v="Oct"/>
    <x v="11"/>
    <s v="Me"/>
    <s v="Card"/>
    <n v="17.399999999999999"/>
    <s v="Medical surgeon gown"/>
    <m/>
    <m/>
    <n v="887.4"/>
  </r>
  <r>
    <x v="0"/>
    <d v="2019-10-11T00:00:00"/>
    <x v="4"/>
    <s v="Oct"/>
    <x v="11"/>
    <s v="Me"/>
    <s v="Card"/>
    <n v="1500"/>
    <s v="Professional fee- egg pickup"/>
    <m/>
    <m/>
    <n v="76500"/>
  </r>
  <r>
    <x v="0"/>
    <d v="2019-10-11T00:00:00"/>
    <x v="4"/>
    <s v="Oct"/>
    <x v="11"/>
    <s v="Me"/>
    <s v="Card"/>
    <n v="120"/>
    <s v="Facilities (OT &amp; recovery)"/>
    <m/>
    <m/>
    <n v="6120"/>
  </r>
  <r>
    <x v="0"/>
    <d v="2019-10-11T00:00:00"/>
    <x v="4"/>
    <s v="Oct"/>
    <x v="11"/>
    <s v="Me"/>
    <s v="Card"/>
    <n v="2950"/>
    <s v="TFC Embryo lab"/>
    <m/>
    <m/>
    <n v="150450"/>
  </r>
  <r>
    <x v="0"/>
    <d v="2019-10-11T00:00:00"/>
    <x v="4"/>
    <s v="Oct"/>
    <x v="5"/>
    <s v="Me"/>
    <s v="Card"/>
    <n v="332.25"/>
    <m/>
    <m/>
    <m/>
    <n v="16944.75"/>
  </r>
  <r>
    <x v="0"/>
    <d v="2019-10-11T00:00:00"/>
    <x v="4"/>
    <s v="Oct"/>
    <x v="11"/>
    <s v="Me"/>
    <s v="Card"/>
    <n v="535"/>
    <s v="Dr Chan Sy (NMS) Anestheologist"/>
    <m/>
    <m/>
    <n v="27285"/>
  </r>
  <r>
    <x v="0"/>
    <d v="2019-10-14T00:00:00"/>
    <x v="4"/>
    <s v="Oct"/>
    <x v="12"/>
    <s v="Me"/>
    <s v="Card"/>
    <n v="20"/>
    <m/>
    <s v="Folic acid 5mg"/>
    <n v="100"/>
    <n v="1020"/>
  </r>
  <r>
    <x v="0"/>
    <d v="2019-10-14T00:00:00"/>
    <x v="4"/>
    <s v="Oct"/>
    <x v="12"/>
    <s v="Me"/>
    <s v="Card"/>
    <n v="128"/>
    <m/>
    <s v="Utrogestan capsule 200mg"/>
    <n v="60"/>
    <n v="6528"/>
  </r>
  <r>
    <x v="0"/>
    <d v="2019-10-14T00:00:00"/>
    <x v="4"/>
    <s v="Oct"/>
    <x v="12"/>
    <s v="Me"/>
    <s v="Card"/>
    <n v="39.200000000000003"/>
    <m/>
    <s v="Progynova 2mg tab"/>
    <n v="56"/>
    <n v="1999.2"/>
  </r>
  <r>
    <x v="0"/>
    <d v="2019-10-14T00:00:00"/>
    <x v="4"/>
    <s v="Oct"/>
    <x v="12"/>
    <s v="Me"/>
    <s v="Card"/>
    <n v="108.2"/>
    <s v="ER catheter, 23cm, 1816N"/>
    <m/>
    <m/>
    <n v="5518.2"/>
  </r>
  <r>
    <x v="0"/>
    <d v="2019-10-14T00:00:00"/>
    <x v="4"/>
    <s v="Oct"/>
    <x v="12"/>
    <s v="Me"/>
    <s v="Card"/>
    <n v="21"/>
    <s v="OT patient disposable set"/>
    <m/>
    <m/>
    <n v="1071"/>
  </r>
  <r>
    <x v="0"/>
    <d v="2019-10-14T00:00:00"/>
    <x v="4"/>
    <s v="Oct"/>
    <x v="12"/>
    <s v="Me"/>
    <s v="Card"/>
    <n v="39"/>
    <s v="Progesterone blood test"/>
    <m/>
    <m/>
    <n v="1989"/>
  </r>
  <r>
    <x v="0"/>
    <d v="2019-10-14T00:00:00"/>
    <x v="4"/>
    <s v="Oct"/>
    <x v="12"/>
    <s v="Me"/>
    <s v="Card"/>
    <n v="39"/>
    <s v="HCG Blood test"/>
    <m/>
    <m/>
    <n v="1989"/>
  </r>
  <r>
    <x v="0"/>
    <d v="2019-10-14T00:00:00"/>
    <x v="4"/>
    <s v="Oct"/>
    <x v="12"/>
    <s v="Me"/>
    <s v="Card"/>
    <n v="800"/>
    <s v="Embryo transfer professional fee"/>
    <m/>
    <m/>
    <n v="40800"/>
  </r>
  <r>
    <x v="0"/>
    <d v="2019-10-14T00:00:00"/>
    <x v="4"/>
    <s v="Oct"/>
    <x v="12"/>
    <s v="Me"/>
    <s v="Card"/>
    <n v="120"/>
    <s v="Facilities (OT &amp; recovery)"/>
    <m/>
    <m/>
    <n v="6120"/>
  </r>
  <r>
    <x v="0"/>
    <d v="2019-10-14T00:00:00"/>
    <x v="4"/>
    <s v="Oct"/>
    <x v="12"/>
    <s v="Me"/>
    <s v="Card"/>
    <n v="900"/>
    <m/>
    <m/>
    <m/>
    <n v="45900"/>
  </r>
  <r>
    <x v="0"/>
    <d v="2019-10-14T00:00:00"/>
    <x v="4"/>
    <s v="Oct"/>
    <x v="12"/>
    <s v="Me"/>
    <s v="Card"/>
    <n v="1190"/>
    <s v="TFC Embryo lab - embryo transfer lab work"/>
    <m/>
    <m/>
    <n v="60690"/>
  </r>
  <r>
    <x v="0"/>
    <d v="2019-10-14T00:00:00"/>
    <x v="4"/>
    <s v="Oct"/>
    <x v="12"/>
    <s v="Me"/>
    <s v="Card"/>
    <n v="1000"/>
    <s v="TFC Embryo lab - ICSI (4-15 eggs)"/>
    <m/>
    <m/>
    <n v="51000"/>
  </r>
  <r>
    <x v="0"/>
    <d v="2019-10-14T00:00:00"/>
    <x v="4"/>
    <s v="Oct"/>
    <x v="5"/>
    <s v="Me"/>
    <s v="Card"/>
    <n v="308.3"/>
    <m/>
    <m/>
    <m/>
    <n v="15723.300000000001"/>
  </r>
  <r>
    <x v="1"/>
    <d v="2019-10-14T00:00:00"/>
    <x v="4"/>
    <s v="Oct"/>
    <x v="8"/>
    <s v="Me"/>
    <s v="Card"/>
    <n v="200"/>
    <s v="Intralipid"/>
    <m/>
    <m/>
    <n v="10200"/>
  </r>
  <r>
    <x v="1"/>
    <d v="2019-10-14T00:00:00"/>
    <x v="4"/>
    <s v="Oct"/>
    <x v="8"/>
    <s v="Me"/>
    <s v="Card"/>
    <n v="20"/>
    <s v="IV drip"/>
    <m/>
    <m/>
    <n v="1020"/>
  </r>
  <r>
    <x v="1"/>
    <d v="2019-10-14T00:00:00"/>
    <x v="4"/>
    <s v="Oct"/>
    <x v="5"/>
    <s v="Me"/>
    <s v="Card"/>
    <n v="15.4"/>
    <m/>
    <m/>
    <m/>
    <n v="785.4"/>
  </r>
  <r>
    <x v="2"/>
    <m/>
    <x v="5"/>
    <m/>
    <x v="23"/>
    <m/>
    <m/>
    <m/>
    <m/>
    <m/>
    <m/>
    <m/>
  </r>
  <r>
    <x v="2"/>
    <m/>
    <x v="5"/>
    <m/>
    <x v="23"/>
    <m/>
    <m/>
    <m/>
    <m/>
    <m/>
    <m/>
    <m/>
  </r>
  <r>
    <x v="2"/>
    <m/>
    <x v="5"/>
    <m/>
    <x v="23"/>
    <m/>
    <m/>
    <m/>
    <m/>
    <m/>
    <m/>
    <m/>
  </r>
  <r>
    <x v="2"/>
    <m/>
    <x v="5"/>
    <m/>
    <x v="23"/>
    <m/>
    <m/>
    <m/>
    <m/>
    <m/>
    <m/>
    <m/>
  </r>
  <r>
    <x v="2"/>
    <m/>
    <x v="5"/>
    <m/>
    <x v="23"/>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s v="Done"/>
    <x v="0"/>
    <x v="0"/>
    <x v="0"/>
    <s v="Blue Elephant"/>
    <s v="Diaper Pouch"/>
    <d v="2017-09-30T00:00:00"/>
    <m/>
    <d v="2017-08-24T00:00:00"/>
    <x v="0"/>
    <n v="8"/>
    <d v="2017-09-06T00:00:00"/>
    <n v="1.1499999999999999"/>
    <n v="5"/>
  </r>
  <r>
    <n v="2"/>
    <s v="Done"/>
    <x v="0"/>
    <x v="0"/>
    <x v="1"/>
    <s v="Purple Fq"/>
    <s v="Pouch"/>
    <d v="2017-09-30T00:00:00"/>
    <m/>
    <d v="2017-08-24T00:00:00"/>
    <x v="0"/>
    <n v="8"/>
    <d v="2017-09-06T00:00:00"/>
    <m/>
    <n v="7"/>
  </r>
  <r>
    <n v="3"/>
    <s v="Done"/>
    <x v="1"/>
    <x v="1"/>
    <x v="2"/>
    <s v="Black And Gold Emma&amp;Mila"/>
    <s v="Purple Ka Artisan"/>
    <d v="2017-08-14T00:00:00"/>
    <s v="Cash"/>
    <d v="2017-07-22T00:00:00"/>
    <x v="0"/>
    <n v="7"/>
    <d v="2017-08-14T00:00:00"/>
    <s v="Self collect"/>
    <n v="30"/>
  </r>
  <r>
    <n v="4"/>
    <s v="Done"/>
    <x v="2"/>
    <x v="1"/>
    <x v="2"/>
    <s v="Black With Hearts"/>
    <s v="Black Ka Artisan"/>
    <d v="2017-10-05T00:00:00"/>
    <m/>
    <d v="2017-09-13T00:00:00"/>
    <x v="0"/>
    <n v="9"/>
    <d v="2017-10-06T00:00:00"/>
    <n v="1.7"/>
    <n v="30"/>
  </r>
  <r>
    <n v="5"/>
    <s v="Done"/>
    <x v="3"/>
    <x v="1"/>
    <x v="2"/>
    <s v="Baby Pink Chevron"/>
    <s v="Baby Pink Ka Artisan"/>
    <d v="2017-10-05T00:00:00"/>
    <m/>
    <d v="2017-09-10T00:00:00"/>
    <x v="0"/>
    <n v="9"/>
    <d v="2017-10-06T00:00:00"/>
    <n v="1.7"/>
    <n v="35"/>
  </r>
  <r>
    <n v="6"/>
    <s v="Done"/>
    <x v="4"/>
    <x v="2"/>
    <x v="3"/>
    <s v="Green Square Elite"/>
    <s v="Roll Up"/>
    <d v="2016-09-05T00:00:00"/>
    <s v="Cash"/>
    <d v="2016-08-31T00:00:00"/>
    <x v="1"/>
    <n v="8"/>
    <d v="2016-09-05T00:00:00"/>
    <s v="Self collect"/>
    <n v="12"/>
  </r>
  <r>
    <n v="7"/>
    <s v="Done"/>
    <x v="5"/>
    <x v="3"/>
    <x v="4"/>
    <s v="Purple/Pink/White Owl Lovey"/>
    <s v="Owl Stuffie Lovey"/>
    <d v="2016-07-15T00:00:00"/>
    <s v="Cash"/>
    <d v="2016-07-14T00:00:00"/>
    <x v="1"/>
    <n v="7"/>
    <d v="2016-07-15T00:00:00"/>
    <s v="Self collect"/>
    <n v="30"/>
  </r>
  <r>
    <n v="8"/>
    <s v="Done"/>
    <x v="6"/>
    <x v="3"/>
    <x v="5"/>
    <s v="Maroon"/>
    <s v="Fat Cat"/>
    <d v="2017-06-14T00:00:00"/>
    <m/>
    <d v="2016-06-13T00:00:00"/>
    <x v="1"/>
    <n v="6"/>
    <d v="2016-06-15T00:00:00"/>
    <n v="1.1499999999999999"/>
    <n v="12"/>
  </r>
  <r>
    <n v="9"/>
    <s v="Done"/>
    <x v="7"/>
    <x v="3"/>
    <x v="6"/>
    <s v="Pink, White, Stripe"/>
    <s v="Dress"/>
    <d v="2016-05-26T00:00:00"/>
    <s v="Cash"/>
    <d v="2016-05-04T00:00:00"/>
    <x v="1"/>
    <n v="5"/>
    <d v="2016-05-26T00:00:00"/>
    <s v="Self collect"/>
    <n v="50"/>
  </r>
  <r>
    <n v="10"/>
    <s v="Done"/>
    <x v="8"/>
    <x v="1"/>
    <x v="2"/>
    <s v="Pink Flowers On White Bg"/>
    <s v="Fushia Ka Artisan"/>
    <d v="2017-11-03T00:00:00"/>
    <m/>
    <d v="2017-10-11T00:00:00"/>
    <x v="0"/>
    <n v="10"/>
    <s v="24/10/2017 &amp; 3 Nov"/>
    <n v="5.0999999999999996"/>
    <n v="30"/>
  </r>
  <r>
    <n v="11"/>
    <s v="Done"/>
    <x v="8"/>
    <x v="0"/>
    <x v="1"/>
    <s v="Pink Flowers On White Bg"/>
    <s v="13 Pch (1@5 &amp; 12 @ $4)"/>
    <d v="2017-11-03T00:00:00"/>
    <m/>
    <d v="2017-10-11T00:00:00"/>
    <x v="0"/>
    <n v="10"/>
    <s v="24/10/2017 &amp; 3 Nov"/>
    <m/>
    <n v="53"/>
  </r>
  <r>
    <n v="12"/>
    <s v="Done"/>
    <x v="9"/>
    <x v="0"/>
    <x v="7"/>
    <s v="Butterfly &amp; Navy Blue Pouch"/>
    <s v="2 Sided Zip Pouch"/>
    <d v="2017-11-02T00:00:00"/>
    <s v="Cash"/>
    <m/>
    <x v="0"/>
    <m/>
    <d v="2017-11-02T00:00:00"/>
    <s v="Collected by Jayaram"/>
    <n v="42"/>
  </r>
  <r>
    <n v="13"/>
    <s v="Done"/>
    <x v="10"/>
    <x v="1"/>
    <x v="2"/>
    <s v="Green (From Smh) And Hot Pink"/>
    <s v="Crosshatch Quilt Artisan"/>
    <d v="2017-11-14T00:00:00"/>
    <m/>
    <d v="2017-11-08T00:00:00"/>
    <x v="0"/>
    <n v="11"/>
    <d v="2017-11-14T00:00:00"/>
    <n v="3.94"/>
    <n v="40"/>
  </r>
  <r>
    <n v="14"/>
    <s v="Done"/>
    <x v="11"/>
    <x v="1"/>
    <x v="2"/>
    <s v="Pink And Gold For &lt;$25Each - Due By 6 Dec"/>
    <s v="Kitchenaid"/>
    <d v="2017-12-06T00:00:00"/>
    <s v="Cash"/>
    <d v="2017-11-08T00:00:00"/>
    <x v="0"/>
    <n v="11"/>
    <d v="2017-12-06T00:00:00"/>
    <s v="Self collect"/>
    <n v="37"/>
  </r>
  <r>
    <n v="15"/>
    <s v="Done"/>
    <x v="11"/>
    <x v="1"/>
    <x v="8"/>
    <s v="Pink And Gold For &lt;$25Each - Due By 6 Dec"/>
    <s v="Nescafe Drop"/>
    <d v="2017-12-06T00:00:00"/>
    <s v="Cash"/>
    <d v="2017-11-08T00:00:00"/>
    <x v="0"/>
    <n v="11"/>
    <d v="2017-12-06T00:00:00"/>
    <s v="Self collect"/>
    <n v="32"/>
  </r>
  <r>
    <n v="16"/>
    <s v="Done"/>
    <x v="11"/>
    <x v="4"/>
    <x v="9"/>
    <s v="Pink And Gold For &lt;$25Each - Due By 6 Dec"/>
    <s v="Cutlery Cover"/>
    <d v="2017-12-06T00:00:00"/>
    <s v="Cash"/>
    <d v="2017-11-08T00:00:00"/>
    <x v="0"/>
    <n v="11"/>
    <d v="2017-12-06T00:00:00"/>
    <s v="Self collect"/>
    <n v="26"/>
  </r>
  <r>
    <n v="17"/>
    <s v="Done"/>
    <x v="12"/>
    <x v="1"/>
    <x v="2"/>
    <s v="Yellow Chevron - Before 24 Nov"/>
    <s v="Yellow Ka"/>
    <d v="2017-11-22T00:00:00"/>
    <m/>
    <d v="2017-11-10T00:00:00"/>
    <x v="0"/>
    <n v="11"/>
    <d v="2017-11-22T00:00:00"/>
    <n v="1.7"/>
    <n v="40"/>
  </r>
  <r>
    <n v="18"/>
    <s v="Done"/>
    <x v="13"/>
    <x v="1"/>
    <x v="2"/>
    <s v="Green (From Smh) And Green Leaves With Pink Bias - Due By 9 Dec - Finishd On Time But Client Not Well"/>
    <s v="Green Ka"/>
    <d v="2018-01-11T00:00:00"/>
    <m/>
    <d v="2017-11-17T00:00:00"/>
    <x v="0"/>
    <n v="11"/>
    <d v="2018-01-12T00:00:00"/>
    <n v="3.94"/>
    <n v="40"/>
  </r>
  <r>
    <n v="19"/>
    <s v="Done"/>
    <x v="14"/>
    <x v="1"/>
    <x v="10"/>
    <s v="Green (From Smh) With Pink Canvas - Due By 24 Dec"/>
    <s v="Kenwood Kmm760"/>
    <d v="2017-12-28T00:00:00"/>
    <s v="Cash"/>
    <d v="2017-11-18T00:00:00"/>
    <x v="0"/>
    <n v="11"/>
    <d v="2017-12-28T00:00:00"/>
    <s v="Self collect"/>
    <n v="45"/>
  </r>
  <r>
    <n v="20"/>
    <s v="Done"/>
    <x v="15"/>
    <x v="1"/>
    <x v="2"/>
    <s v="Pink Flowers With Purple With Dots Lining - Due Mid Jan"/>
    <s v="Red Ka"/>
    <d v="2018-01-14T00:00:00"/>
    <s v="40/45"/>
    <d v="2017-11-25T00:00:00"/>
    <x v="0"/>
    <n v="11"/>
    <d v="2018-01-15T00:00:00"/>
    <n v="3.9"/>
    <n v="40"/>
  </r>
  <r>
    <n v="21"/>
    <s v="Done"/>
    <x v="15"/>
    <x v="1"/>
    <x v="2"/>
    <s v="Paisley Print With Solid Orange Lining - Due Mid Jan"/>
    <s v="Red Ka"/>
    <d v="2018-01-14T00:00:00"/>
    <s v="adv of 40 paid on 27 nov"/>
    <d v="2017-11-25T00:00:00"/>
    <x v="0"/>
    <n v="11"/>
    <d v="2018-01-15T00:00:00"/>
    <m/>
    <n v="45"/>
  </r>
  <r>
    <n v="22"/>
    <s v="Done"/>
    <x v="16"/>
    <x v="1"/>
    <x v="2"/>
    <s v="Courdroy &amp; Lining From Kayley Ang - Due End Jan"/>
    <s v="Candy Red Ka - Gave Wrong Address So Returned On 8 Feb. Resent On 9 Feb"/>
    <d v="2018-02-02T00:00:00"/>
    <m/>
    <d v="2017-11-29T00:00:00"/>
    <x v="0"/>
    <n v="11"/>
    <d v="2018-02-03T00:00:00"/>
    <n v="3.9"/>
    <n v="45"/>
  </r>
  <r>
    <n v="23"/>
    <s v="Done"/>
    <x v="16"/>
    <x v="1"/>
    <x v="2"/>
    <s v="Cupcake From Tracey Wong And My Lining Multi Checks - Due End Jan - Comp 20 Jan"/>
    <m/>
    <d v="2018-02-08T00:00:00"/>
    <m/>
    <d v="2017-11-29T00:00:00"/>
    <x v="0"/>
    <n v="11"/>
    <d v="2018-02-09T00:00:00"/>
    <n v="4.8"/>
    <n v="45"/>
  </r>
  <r>
    <n v="24"/>
    <s v="Done"/>
    <x v="11"/>
    <x v="1"/>
    <x v="11"/>
    <s v="Pink And Gold -Fnshd 30Jan"/>
    <s v="Kettle Cover"/>
    <d v="2018-02-14T00:00:00"/>
    <s v="Cash"/>
    <d v="2018-01-06T00:00:00"/>
    <x v="2"/>
    <n v="1"/>
    <d v="2018-02-14T00:00:00"/>
    <s v="Self collect"/>
    <n v="25"/>
  </r>
  <r>
    <n v="25"/>
    <s v="Done"/>
    <x v="11"/>
    <x v="1"/>
    <x v="2"/>
    <s v="Hot Pink Small Flower &amp; Pink Flower On White Background"/>
    <s v="Kitchenaid Ka"/>
    <d v="2018-02-14T00:00:00"/>
    <m/>
    <d v="2018-01-06T00:00:00"/>
    <x v="2"/>
    <n v="1"/>
    <d v="2018-02-14T00:00:00"/>
    <m/>
    <n v="40"/>
  </r>
  <r>
    <n v="26"/>
    <s v="Done"/>
    <x v="17"/>
    <x v="1"/>
    <x v="12"/>
    <s v="Rainbow Scale (Yorkcoco) 15 Feb Done"/>
    <s v="Kitchenaid Pro 600"/>
    <d v="2018-03-03T00:00:00"/>
    <m/>
    <d v="2018-01-11T00:00:00"/>
    <x v="2"/>
    <n v="1"/>
    <d v="2018-03-03T00:00:00"/>
    <n v="3"/>
    <n v="50"/>
  </r>
  <r>
    <n v="27"/>
    <s v="Done"/>
    <x v="17"/>
    <x v="2"/>
    <x v="3"/>
    <s v="Red Scale (Yorkcoco)"/>
    <s v="Effiehandmade Quilted Makeup Roll"/>
    <d v="2018-03-03T00:00:00"/>
    <m/>
    <d v="2018-01-11T00:00:00"/>
    <x v="2"/>
    <n v="1"/>
    <d v="2018-03-03T00:00:00"/>
    <m/>
    <n v="30"/>
  </r>
  <r>
    <n v="28"/>
    <s v="Done"/>
    <x v="18"/>
    <x v="1"/>
    <x v="2"/>
    <s v="Green Anchor &amp; Pink Coral Shape (3Rd Week Feb - Finished On 19 Feb)"/>
    <s v="Ka Turquoise"/>
    <d v="2018-02-20T00:00:00"/>
    <m/>
    <d v="2018-01-23T00:00:00"/>
    <x v="2"/>
    <n v="1"/>
    <d v="2018-02-20T00:00:00"/>
    <n v="3.9"/>
    <n v="55"/>
  </r>
  <r>
    <n v="29"/>
    <s v="Done"/>
    <x v="19"/>
    <x v="1"/>
    <x v="2"/>
    <s v="Turquoise Print From Amma  - Old One"/>
    <s v="Readymade"/>
    <d v="2018-02-19T00:00:00"/>
    <s v="Cash"/>
    <d v="2018-02-13T00:00:00"/>
    <x v="2"/>
    <n v="2"/>
    <d v="2018-02-19T00:00:00"/>
    <s v="Self collect"/>
    <n v="40"/>
  </r>
  <r>
    <n v="30"/>
    <s v="Done"/>
    <x v="20"/>
    <x v="1"/>
    <x v="13"/>
    <s v="Rainbow Scale (Yorkcoco)"/>
    <s v="Kitchenaid Pro Plus"/>
    <d v="2018-04-03T00:00:00"/>
    <m/>
    <d v="2018-02-13T00:00:00"/>
    <x v="2"/>
    <n v="2"/>
    <d v="2018-03-20T00:00:00"/>
    <s v="With Janie"/>
    <n v="40"/>
  </r>
  <r>
    <n v="31"/>
    <s v="Done"/>
    <x v="20"/>
    <x v="5"/>
    <x v="14"/>
    <s v="Rainbow Scale (Yorkcoco)"/>
    <s v="Everyday Tote - 6 Inh Base? 12 Inch Strap Drop"/>
    <d v="2018-04-03T00:00:00"/>
    <m/>
    <d v="2018-02-13T00:00:00"/>
    <x v="2"/>
    <n v="2"/>
    <d v="2018-03-20T00:00:00"/>
    <s v="With Janie"/>
    <n v="50"/>
  </r>
  <r>
    <n v="32"/>
    <s v="Done"/>
    <x v="21"/>
    <x v="6"/>
    <x v="15"/>
    <s v="White Polka Dots On Red"/>
    <s v="Oven Cover - 40L Same Brand As Sis?"/>
    <d v="2018-05-05T00:00:00"/>
    <m/>
    <d v="2018-02-13T00:00:00"/>
    <x v="2"/>
    <n v="2"/>
    <d v="2018-05-05T00:00:00"/>
    <m/>
    <n v="38"/>
  </r>
  <r>
    <n v="33"/>
    <s v="Done"/>
    <x v="21"/>
    <x v="6"/>
    <x v="15"/>
    <s v="White Polka Dots On Red"/>
    <s v="Microwave"/>
    <d v="2018-05-05T00:00:00"/>
    <m/>
    <d v="2018-02-13T00:00:00"/>
    <x v="2"/>
    <n v="2"/>
    <d v="2018-05-05T00:00:00"/>
    <m/>
    <n v="37"/>
  </r>
  <r>
    <n v="34"/>
    <s v="Done"/>
    <x v="21"/>
    <x v="6"/>
    <x v="15"/>
    <s v="White Polka Dots On Red"/>
    <s v="Grinder"/>
    <d v="2018-05-05T00:00:00"/>
    <m/>
    <d v="2018-02-13T00:00:00"/>
    <x v="2"/>
    <n v="2"/>
    <d v="2018-05-05T00:00:00"/>
    <m/>
    <n v="35"/>
  </r>
  <r>
    <n v="35"/>
    <s v="Done"/>
    <x v="22"/>
    <x v="1"/>
    <x v="2"/>
    <s v="Orange/ Yellow Chevron Print"/>
    <s v="Orange Ka Confirmed"/>
    <d v="2018-03-20T00:00:00"/>
    <s v="Cash"/>
    <d v="2018-02-14T00:00:00"/>
    <x v="2"/>
    <n v="2"/>
    <d v="2018-03-20T00:00:00"/>
    <s v="Self collect"/>
    <n v="40"/>
  </r>
  <r>
    <n v="36"/>
    <s v="Done"/>
    <x v="22"/>
    <x v="1"/>
    <x v="16"/>
    <s v="Orange/ Yellow Chevron Print"/>
    <s v="Mayer Breadmaker Mmbm12"/>
    <d v="2018-03-20T00:00:00"/>
    <m/>
    <d v="2018-03-02T00:00:00"/>
    <x v="2"/>
    <n v="3"/>
    <d v="2018-03-20T00:00:00"/>
    <m/>
    <n v="40"/>
  </r>
  <r>
    <n v="37"/>
    <s v="Done"/>
    <x v="23"/>
    <x v="1"/>
    <x v="2"/>
    <s v="Pink With Drawn Flowers &amp; Purple Print Frm India"/>
    <s v="Ka Yellow"/>
    <d v="2018-06-02T00:00:00"/>
    <m/>
    <d v="2018-03-06T00:00:00"/>
    <x v="2"/>
    <n v="3"/>
    <d v="2018-06-04T00:00:00"/>
    <n v="3.94"/>
    <n v="41"/>
  </r>
  <r>
    <n v="38"/>
    <s v="Done"/>
    <x v="24"/>
    <x v="1"/>
    <x v="17"/>
    <s v="Cherry Print From Tracey Yong"/>
    <s v="Philips Hr-7920"/>
    <d v="2018-06-08T00:00:00"/>
    <s v="Cash"/>
    <d v="2018-03-10T00:00:00"/>
    <x v="2"/>
    <n v="3"/>
    <d v="2018-06-08T00:00:00"/>
    <s v="Self collect"/>
    <n v="40"/>
  </r>
  <r>
    <n v="39"/>
    <s v="Done"/>
    <x v="24"/>
    <x v="1"/>
    <x v="18"/>
    <s v="Cherry Print From Tracey Yong"/>
    <s v="Ka Diamond Blender 5Ksb1585 "/>
    <d v="2018-06-08T00:00:00"/>
    <m/>
    <d v="2018-03-12T00:00:00"/>
    <x v="2"/>
    <n v="3"/>
    <d v="2018-06-08T00:00:00"/>
    <m/>
    <n v="40"/>
  </r>
  <r>
    <n v="40"/>
    <s v="Done"/>
    <x v="25"/>
    <x v="1"/>
    <x v="2"/>
    <s v="Pink With Rainbow Flags"/>
    <s v="Kitchenaid Artisan"/>
    <d v="2018-06-17T00:00:00"/>
    <s v="Cash"/>
    <d v="2018-03-15T00:00:00"/>
    <x v="2"/>
    <n v="3"/>
    <d v="2018-03-20T00:00:00"/>
    <s v="Self collect"/>
    <n v="40"/>
  </r>
  <r>
    <n v="41"/>
    <s v="Done"/>
    <x v="26"/>
    <x v="1"/>
    <x v="2"/>
    <s v="Orange/ Yellow Chevron Print"/>
    <s v="Kitchenaid Classic (Same As Artisan)"/>
    <d v="2018-06-04T00:00:00"/>
    <m/>
    <d v="2018-03-18T00:00:00"/>
    <x v="2"/>
    <n v="3"/>
    <d v="2018-06-04T00:00:00"/>
    <n v="3.94"/>
    <n v="41"/>
  </r>
  <r>
    <n v="42"/>
    <s v="Done"/>
    <x v="27"/>
    <x v="1"/>
    <x v="2"/>
    <s v="Pink/ Light Blue Flowery Print With Ammas Green Big Polka Dots"/>
    <s v="Electrolux Ekm4000 (Same As Ka)"/>
    <d v="2018-06-21T00:00:00"/>
    <s v="Account"/>
    <d v="2018-05-05T00:00:00"/>
    <x v="2"/>
    <n v="5"/>
    <d v="2018-06-21T00:00:00"/>
    <n v="4.5"/>
    <n v="43"/>
  </r>
  <r>
    <n v="43"/>
    <s v="Done"/>
    <x v="27"/>
    <x v="7"/>
    <x v="19"/>
    <s v="Green Base With Pink Flowers Canvas"/>
    <s v="Cd Player"/>
    <d v="2018-06-21T00:00:00"/>
    <s v="Account"/>
    <d v="2018-06-15T00:00:00"/>
    <x v="2"/>
    <n v="6"/>
    <d v="2018-06-21T00:00:00"/>
    <m/>
    <n v="35"/>
  </r>
  <r>
    <n v="44"/>
    <s v="Done"/>
    <x v="27"/>
    <x v="7"/>
    <x v="19"/>
    <m/>
    <s v="Cd Player Base"/>
    <d v="2018-06-21T00:00:00"/>
    <s v="Account"/>
    <d v="2018-06-15T00:00:00"/>
    <x v="2"/>
    <n v="6"/>
    <d v="2018-06-21T00:00:00"/>
    <m/>
    <n v="8"/>
  </r>
  <r>
    <n v="45"/>
    <s v="Done"/>
    <x v="27"/>
    <x v="7"/>
    <x v="19"/>
    <s v="Green Base With Pink Flowers Canvas - Alteration Reqd - Cutout At Back With Elastic"/>
    <s v="Cd Player"/>
    <d v="2018-07-03T00:00:00"/>
    <s v="Account"/>
    <d v="2018-07-02T00:00:00"/>
    <x v="2"/>
    <n v="7"/>
    <d v="2018-07-04T00:00:00"/>
    <n v="1.7"/>
    <n v="3"/>
  </r>
  <r>
    <n v="46"/>
    <s v="Done"/>
    <x v="28"/>
    <x v="1"/>
    <x v="20"/>
    <s v="Fabric Sent On 20 June"/>
    <s v="Ka Mini. Told Her I Will B Bak In Midjune"/>
    <m/>
    <m/>
    <d v="2018-05-06T00:00:00"/>
    <x v="2"/>
    <n v="5"/>
    <d v="2018-07-27T00:00:00"/>
    <n v="4"/>
    <n v="26"/>
  </r>
  <r>
    <n v="47"/>
    <s v="Done"/>
    <x v="28"/>
    <x v="8"/>
    <x v="21"/>
    <s v="Fabric Sent On 20 June"/>
    <s v="Double Oven Mitts"/>
    <m/>
    <m/>
    <d v="2018-07-06T00:00:00"/>
    <x v="2"/>
    <n v="7"/>
    <m/>
    <m/>
    <n v="15"/>
  </r>
  <r>
    <n v="48"/>
    <s v="Done"/>
    <x v="9"/>
    <x v="5"/>
    <x v="14"/>
    <s v="Purple Shell (Yorkcoco) &amp; Hot Pnk Canvas"/>
    <s v="Everyday Tote For Diaper Bag Or Other Pattern?"/>
    <d v="2018-08-14T00:00:00"/>
    <m/>
    <m/>
    <x v="2"/>
    <m/>
    <d v="2018-08-12T00:00:00"/>
    <m/>
    <n v="50"/>
  </r>
  <r>
    <n v="49"/>
    <s v="Done"/>
    <x v="29"/>
    <x v="0"/>
    <x v="7"/>
    <s v="Red Paisley Like Ammas"/>
    <s v="Paid Already - $20"/>
    <d v="2018-05-30T00:00:00"/>
    <m/>
    <d v="2018-05-30T00:00:00"/>
    <x v="2"/>
    <n v="5"/>
    <d v="2018-07-15T00:00:00"/>
    <m/>
    <n v="20"/>
  </r>
  <r>
    <n v="50"/>
    <s v="Done"/>
    <x v="30"/>
    <x v="0"/>
    <x v="7"/>
    <s v="2 Pouches - 1 Red Shells Like Ammas &amp; Gold Flowers On Navy Blue"/>
    <s v="Sent With Amma On 4Th July 2018"/>
    <m/>
    <m/>
    <d v="2018-05-30T00:00:00"/>
    <x v="2"/>
    <n v="5"/>
    <d v="2018-07-15T00:00:00"/>
    <m/>
    <n v="20"/>
  </r>
  <r>
    <n v="51"/>
    <s v="Done"/>
    <x v="31"/>
    <x v="0"/>
    <x v="7"/>
    <s v="Yellow Butterflies On Red"/>
    <s v="Sent With Amma On 4Th July 2018"/>
    <s v="Amma gave me money"/>
    <m/>
    <d v="2018-05-30T00:00:00"/>
    <x v="2"/>
    <n v="5"/>
    <d v="2018-07-15T00:00:00"/>
    <m/>
    <n v="20"/>
  </r>
  <r>
    <n v="52"/>
    <s v="Done"/>
    <x v="31"/>
    <x v="0"/>
    <x v="7"/>
    <s v="Gold Flowers On Navy Blue"/>
    <s v="Sent With Amma On 4Th July 2018"/>
    <s v="Amma gave me money"/>
    <m/>
    <d v="2018-05-30T00:00:00"/>
    <x v="2"/>
    <n v="5"/>
    <d v="2018-07-15T00:00:00"/>
    <m/>
    <n v="20"/>
  </r>
  <r>
    <n v="53"/>
    <s v="Done"/>
    <x v="32"/>
    <x v="1"/>
    <x v="22"/>
    <s v="Red And Green Mix Fabric"/>
    <s v="Brandt Stand Mixer - Km1557Bg"/>
    <s v="completed 21 sept. shes bak in 21 oct"/>
    <m/>
    <d v="2018-08-11T00:00:00"/>
    <x v="2"/>
    <n v="8"/>
    <d v="2018-10-02T00:00:00"/>
    <s v="Self collect"/>
    <n v="65"/>
  </r>
  <r>
    <n v="54"/>
    <s v="Done"/>
    <x v="33"/>
    <x v="9"/>
    <x v="23"/>
    <s v="Dozen Cookie Bars"/>
    <s v="Gave 14 Pieces Coz They Were Flat Lol"/>
    <d v="2018-09-11T00:00:00"/>
    <m/>
    <d v="2018-09-07T00:00:00"/>
    <x v="2"/>
    <n v="9"/>
    <d v="2018-09-11T00:00:00"/>
    <m/>
    <n v="12"/>
  </r>
  <r>
    <n v="55"/>
    <s v="Done"/>
    <x v="34"/>
    <x v="10"/>
    <x v="24"/>
    <s v="Yellow Orange Chevron"/>
    <s v="Chapati Cover With Flaps"/>
    <m/>
    <s v="Cash"/>
    <d v="2018-09-28T00:00:00"/>
    <x v="2"/>
    <n v="9"/>
    <d v="2018-10-05T00:00:00"/>
    <s v="Self collect"/>
    <n v="15"/>
  </r>
  <r>
    <n v="56"/>
    <s v="Done"/>
    <x v="34"/>
    <x v="10"/>
    <x v="24"/>
    <s v="Yellow Orange Chevron"/>
    <s v="Chapati Cover With Flaps"/>
    <m/>
    <s v="Cash"/>
    <d v="2018-10-05T00:00:00"/>
    <x v="2"/>
    <n v="10"/>
    <d v="2019-02-02T00:00:00"/>
    <s v="Self collect"/>
    <n v="15"/>
  </r>
  <r>
    <n v="57"/>
    <s v="Done"/>
    <x v="34"/>
    <x v="10"/>
    <x v="24"/>
    <s v="Yellow Orange Chevron"/>
    <s v="Chapati Cover With Flaps"/>
    <m/>
    <s v="Cash"/>
    <d v="2018-10-05T00:00:00"/>
    <x v="2"/>
    <n v="10"/>
    <d v="2019-02-02T00:00:00"/>
    <s v="Self collect"/>
    <n v="15"/>
  </r>
  <r>
    <n v="58"/>
    <s v="Done"/>
    <x v="34"/>
    <x v="10"/>
    <x v="24"/>
    <s v="Yellow Orange Chevron"/>
    <s v="Chapati Cover With Flaps"/>
    <m/>
    <s v="Cash"/>
    <d v="2018-10-05T00:00:00"/>
    <x v="2"/>
    <n v="10"/>
    <d v="2019-02-02T00:00:00"/>
    <s v="Self collect"/>
    <n v="15"/>
  </r>
  <r>
    <n v="59"/>
    <s v="Done"/>
    <x v="34"/>
    <x v="10"/>
    <x v="24"/>
    <s v="Yellow Chevron"/>
    <s v="Chapati Cover With Flaps"/>
    <m/>
    <s v="Cash"/>
    <d v="2018-10-05T00:00:00"/>
    <x v="2"/>
    <n v="10"/>
    <d v="2019-02-02T00:00:00"/>
    <s v="Self collect"/>
    <n v="15"/>
  </r>
  <r>
    <n v="60"/>
    <s v="Done"/>
    <x v="34"/>
    <x v="10"/>
    <x v="24"/>
    <s v="Black Print India"/>
    <s v="Chapati Cover With Flaps"/>
    <m/>
    <s v="Cash"/>
    <d v="2018-10-05T00:00:00"/>
    <x v="2"/>
    <n v="10"/>
    <d v="2019-02-02T00:00:00"/>
    <s v="Self collect"/>
    <n v="15"/>
  </r>
  <r>
    <n v="61"/>
    <s v="Done"/>
    <x v="34"/>
    <x v="10"/>
    <x v="24"/>
    <s v="Abstract Print Cottonhouse"/>
    <s v="Chapati Cover With Flaps"/>
    <m/>
    <s v="Cash"/>
    <d v="2018-10-05T00:00:00"/>
    <x v="2"/>
    <n v="10"/>
    <d v="2019-02-02T00:00:00"/>
    <s v="Self collect"/>
    <n v="15"/>
  </r>
  <r>
    <n v="62"/>
    <s v="Done"/>
    <x v="34"/>
    <x v="10"/>
    <x v="24"/>
    <s v="Abstract Print Cottonhouse"/>
    <s v="Chapati Cover With Flaps"/>
    <m/>
    <s v="Cash"/>
    <d v="2018-10-05T00:00:00"/>
    <x v="2"/>
    <n v="10"/>
    <d v="2019-02-02T00:00:00"/>
    <s v="Self collect"/>
    <n v="15"/>
  </r>
  <r>
    <n v="63"/>
    <s v="Done"/>
    <x v="35"/>
    <x v="11"/>
    <x v="25"/>
    <s v="Green Paisley/ Grey Polka Dot  "/>
    <s v="Yoga Mat Cover With Lining. Maduka Brand Yoga Mat. 76&quot; By 26&quot;. 7 Inch Diameter"/>
    <m/>
    <s v="Cash"/>
    <d v="2018-10-13T00:00:00"/>
    <x v="2"/>
    <n v="10"/>
    <d v="2018-10-30T00:00:00"/>
    <s v="Self collect"/>
    <n v="23"/>
  </r>
  <r>
    <n v="64"/>
    <s v="Done"/>
    <x v="35"/>
    <x v="0"/>
    <x v="26"/>
    <s v="Rainbow Shells &amp; Chinese Red Flowers"/>
    <s v="Privacy Pouch"/>
    <m/>
    <s v="Cash"/>
    <d v="2018-10-13T00:00:00"/>
    <x v="2"/>
    <n v="10"/>
    <d v="2018-10-30T00:00:00"/>
    <s v="Self collect"/>
    <n v="8"/>
  </r>
  <r>
    <n v="65"/>
    <s v="Done"/>
    <x v="36"/>
    <x v="0"/>
    <x v="0"/>
    <s v="Turquoise Color With Flowers"/>
    <s v="Diaper Pouch"/>
    <m/>
    <s v="Cash"/>
    <d v="2018-10-06T00:00:00"/>
    <x v="2"/>
    <n v="10"/>
    <d v="2018-11-08T00:00:00"/>
    <s v="Self collect"/>
    <n v="8"/>
  </r>
  <r>
    <n v="66"/>
    <s v="Done"/>
    <x v="36"/>
    <x v="3"/>
    <x v="27"/>
    <s v="White With Purple Accent"/>
    <s v="Hanging Basket"/>
    <m/>
    <s v="Cash"/>
    <d v="2018-10-06T00:00:00"/>
    <x v="2"/>
    <n v="10"/>
    <d v="2018-11-08T00:00:00"/>
    <s v="Self collect"/>
    <n v="13"/>
  </r>
  <r>
    <n v="67"/>
    <s v="Done"/>
    <x v="37"/>
    <x v="0"/>
    <x v="1"/>
    <s v="Minnie Mouse"/>
    <s v="2 Phone Charger Pouch"/>
    <m/>
    <s v="Account"/>
    <d v="2018-12-02T00:00:00"/>
    <x v="2"/>
    <n v="12"/>
    <d v="2019-01-11T00:00:00"/>
    <n v="1"/>
    <n v="8"/>
  </r>
  <r>
    <n v="68"/>
    <s v="Done"/>
    <x v="38"/>
    <x v="11"/>
    <x v="25"/>
    <s v="Ikea Fabric With Yellow Chevron Lining"/>
    <s v="Yoga Mat Cover"/>
    <d v="2019-01-10T00:00:00"/>
    <s v="Paylah"/>
    <d v="2018-12-14T00:00:00"/>
    <x v="2"/>
    <n v="12"/>
    <d v="2019-01-11T00:00:00"/>
    <n v="1"/>
    <n v="20"/>
  </r>
  <r>
    <n v="69"/>
    <s v="Done"/>
    <x v="39"/>
    <x v="1"/>
    <x v="28"/>
    <s v="Anchor Green And Pink Dot Lining"/>
    <s v="Kenwood Kvl4100S"/>
    <s v="registered was for $3.94"/>
    <s v="Paylah"/>
    <d v="2018-12-16T00:00:00"/>
    <x v="2"/>
    <n v="12"/>
    <d v="2019-01-15T00:00:00"/>
    <n v="5"/>
    <n v="50"/>
  </r>
  <r>
    <n v="70"/>
    <s v="Done"/>
    <x v="40"/>
    <x v="1"/>
    <x v="29"/>
    <s v="Light Bue Floral From Smh"/>
    <s v="Kenwood Patissier Km270W"/>
    <s v="registered was for $3.94"/>
    <s v="Paylah"/>
    <d v="2019-01-15T00:00:00"/>
    <x v="3"/>
    <n v="1"/>
    <d v="2019-01-28T00:00:00"/>
    <n v="5"/>
    <n v="38"/>
  </r>
  <r>
    <n v="71"/>
    <s v="Done"/>
    <x v="41"/>
    <x v="1"/>
    <x v="2"/>
    <s v="Blue Steps Print From Amma"/>
    <s v="Ka"/>
    <d v="2019-06-01T00:00:00"/>
    <s v="Paylah"/>
    <d v="2019-05-21T00:00:00"/>
    <x v="3"/>
    <n v="5"/>
    <d v="2019-06-03T00:00:00"/>
    <n v="4"/>
    <n v="40"/>
  </r>
  <r>
    <n v="72"/>
    <s v="Done"/>
    <x v="42"/>
    <x v="1"/>
    <x v="2"/>
    <s v="Pink Flowers On Cream (Cross Hatch Quilting) - $38+$5"/>
    <s v="Ka"/>
    <s v="registered was for $3.94"/>
    <s v="Account"/>
    <d v="2019-02-05T00:00:00"/>
    <x v="3"/>
    <n v="2"/>
    <d v="2019-02-12T00:00:00"/>
    <n v="4"/>
    <n v="42"/>
  </r>
  <r>
    <n v="73"/>
    <s v="Done"/>
    <x v="43"/>
    <x v="11"/>
    <x v="30"/>
    <s v="Denim"/>
    <s v="Manduka Mat 28 Inches Wide"/>
    <m/>
    <s v="Cash"/>
    <d v="2019-03-09T00:00:00"/>
    <x v="3"/>
    <n v="3"/>
    <d v="2019-03-23T00:00:00"/>
    <s v="Self collect"/>
    <n v="38"/>
  </r>
  <r>
    <n v="74"/>
    <s v="Done"/>
    <x v="44"/>
    <x v="11"/>
    <x v="31"/>
    <s v="Pink With White Tulips"/>
    <s v="Yoga Mat Bag With Pocket And Lining"/>
    <d v="2019-03-30T00:00:00"/>
    <s v="Paylah"/>
    <d v="2019-03-28T00:00:00"/>
    <x v="3"/>
    <n v="3"/>
    <d v="2019-04-04T00:00:00"/>
    <n v="1.7"/>
    <n v="36"/>
  </r>
  <r>
    <n v="75"/>
    <s v="Done"/>
    <x v="45"/>
    <x v="1"/>
    <x v="32"/>
    <s v="India - Black With Pink Paisley"/>
    <s v="Bosch Mum Mixer Mumxl20C"/>
    <d v="2019-04-29T00:00:00"/>
    <s v="Paylah"/>
    <d v="2019-04-11T00:00:00"/>
    <x v="3"/>
    <n v="4"/>
    <d v="2019-04-29T00:00:00"/>
    <n v="5"/>
    <n v="45"/>
  </r>
  <r>
    <n v="76"/>
    <s v="Done"/>
    <x v="46"/>
    <x v="1"/>
    <x v="2"/>
    <s v="Small Red Flowers On Black Bg"/>
    <s v="Ka150"/>
    <d v="2019-07-26T00:00:00"/>
    <s v="Paylah"/>
    <d v="2019-07-17T00:00:00"/>
    <x v="3"/>
    <n v="7"/>
    <d v="2019-07-29T00:00:00"/>
    <n v="2"/>
    <n v="38"/>
  </r>
  <r>
    <n v="77"/>
    <s v="Done"/>
    <x v="47"/>
    <x v="1"/>
    <x v="33"/>
    <s v="Vinyl"/>
    <s v="Kenwood Xl Sense"/>
    <d v="2019-09-25T00:00:00"/>
    <s v="Paynow"/>
    <d v="2019-09-14T00:00:00"/>
    <x v="3"/>
    <n v="9"/>
    <d v="2019-10-05T00:00:00"/>
    <s v="Self collect"/>
    <n v="30"/>
  </r>
  <r>
    <n v="78"/>
    <s v="Done"/>
    <x v="48"/>
    <x v="1"/>
    <x v="12"/>
    <s v="Red Circles On Blue - Amma- Finished By 18Th Oct"/>
    <s v="Kitchenaid Professional 7Qt"/>
    <d v="2019-10-04T00:00:00"/>
    <s v="Paylah"/>
    <d v="2019-10-02T00:00:00"/>
    <x v="3"/>
    <n v="10"/>
    <d v="2019-10-29T00:00:00"/>
    <n v="5"/>
    <n v="55"/>
  </r>
  <r>
    <n v="79"/>
    <s v="Done"/>
    <x v="48"/>
    <x v="1"/>
    <x v="17"/>
    <s v="Red Circles On Blue - Amma- Finished By 18Th Oct"/>
    <s v="Philips Hr-7920"/>
    <d v="2019-10-29T00:00:00"/>
    <s v="Paylah"/>
    <d v="2019-10-02T00:00:00"/>
    <x v="3"/>
    <n v="10"/>
    <d v="2019-10-29T00:00:00"/>
    <m/>
    <n v="38"/>
  </r>
  <r>
    <n v="80"/>
    <s v="Done"/>
    <x v="49"/>
    <x v="1"/>
    <x v="2"/>
    <s v="Peach Flowers On White Canvas - Bah"/>
    <s v="Ka Black"/>
    <d v="2019-11-01T00:00:00"/>
    <s v="Paynow"/>
    <d v="2019-10-21T00:00:00"/>
    <x v="3"/>
    <n v="10"/>
    <d v="2019-11-02T00:00:00"/>
    <n v="4"/>
    <n v="45"/>
  </r>
  <r>
    <n v="81"/>
    <s v="Done"/>
    <x v="50"/>
    <x v="1"/>
    <x v="34"/>
    <s v="Mint Green/ Grey Plain"/>
    <s v="Kenwood Xl Sense"/>
    <d v="2019-11-11T00:00:00"/>
    <s v="Paylah"/>
    <d v="2019-10-28T00:00:00"/>
    <x v="3"/>
    <n v="10"/>
    <d v="2019-11-12T00:00:00"/>
    <n v="4"/>
    <n v="55"/>
  </r>
  <r>
    <n v="82"/>
    <s v="Done"/>
    <x v="51"/>
    <x v="0"/>
    <x v="1"/>
    <s v="8 Covers - Easy Pouch With The Straps - $4 Each"/>
    <s v="Easy Phone Charger Cover - 5 Boys, 3 Girls"/>
    <d v="2019-11-25T00:00:00"/>
    <s v="Cash"/>
    <d v="2019-11-13T00:00:00"/>
    <x v="3"/>
    <n v="11"/>
    <m/>
    <m/>
    <n v="32"/>
  </r>
  <r>
    <n v="83"/>
    <s v="Done"/>
    <x v="52"/>
    <x v="1"/>
    <x v="2"/>
    <s v="Red And White Stripes - Confirmed Due Date And Fabrc On 3 Dec)"/>
    <s v="Ka Artisan"/>
    <s v="ready on 27 dec 19. asked to hold. Msgd again 16 jan, 25 jan. Paid $130 on 4th Feb 2020. Postage was$7 but she paid $5."/>
    <s v="Paynow"/>
    <d v="2019-11-20T00:00:00"/>
    <x v="3"/>
    <n v="11"/>
    <d v="2020-02-05T00:00:00"/>
    <n v="7"/>
    <n v="45"/>
  </r>
  <r>
    <n v="84"/>
    <s v="Done"/>
    <x v="52"/>
    <x v="6"/>
    <x v="35"/>
    <s v="Red And White Stripes - Confirmed Due Date And Fabrc On 3 Dec)"/>
    <s v="Oven Cover"/>
    <m/>
    <s v="Paynow"/>
    <d v="2019-11-20T00:00:00"/>
    <x v="3"/>
    <n v="11"/>
    <d v="2020-02-05T00:00:00"/>
    <m/>
    <n v="60"/>
  </r>
  <r>
    <n v="85"/>
    <s v="Done"/>
    <x v="52"/>
    <x v="8"/>
    <x v="21"/>
    <s v="Red And White Stripes - Confirmed Due Date And Fabrc On 3 Dec)"/>
    <s v="Double Oven Mitts"/>
    <m/>
    <s v="Paynow"/>
    <d v="2019-12-03T00:00:00"/>
    <x v="3"/>
    <n v="12"/>
    <d v="2020-02-05T00:00:00"/>
    <m/>
    <n v="20"/>
  </r>
  <r>
    <n v="86"/>
    <s v="Done"/>
    <x v="51"/>
    <x v="0"/>
    <x v="1"/>
    <s v="2 Covers - Easy Pouch With The Straps - $4 Each"/>
    <s v="Chinese Design"/>
    <d v="2020-01-17T00:00:00"/>
    <s v="Cash"/>
    <d v="2020-01-11T00:00:00"/>
    <x v="4"/>
    <n v="1"/>
    <d v="2020-01-17T00:00:00"/>
    <m/>
    <n v="8"/>
  </r>
  <r>
    <n v="87"/>
    <s v="Done"/>
    <x v="53"/>
    <x v="1"/>
    <x v="36"/>
    <s v="Kenwood Kmix Cover"/>
    <s v="Rain Pale Green Rain From Bah. Sent Speedpost - $6"/>
    <d v="2020-02-25T00:00:00"/>
    <s v="Paylah"/>
    <d v="2020-02-16T00:00:00"/>
    <x v="4"/>
    <n v="2"/>
    <d v="2020-03-03T00:00:00"/>
    <n v="5"/>
    <n v="45"/>
  </r>
  <r>
    <n v="88"/>
    <s v="Done"/>
    <x v="54"/>
    <x v="1"/>
    <x v="2"/>
    <s v="Vinyl With Pocket - Baby Pink Binding - Finishd 25 June 2020"/>
    <s v="Ka - Baby Pink Binding"/>
    <d v="2020-06-26T00:00:00"/>
    <s v="Paylah"/>
    <d v="2020-04-15T00:00:00"/>
    <x v="4"/>
    <n v="4"/>
    <d v="2020-06-26T00:00:00"/>
    <s v="Self collect"/>
    <n v="26"/>
  </r>
  <r>
    <n v="89"/>
    <s v="Done"/>
    <x v="55"/>
    <x v="1"/>
    <x v="2"/>
    <s v="Pink Flowers/ Dark Pink Polka. Crosshatch Quilting - Finished 15 May2020"/>
    <s v="Ka - Pink. Crosshatch Quilting - $5 Extra"/>
    <d v="2020-06-09T00:00:00"/>
    <s v="Qqexpress - Paylah"/>
    <d v="2020-05-05T00:00:00"/>
    <x v="4"/>
    <n v="5"/>
    <d v="2020-06-10T00:00:00"/>
    <n v="5"/>
    <n v="47"/>
  </r>
  <r>
    <n v="90"/>
    <s v="Done"/>
    <x v="56"/>
    <x v="1"/>
    <x v="2"/>
    <s v="Blue Flowers On White Background - Corduroy - Finished 16June"/>
    <s v="Ka- Cnfirmed Colors On 19May2020"/>
    <d v="2020-06-28T00:00:00"/>
    <s v="Qqexpress - Paylah"/>
    <d v="2020-05-11T00:00:00"/>
    <x v="4"/>
    <n v="5"/>
    <d v="2020-06-30T00:00:00"/>
    <n v="5"/>
    <n v="43"/>
  </r>
  <r>
    <n v="91"/>
    <s v="Done"/>
    <x v="56"/>
    <x v="1"/>
    <x v="2"/>
    <s v="Turquoise Bg With Small Black Circles - Finished 16June"/>
    <s v="Ka- Cnfirmed Colors On 19May2020"/>
    <d v="2020-06-28T00:00:00"/>
    <s v="Qqexpress - Paylah"/>
    <d v="2020-05-11T00:00:00"/>
    <x v="4"/>
    <n v="5"/>
    <d v="2020-06-30T00:00:00"/>
    <m/>
    <n v="43"/>
  </r>
  <r>
    <n v="92"/>
    <s v="Done"/>
    <x v="57"/>
    <x v="1"/>
    <x v="20"/>
    <s v="Vinyl With Red Binding"/>
    <s v="Kitchenaid Mini Artisan"/>
    <d v="2020-06-19T00:00:00"/>
    <s v="Cash"/>
    <d v="2020-05-11T00:00:00"/>
    <x v="4"/>
    <n v="5"/>
    <d v="2020-06-19T00:00:00"/>
    <s v="Self collect"/>
    <n v="20"/>
  </r>
  <r>
    <n v="93"/>
    <s v="Done"/>
    <x v="58"/>
    <x v="1"/>
    <x v="37"/>
    <s v="Braid Patchwork Block Flamingo, Beige"/>
    <s v="Brother A150Sewing Machine"/>
    <d v="2020-06-09T00:00:00"/>
    <s v="Qqexpress - Paylah"/>
    <d v="2020-05-11T00:00:00"/>
    <x v="4"/>
    <n v="5"/>
    <d v="2020-06-10T00:00:00"/>
    <n v="5"/>
    <n v="55"/>
  </r>
  <r>
    <n v="94"/>
    <s v="Done"/>
    <x v="59"/>
    <x v="1"/>
    <x v="2"/>
    <s v="Vinyl With Hot Pink Binding - Finishd 25 June 2020"/>
    <s v="Ka"/>
    <d v="2020-06-29T00:00:00"/>
    <s v="Paynow"/>
    <d v="2020-05-14T00:00:00"/>
    <x v="4"/>
    <n v="5"/>
    <d v="2020-06-29T00:00:00"/>
    <s v="Self collect"/>
    <n v="25"/>
  </r>
  <r>
    <n v="95"/>
    <s v="Done"/>
    <x v="60"/>
    <x v="1"/>
    <x v="38"/>
    <s v="Painted Birds/ Yellow Chevron - Pockets Front And Back"/>
    <s v="Thermomix"/>
    <d v="2020-07-14T00:00:00"/>
    <s v="Paynow"/>
    <d v="2020-05-25T00:00:00"/>
    <x v="4"/>
    <n v="5"/>
    <d v="2020-07-15T00:00:00"/>
    <n v="5"/>
    <n v="50"/>
  </r>
  <r>
    <n v="96"/>
    <s v="Done"/>
    <x v="60"/>
    <x v="1"/>
    <x v="39"/>
    <s v="Blue Flowers On White Ikea/ Dark Blue Self Dot. Pocket In Blue - Pockets On Sides"/>
    <s v="Rice Cooker"/>
    <d v="2020-07-14T00:00:00"/>
    <s v="Paynow"/>
    <d v="2020-05-25T00:00:00"/>
    <x v="4"/>
    <n v="5"/>
    <d v="2020-07-15T00:00:00"/>
    <m/>
    <n v="50"/>
  </r>
  <r>
    <n v="97"/>
    <s v="Done"/>
    <x v="60"/>
    <x v="12"/>
    <x v="40"/>
    <s v="Painted Birds/ Yellow Chevron"/>
    <s v="Apron"/>
    <d v="2020-07-14T00:00:00"/>
    <s v="Paynow"/>
    <d v="2020-06-10T00:00:00"/>
    <x v="4"/>
    <n v="6"/>
    <d v="2020-07-15T00:00:00"/>
    <m/>
    <n v="20"/>
  </r>
  <r>
    <n v="98"/>
    <s v="Done"/>
    <x v="61"/>
    <x v="1"/>
    <x v="2"/>
    <s v="Red/ White Checks."/>
    <s v="Red Ka. Made Free Bowl Cover With Same Fabric"/>
    <d v="2020-07-24T00:00:00"/>
    <s v="Paynow"/>
    <d v="2020-06-14T00:00:00"/>
    <x v="4"/>
    <n v="6"/>
    <m/>
    <m/>
    <n v="42"/>
  </r>
  <r>
    <n v="99"/>
    <s v="Done"/>
    <x v="62"/>
    <x v="0"/>
    <x v="7"/>
    <s v="Purple Flowers Like Yantis"/>
    <s v="2 Sided Zip Pouch"/>
    <d v="2020-07-24T00:00:00"/>
    <s v="Cash"/>
    <d v="2020-06-20T00:00:00"/>
    <x v="4"/>
    <n v="6"/>
    <d v="2020-07-24T00:00:00"/>
    <s v="Self collect"/>
    <n v="15"/>
  </r>
  <r>
    <n v="100"/>
    <s v="Done"/>
    <x v="59"/>
    <x v="10"/>
    <x v="24"/>
    <s v="Black Background Pretty Cupcakes Cotton"/>
    <s v="Chapathi Cover"/>
    <d v="2020-06-29T00:00:00"/>
    <s v="Paynow"/>
    <d v="2020-06-25T00:00:00"/>
    <x v="4"/>
    <n v="6"/>
    <d v="2020-06-29T00:00:00"/>
    <s v="Self collect"/>
    <n v="17"/>
  </r>
  <r>
    <n v="101"/>
    <s v="Done"/>
    <x v="59"/>
    <x v="0"/>
    <x v="1"/>
    <s v="Black Background Pretty Cupcakes Cotton"/>
    <s v="Easy Phone Charger Cover"/>
    <d v="2020-06-29T00:00:00"/>
    <s v="Paynow"/>
    <d v="2020-06-25T00:00:00"/>
    <x v="4"/>
    <n v="6"/>
    <d v="2020-06-29T00:00:00"/>
    <s v="Self collect"/>
    <n v="4"/>
  </r>
  <r>
    <n v="102"/>
    <s v="Done"/>
    <x v="63"/>
    <x v="1"/>
    <x v="17"/>
    <s v="Blue Green From Yorkcoco"/>
    <s v="Philips Hr-7920"/>
    <d v="2020-07-25T00:00:00"/>
    <s v="Paylah"/>
    <d v="2020-07-03T00:00:00"/>
    <x v="4"/>
    <n v="7"/>
    <d v="2020-07-27T00:00:00"/>
    <s v="Qexpress 5"/>
    <n v="48"/>
  </r>
  <r>
    <n v="103"/>
    <s v="Done"/>
    <x v="64"/>
    <x v="10"/>
    <x v="24"/>
    <s v="Navy Bg With Red Roses"/>
    <s v="Chapathi Cover"/>
    <d v="2020-07-25T00:00:00"/>
    <s v="Paylah"/>
    <d v="2020-07-13T00:00:00"/>
    <x v="4"/>
    <n v="7"/>
    <d v="2020-07-27T00:00:00"/>
    <s v="Qexpress 5"/>
    <n v="16"/>
  </r>
  <r>
    <n v="104"/>
    <s v="Done"/>
    <x v="64"/>
    <x v="10"/>
    <x v="24"/>
    <s v="Turquoise With Drawn Flowers"/>
    <s v="Chapathi Cover"/>
    <d v="2020-07-25T00:00:00"/>
    <s v="Paylah"/>
    <d v="2020-07-13T00:00:00"/>
    <x v="4"/>
    <n v="7"/>
    <d v="2020-07-27T00:00:00"/>
    <s v="Qexpress 5"/>
    <n v="16"/>
  </r>
  <r>
    <n v="105"/>
    <s v="Done"/>
    <x v="21"/>
    <x v="0"/>
    <x v="41"/>
    <s v="Blue Fabric From Aliexpress"/>
    <s v=""/>
    <d v="2020-10-15T00:00:00"/>
    <m/>
    <d v="2020-08-08T00:00:00"/>
    <x v="4"/>
    <n v="8"/>
    <d v="2021-01-05T00:00:00"/>
    <s v="Reg Singpost"/>
    <n v="16"/>
  </r>
  <r>
    <n v="106"/>
    <s v="Done"/>
    <x v="21"/>
    <x v="13"/>
    <x v="42"/>
    <s v="Autumn Leaves"/>
    <s v="Lindshandmade"/>
    <d v="2020-10-16T00:00:00"/>
    <m/>
    <d v="2020-08-08T00:00:00"/>
    <x v="4"/>
    <n v="8"/>
    <d v="2021-01-05T00:00:00"/>
    <s v="Reg Singpost"/>
    <n v="25"/>
  </r>
  <r>
    <n v="107"/>
    <s v="Done"/>
    <x v="65"/>
    <x v="10"/>
    <x v="24"/>
    <s v="Orange Patchwork Amma"/>
    <s v="Used Ribbon To Cover Edges"/>
    <d v="2020-09-16T00:00:00"/>
    <m/>
    <d v="2020-09-07T00:00:00"/>
    <x v="4"/>
    <n v="9"/>
    <d v="2020-09-17T00:00:00"/>
    <s v="Qexpress 5"/>
    <n v="15"/>
  </r>
  <r>
    <n v="108"/>
    <s v="Done"/>
    <x v="66"/>
    <x v="8"/>
    <x v="21"/>
    <s v="Black Bg With Multicolor Hearts"/>
    <s v="Old One With Yellow Binding"/>
    <d v="2020-10-11T00:00:00"/>
    <s v="Paylah"/>
    <d v="2020-10-11T00:00:00"/>
    <x v="4"/>
    <n v="10"/>
    <d v="2020-10-12T00:00:00"/>
    <s v="Singpost 1.5"/>
    <n v="11"/>
  </r>
  <r>
    <n v="109"/>
    <s v="Done"/>
    <x v="20"/>
    <x v="12"/>
    <x v="40"/>
    <s v="Baking Fabric"/>
    <s v="Jordan Fabric Apron Tutorial"/>
    <d v="2020-12-08T00:00:00"/>
    <m/>
    <d v="2020-11-20T00:00:00"/>
    <x v="4"/>
    <n v="11"/>
    <d v="2021-01-05T00:00:00"/>
    <s v="Reg Singpost"/>
    <n v="25"/>
  </r>
  <r>
    <n v="110"/>
    <s v="Done"/>
    <x v="45"/>
    <x v="1"/>
    <x v="8"/>
    <s v="Pink Gold Big Shell"/>
    <s v="Nescafe Dolce Gusto Piccolo Xs"/>
    <d v="2020-12-29T00:00:00"/>
    <s v="Paylah"/>
    <d v="2020-12-12T00:00:00"/>
    <x v="4"/>
    <n v="12"/>
    <d v="2020-12-31T00:00:00"/>
    <s v="Qexpress 5"/>
    <n v="28"/>
  </r>
  <r>
    <n v="111"/>
    <s v="Done"/>
    <x v="45"/>
    <x v="1"/>
    <x v="32"/>
    <s v="Pink Gold Big Shell"/>
    <s v="Bosch Mum Mixer Mumxl20C"/>
    <d v="2020-12-29T00:00:00"/>
    <s v="Paylah"/>
    <d v="2020-12-12T00:00:00"/>
    <x v="4"/>
    <n v="12"/>
    <d v="2020-12-31T00:00:00"/>
    <s v="Qexpress 5"/>
    <n v="42"/>
  </r>
  <r>
    <m/>
    <m/>
    <x v="67"/>
    <x v="14"/>
    <x v="43"/>
    <m/>
    <m/>
    <m/>
    <m/>
    <m/>
    <x v="5"/>
    <m/>
    <m/>
    <m/>
    <m/>
  </r>
  <r>
    <m/>
    <m/>
    <x v="67"/>
    <x v="14"/>
    <x v="43"/>
    <m/>
    <m/>
    <m/>
    <m/>
    <m/>
    <x v="5"/>
    <m/>
    <m/>
    <m/>
    <m/>
  </r>
  <r>
    <m/>
    <m/>
    <x v="67"/>
    <x v="14"/>
    <x v="43"/>
    <m/>
    <m/>
    <m/>
    <m/>
    <m/>
    <x v="5"/>
    <m/>
    <s v="Total"/>
    <n v="131.66"/>
    <n v="3489"/>
  </r>
  <r>
    <m/>
    <m/>
    <x v="67"/>
    <x v="14"/>
    <x v="43"/>
    <m/>
    <m/>
    <m/>
    <m/>
    <m/>
    <x v="5"/>
    <m/>
    <s v="Count"/>
    <m/>
    <n v="110"/>
  </r>
  <r>
    <m/>
    <m/>
    <x v="67"/>
    <x v="14"/>
    <x v="43"/>
    <m/>
    <m/>
    <m/>
    <m/>
    <m/>
    <x v="5"/>
    <m/>
    <m/>
    <m/>
    <m/>
  </r>
  <r>
    <m/>
    <m/>
    <x v="67"/>
    <x v="14"/>
    <x v="43"/>
    <m/>
    <m/>
    <m/>
    <m/>
    <m/>
    <x v="5"/>
    <m/>
    <m/>
    <m/>
    <m/>
  </r>
  <r>
    <m/>
    <m/>
    <x v="67"/>
    <x v="14"/>
    <x v="43"/>
    <m/>
    <m/>
    <m/>
    <m/>
    <m/>
    <x v="5"/>
    <m/>
    <m/>
    <m/>
    <m/>
  </r>
  <r>
    <m/>
    <m/>
    <x v="67"/>
    <x v="14"/>
    <x v="43"/>
    <m/>
    <m/>
    <m/>
    <m/>
    <m/>
    <x v="5"/>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
    <s v="Done"/>
    <s v="etaneja18"/>
    <x v="0"/>
    <s v="Diaper Pouch"/>
    <s v="Blue Elephant"/>
    <s v="Diaper Pouch"/>
    <d v="2017-09-30T00:00:00"/>
    <m/>
    <d v="2017-08-24T00:00:00"/>
    <x v="0"/>
    <n v="8"/>
    <d v="2017-09-06T00:00:00"/>
    <n v="1.1499999999999999"/>
    <n v="5"/>
    <x v="0"/>
  </r>
  <r>
    <n v="2"/>
    <s v="Done"/>
    <s v="etaneja18"/>
    <x v="0"/>
    <s v="Phone Charger Pouch"/>
    <s v="Purple Fq"/>
    <s v="Pouch"/>
    <d v="2017-09-30T00:00:00"/>
    <m/>
    <d v="2017-08-24T00:00:00"/>
    <x v="0"/>
    <n v="8"/>
    <d v="2017-09-06T00:00:00"/>
    <m/>
    <n v="7"/>
    <x v="1"/>
  </r>
  <r>
    <n v="3"/>
    <s v="Done"/>
    <s v="mostuff"/>
    <x v="1"/>
    <s v="Kitchenaid Artisan less"/>
    <s v="Black And Gold Emma&amp;Mila"/>
    <s v="Purple Ka Artisan"/>
    <d v="2017-08-14T00:00:00"/>
    <s v="Cash"/>
    <d v="2017-07-22T00:00:00"/>
    <x v="0"/>
    <n v="7"/>
    <d v="2017-08-14T00:00:00"/>
    <s v="Self collect"/>
    <n v="30"/>
    <x v="2"/>
  </r>
  <r>
    <n v="4"/>
    <s v="Done"/>
    <s v="pasjelsingapore"/>
    <x v="1"/>
    <s v="Kitchenaid Artisan less"/>
    <s v="Black With Hearts"/>
    <s v="Black Ka Artisan"/>
    <d v="2017-10-05T00:00:00"/>
    <m/>
    <d v="2017-09-13T00:00:00"/>
    <x v="0"/>
    <n v="9"/>
    <d v="2017-10-06T00:00:00"/>
    <n v="1.7"/>
    <n v="30"/>
    <x v="2"/>
  </r>
  <r>
    <n v="5"/>
    <s v="Done"/>
    <s v="joycelyn.wong.10"/>
    <x v="1"/>
    <s v="Kitchenaid Artisan less"/>
    <s v="Baby Pink Chevron"/>
    <s v="Baby Pink Ka Artisan"/>
    <d v="2017-10-05T00:00:00"/>
    <m/>
    <d v="2017-09-10T00:00:00"/>
    <x v="0"/>
    <n v="9"/>
    <d v="2017-10-06T00:00:00"/>
    <n v="1.7"/>
    <n v="35"/>
    <x v="2"/>
  </r>
  <r>
    <n v="6"/>
    <s v="Done"/>
    <s v="srivithyiya"/>
    <x v="2"/>
    <s v="Quilted Makeup Brush Roll"/>
    <s v="Green Square Elite"/>
    <s v="Roll Up"/>
    <d v="2016-09-05T00:00:00"/>
    <s v="Cash"/>
    <d v="2016-08-31T00:00:00"/>
    <x v="1"/>
    <n v="8"/>
    <d v="2016-09-05T00:00:00"/>
    <s v="Self collect"/>
    <n v="12"/>
    <x v="3"/>
  </r>
  <r>
    <n v="7"/>
    <s v="Done"/>
    <s v="diva.design"/>
    <x v="3"/>
    <s v="Owl Security Blanket Crochet"/>
    <s v="Purple/Pink/White Owl Lovey"/>
    <s v="Owl Stuffie Lovey"/>
    <d v="2016-07-15T00:00:00"/>
    <s v="Cash"/>
    <d v="2016-07-14T00:00:00"/>
    <x v="1"/>
    <n v="7"/>
    <d v="2016-07-15T00:00:00"/>
    <s v="Self collect"/>
    <n v="30"/>
    <x v="4"/>
  </r>
  <r>
    <n v="8"/>
    <s v="Done"/>
    <s v="jjuly3"/>
    <x v="3"/>
    <s v="Fat Cat Crochet"/>
    <s v="Maroon"/>
    <s v="Fat Cat"/>
    <d v="2017-06-14T00:00:00"/>
    <m/>
    <d v="2016-06-13T00:00:00"/>
    <x v="1"/>
    <n v="6"/>
    <d v="2016-06-15T00:00:00"/>
    <n v="1.1499999999999999"/>
    <n v="12"/>
    <x v="5"/>
  </r>
  <r>
    <n v="9"/>
    <s v="Done"/>
    <s v="Rafidah Osan Alkhatib"/>
    <x v="3"/>
    <s v="Crochet Dress"/>
    <s v="Pink, White, Stripe"/>
    <s v="Dress"/>
    <d v="2016-05-26T00:00:00"/>
    <s v="Cash"/>
    <d v="2016-05-04T00:00:00"/>
    <x v="1"/>
    <n v="5"/>
    <d v="2016-05-26T00:00:00"/>
    <s v="Self collect"/>
    <n v="50"/>
    <x v="6"/>
  </r>
  <r>
    <n v="10"/>
    <s v="Done"/>
    <s v="doublelle"/>
    <x v="1"/>
    <s v="Kitchenaid Artisan less"/>
    <s v="Pink Flowers On White Bg"/>
    <s v="Fushia Ka Artisan"/>
    <d v="2017-11-03T00:00:00"/>
    <m/>
    <d v="2017-10-11T00:00:00"/>
    <x v="0"/>
    <n v="10"/>
    <s v="24/10/2017 &amp; 3 Nov"/>
    <n v="5.0999999999999996"/>
    <n v="30"/>
    <x v="2"/>
  </r>
  <r>
    <n v="11"/>
    <s v="Done"/>
    <s v="doublelle"/>
    <x v="0"/>
    <s v="Phone Charger Pouch"/>
    <s v="Pink Flowers On White Bg"/>
    <s v="13 Pch (1@5 &amp; 12 @ $4)"/>
    <d v="2017-11-03T00:00:00"/>
    <m/>
    <d v="2017-10-11T00:00:00"/>
    <x v="0"/>
    <n v="10"/>
    <s v="24/10/2017 &amp; 3 Nov"/>
    <m/>
    <n v="53"/>
    <x v="1"/>
  </r>
  <r>
    <n v="12"/>
    <s v="Done"/>
    <s v="Girija"/>
    <x v="0"/>
    <s v="2 sided zip pouch"/>
    <s v="Butterfly &amp; Navy Blue Pouch"/>
    <s v="2 Sided Zip Pouch"/>
    <d v="2017-11-02T00:00:00"/>
    <s v="Cash"/>
    <m/>
    <x v="0"/>
    <m/>
    <d v="2017-11-02T00:00:00"/>
    <s v="Collected by Jayaram"/>
    <n v="42"/>
    <x v="7"/>
  </r>
  <r>
    <n v="13"/>
    <s v="Done"/>
    <s v="sharonspp"/>
    <x v="1"/>
    <s v="Kitchenaid Artisan less"/>
    <s v="Green (From Smh) And Hot Pink"/>
    <s v="Crosshatch Quilt Artisan"/>
    <d v="2017-11-14T00:00:00"/>
    <m/>
    <d v="2017-11-08T00:00:00"/>
    <x v="0"/>
    <n v="11"/>
    <d v="2017-11-14T00:00:00"/>
    <n v="3.94"/>
    <n v="40"/>
    <x v="2"/>
  </r>
  <r>
    <n v="14"/>
    <s v="Done"/>
    <s v="mnm11315"/>
    <x v="1"/>
    <s v="Kitchenaid Artisan less"/>
    <s v="Pink And Gold For &lt;$25Each - Due By 6 Dec"/>
    <s v="Kitchenaid"/>
    <d v="2017-12-06T00:00:00"/>
    <s v="Cash"/>
    <d v="2017-11-08T00:00:00"/>
    <x v="0"/>
    <n v="11"/>
    <d v="2017-12-06T00:00:00"/>
    <s v="Self collect"/>
    <n v="37"/>
    <x v="2"/>
  </r>
  <r>
    <n v="15"/>
    <s v="Done"/>
    <s v="mnm11315"/>
    <x v="1"/>
    <s v="Nescafe Dolce Gusto Piccolo XS"/>
    <s v="Pink And Gold For &lt;$25Each - Due By 6 Dec"/>
    <s v="Nescafe Drop"/>
    <d v="2017-12-06T00:00:00"/>
    <s v="Cash"/>
    <d v="2017-11-08T00:00:00"/>
    <x v="0"/>
    <n v="11"/>
    <d v="2017-12-06T00:00:00"/>
    <s v="Self collect"/>
    <n v="32"/>
    <x v="8"/>
  </r>
  <r>
    <n v="16"/>
    <s v="Done"/>
    <s v="mnm11315"/>
    <x v="4"/>
    <s v="Cutlery Cover"/>
    <s v="Pink And Gold For &lt;$25Each - Due By 6 Dec"/>
    <s v="Cutlery Cover"/>
    <d v="2017-12-06T00:00:00"/>
    <s v="Cash"/>
    <d v="2017-11-08T00:00:00"/>
    <x v="0"/>
    <n v="11"/>
    <d v="2017-12-06T00:00:00"/>
    <s v="Self collect"/>
    <n v="26"/>
    <x v="9"/>
  </r>
  <r>
    <n v="17"/>
    <s v="Done"/>
    <s v="connie.chew"/>
    <x v="1"/>
    <s v="Kitchenaid Artisan less"/>
    <s v="Yellow Chevron - Before 24 Nov"/>
    <s v="Yellow Ka"/>
    <d v="2017-11-22T00:00:00"/>
    <m/>
    <d v="2017-11-10T00:00:00"/>
    <x v="0"/>
    <n v="11"/>
    <d v="2017-11-22T00:00:00"/>
    <n v="1.7"/>
    <n v="40"/>
    <x v="2"/>
  </r>
  <r>
    <n v="18"/>
    <s v="Done"/>
    <s v="throwoutfiftythings"/>
    <x v="1"/>
    <s v="Kitchenaid Artisan less"/>
    <s v="Green (From Smh) And Green Leaves With Pink Bias - Due By 9 Dec - Finishd On Time But Client Not Well"/>
    <s v="Green Ka"/>
    <d v="2018-01-11T00:00:00"/>
    <m/>
    <d v="2017-11-17T00:00:00"/>
    <x v="0"/>
    <n v="11"/>
    <d v="2018-01-12T00:00:00"/>
    <n v="3.94"/>
    <n v="40"/>
    <x v="2"/>
  </r>
  <r>
    <n v="19"/>
    <s v="Done"/>
    <s v="lionsowner3"/>
    <x v="1"/>
    <s v="Kenwood Premium Major KMM710"/>
    <s v="Green (From Smh) With Pink Canvas - Due By 24 Dec"/>
    <s v="Kenwood Kmm760"/>
    <d v="2017-12-28T00:00:00"/>
    <s v="Cash"/>
    <d v="2017-11-18T00:00:00"/>
    <x v="0"/>
    <n v="11"/>
    <d v="2017-12-28T00:00:00"/>
    <s v="Self collect"/>
    <n v="45"/>
    <x v="10"/>
  </r>
  <r>
    <n v="20"/>
    <s v="Done"/>
    <s v="Ish.9788"/>
    <x v="1"/>
    <s v="Kitchenaid Artisan less"/>
    <s v="Pink Flowers With Purple With Dots Lining - Due Mid Jan"/>
    <s v="Red Ka"/>
    <d v="2018-01-14T00:00:00"/>
    <s v="40/45"/>
    <d v="2017-11-25T00:00:00"/>
    <x v="0"/>
    <n v="11"/>
    <d v="2018-01-15T00:00:00"/>
    <n v="3.9"/>
    <n v="40"/>
    <x v="2"/>
  </r>
  <r>
    <n v="21"/>
    <s v="Done"/>
    <s v="Ish.9788"/>
    <x v="1"/>
    <s v="Kitchenaid Artisan"/>
    <s v="Paisley Print With Solid Orange Lining - Due Mid Jan"/>
    <s v="Red Ka"/>
    <d v="2018-01-14T00:00:00"/>
    <s v="adv of 40 paid on 27 nov"/>
    <d v="2017-11-25T00:00:00"/>
    <x v="0"/>
    <n v="11"/>
    <d v="2018-01-15T00:00:00"/>
    <m/>
    <n v="45"/>
    <x v="11"/>
  </r>
  <r>
    <n v="22"/>
    <s v="Done"/>
    <s v="bandband"/>
    <x v="1"/>
    <s v="Kitchenaid Artisan"/>
    <s v="Courdroy &amp; Lining From Kayley Ang - Due End Jan"/>
    <s v="Candy Red Ka - Gave Wrong Address So Returned On 8 Feb. Resent On 9 Feb"/>
    <d v="2018-02-02T00:00:00"/>
    <m/>
    <d v="2017-11-29T00:00:00"/>
    <x v="0"/>
    <n v="11"/>
    <d v="2018-02-03T00:00:00"/>
    <n v="3.9"/>
    <n v="45"/>
    <x v="11"/>
  </r>
  <r>
    <n v="23"/>
    <s v="Done"/>
    <s v="bandband"/>
    <x v="1"/>
    <s v="Kitchenaid Artisan"/>
    <s v="Cupcake From Tracey Wong And My Lining Multi Checks - Due End Jan - Comp 20 Jan"/>
    <m/>
    <d v="2018-02-08T00:00:00"/>
    <m/>
    <d v="2017-11-29T00:00:00"/>
    <x v="0"/>
    <n v="11"/>
    <d v="2018-02-09T00:00:00"/>
    <n v="4.8"/>
    <n v="45"/>
    <x v="11"/>
  </r>
  <r>
    <n v="24"/>
    <s v="Done"/>
    <s v="mnm11315"/>
    <x v="1"/>
    <s v="Kettle Cover"/>
    <s v="Pink And Gold -Fnshd 30Jan"/>
    <s v="Kettle Cover"/>
    <d v="2018-02-14T00:00:00"/>
    <s v="Cash"/>
    <d v="2018-01-06T00:00:00"/>
    <x v="2"/>
    <n v="1"/>
    <d v="2018-02-14T00:00:00"/>
    <s v="Self collect"/>
    <n v="25"/>
    <x v="12"/>
  </r>
  <r>
    <n v="25"/>
    <s v="Done"/>
    <s v="mnm11315"/>
    <x v="1"/>
    <s v="Kitchenaid Artisan"/>
    <s v="Hot Pink Small Flower &amp; Pink Flower On White Background"/>
    <s v="Kitchenaid Ka"/>
    <d v="2018-02-14T00:00:00"/>
    <m/>
    <d v="2018-01-06T00:00:00"/>
    <x v="2"/>
    <n v="1"/>
    <d v="2018-02-14T00:00:00"/>
    <m/>
    <n v="40"/>
    <x v="11"/>
  </r>
  <r>
    <n v="26"/>
    <s v="Done"/>
    <s v="skipperoo"/>
    <x v="1"/>
    <s v="Kitchenaid Professional 7Qt"/>
    <s v="Rainbow Scale (Yorkcoco) 15 Feb Done"/>
    <s v="Kitchenaid Pro 600"/>
    <d v="2018-03-03T00:00:00"/>
    <m/>
    <d v="2018-01-11T00:00:00"/>
    <x v="2"/>
    <n v="1"/>
    <d v="2018-03-03T00:00:00"/>
    <n v="3"/>
    <n v="50"/>
    <x v="13"/>
  </r>
  <r>
    <n v="27"/>
    <s v="Done"/>
    <s v="skipperoo"/>
    <x v="2"/>
    <s v="Quilted Makeup Brush Roll"/>
    <s v="Red Scale (Yorkcoco)"/>
    <s v="Effiehandmade Quilted Makeup Roll"/>
    <d v="2018-03-03T00:00:00"/>
    <m/>
    <d v="2018-01-11T00:00:00"/>
    <x v="2"/>
    <n v="1"/>
    <d v="2018-03-03T00:00:00"/>
    <m/>
    <n v="30"/>
    <x v="3"/>
  </r>
  <r>
    <n v="28"/>
    <s v="Done"/>
    <s v="monkeyjjj"/>
    <x v="1"/>
    <s v="Kitchenaid Artisan"/>
    <s v="Green Anchor &amp; Pink Coral Shape (3Rd Week Feb - Finished On 19 Feb)"/>
    <s v="Ka Turquoise"/>
    <d v="2018-02-20T00:00:00"/>
    <m/>
    <d v="2018-01-23T00:00:00"/>
    <x v="2"/>
    <n v="1"/>
    <d v="2018-02-20T00:00:00"/>
    <n v="3.9"/>
    <n v="55"/>
    <x v="11"/>
  </r>
  <r>
    <n v="29"/>
    <s v="Done"/>
    <s v="ofjlpx"/>
    <x v="1"/>
    <s v="Kitchenaid Artisan"/>
    <s v="Turquoise Print From Amma  - Old One"/>
    <s v="Readymade"/>
    <d v="2018-02-19T00:00:00"/>
    <s v="Cash"/>
    <d v="2018-02-13T00:00:00"/>
    <x v="2"/>
    <n v="2"/>
    <d v="2018-02-19T00:00:00"/>
    <s v="Self collect"/>
    <n v="40"/>
    <x v="11"/>
  </r>
  <r>
    <n v="30"/>
    <s v="Done"/>
    <s v="Nams "/>
    <x v="1"/>
    <s v="Kitchenaid Pro Plus"/>
    <s v="Rainbow Scale (Yorkcoco)"/>
    <s v="Kitchenaid Pro Plus"/>
    <d v="2018-04-03T00:00:00"/>
    <m/>
    <d v="2018-02-13T00:00:00"/>
    <x v="2"/>
    <n v="2"/>
    <d v="2018-03-20T00:00:00"/>
    <s v="With Janie"/>
    <n v="40"/>
    <x v="13"/>
  </r>
  <r>
    <n v="31"/>
    <s v="Done"/>
    <s v="Nams "/>
    <x v="5"/>
    <s v="Everyday Tote (Bagstock)"/>
    <s v="Rainbow Scale (Yorkcoco)"/>
    <s v="Everyday Tote - 6 Inh Base? 12 Inch Strap Drop"/>
    <d v="2018-04-03T00:00:00"/>
    <m/>
    <d v="2018-02-13T00:00:00"/>
    <x v="2"/>
    <n v="2"/>
    <d v="2018-03-20T00:00:00"/>
    <s v="With Janie"/>
    <n v="50"/>
    <x v="14"/>
  </r>
  <r>
    <n v="32"/>
    <s v="Done"/>
    <s v="Raji Kujji"/>
    <x v="6"/>
    <s v="Raji's Microwave Oven cover"/>
    <s v="White Polka Dots On Red"/>
    <s v="Oven Cover - 40L Same Brand As Sis?"/>
    <d v="2018-05-05T00:00:00"/>
    <m/>
    <d v="2018-02-13T00:00:00"/>
    <x v="2"/>
    <n v="2"/>
    <d v="2018-05-05T00:00:00"/>
    <m/>
    <n v="38"/>
    <x v="15"/>
  </r>
  <r>
    <n v="33"/>
    <s v="Done"/>
    <s v="Raji Kujji"/>
    <x v="6"/>
    <s v="Raji's Microwave Oven cover"/>
    <s v="White Polka Dots On Red"/>
    <s v="Microwave"/>
    <d v="2018-05-05T00:00:00"/>
    <m/>
    <d v="2018-02-13T00:00:00"/>
    <x v="2"/>
    <n v="2"/>
    <d v="2018-05-05T00:00:00"/>
    <m/>
    <n v="37"/>
    <x v="15"/>
  </r>
  <r>
    <n v="34"/>
    <s v="Done"/>
    <s v="Raji Kujji"/>
    <x v="6"/>
    <s v="Raji's Microwave Oven cover"/>
    <s v="White Polka Dots On Red"/>
    <s v="Grinder"/>
    <d v="2018-05-05T00:00:00"/>
    <m/>
    <d v="2018-02-13T00:00:00"/>
    <x v="2"/>
    <n v="2"/>
    <d v="2018-05-05T00:00:00"/>
    <m/>
    <n v="35"/>
    <x v="15"/>
  </r>
  <r>
    <n v="35"/>
    <s v="Done"/>
    <s v="sl777"/>
    <x v="1"/>
    <s v="Kitchenaid Artisan"/>
    <s v="Orange/ Yellow Chevron Print"/>
    <s v="Orange Ka Confirmed"/>
    <d v="2018-03-20T00:00:00"/>
    <s v="Cash"/>
    <d v="2018-02-14T00:00:00"/>
    <x v="2"/>
    <n v="2"/>
    <d v="2018-03-20T00:00:00"/>
    <s v="Self collect"/>
    <n v="40"/>
    <x v="11"/>
  </r>
  <r>
    <n v="36"/>
    <s v="Done"/>
    <s v="sl777"/>
    <x v="1"/>
    <s v="Mayer Breadmaker Mmbm12"/>
    <s v="Orange/ Yellow Chevron Print"/>
    <s v="Mayer Breadmaker Mmbm12"/>
    <d v="2018-03-20T00:00:00"/>
    <m/>
    <d v="2018-03-02T00:00:00"/>
    <x v="2"/>
    <n v="3"/>
    <d v="2018-03-20T00:00:00"/>
    <m/>
    <n v="40"/>
    <x v="16"/>
  </r>
  <r>
    <n v="37"/>
    <s v="Done"/>
    <s v="star147"/>
    <x v="1"/>
    <s v="Kitchenaid Artisan"/>
    <s v="Pink With Drawn Flowers &amp; Purple Print Frm India"/>
    <s v="Ka Yellow"/>
    <d v="2018-06-02T00:00:00"/>
    <m/>
    <d v="2018-03-06T00:00:00"/>
    <x v="2"/>
    <n v="3"/>
    <d v="2018-06-04T00:00:00"/>
    <n v="3.94"/>
    <n v="41"/>
    <x v="11"/>
  </r>
  <r>
    <n v="38"/>
    <s v="Done"/>
    <s v="fadilah.sfm"/>
    <x v="1"/>
    <s v="Philips HR7920/90 Stand Mixer"/>
    <s v="Cherry Print From Tracey Yong"/>
    <s v="Philips Hr-7920"/>
    <d v="2018-06-08T00:00:00"/>
    <s v="Cash"/>
    <d v="2018-03-10T00:00:00"/>
    <x v="2"/>
    <n v="3"/>
    <d v="2018-06-08T00:00:00"/>
    <s v="Self collect"/>
    <n v="40"/>
    <x v="17"/>
  </r>
  <r>
    <n v="39"/>
    <s v="Done"/>
    <s v="fadilah.sfm"/>
    <x v="1"/>
    <s v="Kitchenaid Diamond Blender"/>
    <s v="Cherry Print From Tracey Yong"/>
    <s v="Ka Diamond Blender 5Ksb1585 "/>
    <d v="2018-06-08T00:00:00"/>
    <m/>
    <d v="2018-03-12T00:00:00"/>
    <x v="2"/>
    <n v="3"/>
    <d v="2018-06-08T00:00:00"/>
    <m/>
    <n v="40"/>
    <x v="18"/>
  </r>
  <r>
    <n v="40"/>
    <s v="Done"/>
    <s v="elim.closet"/>
    <x v="1"/>
    <s v="Kitchenaid Artisan"/>
    <s v="Pink With Rainbow Flags"/>
    <s v="Kitchenaid Artisan"/>
    <d v="2018-06-17T00:00:00"/>
    <s v="Cash"/>
    <d v="2018-03-15T00:00:00"/>
    <x v="2"/>
    <n v="3"/>
    <d v="2018-03-20T00:00:00"/>
    <s v="Self collect"/>
    <n v="40"/>
    <x v="11"/>
  </r>
  <r>
    <n v="41"/>
    <s v="Done"/>
    <s v="cheap_buys"/>
    <x v="1"/>
    <s v="Kitchenaid Artisan"/>
    <s v="Orange/ Yellow Chevron Print"/>
    <s v="Kitchenaid Classic (Same As Artisan)"/>
    <d v="2018-06-04T00:00:00"/>
    <m/>
    <d v="2018-03-18T00:00:00"/>
    <x v="2"/>
    <n v="3"/>
    <d v="2018-06-04T00:00:00"/>
    <n v="3.94"/>
    <n v="41"/>
    <x v="11"/>
  </r>
  <r>
    <n v="42"/>
    <s v="Done"/>
    <s v="smiles48 contact 9626 0048"/>
    <x v="1"/>
    <s v="Kitchenaid Artisan"/>
    <s v="Pink/ Light Blue Flowery Print With Ammas Green Big Polka Dots"/>
    <s v="Electrolux Ekm4000 (Same As Ka)"/>
    <d v="2018-06-21T00:00:00"/>
    <s v="Account"/>
    <d v="2018-05-05T00:00:00"/>
    <x v="2"/>
    <n v="5"/>
    <d v="2018-06-21T00:00:00"/>
    <n v="4.5"/>
    <n v="43"/>
    <x v="11"/>
  </r>
  <r>
    <n v="43"/>
    <s v="Done"/>
    <s v="smiles48 contact 9626 0048"/>
    <x v="7"/>
    <s v="Cd Player/ Base"/>
    <s v="Green Base With Pink Flowers Canvas"/>
    <s v="Cd Player"/>
    <d v="2018-06-21T00:00:00"/>
    <s v="Account"/>
    <d v="2018-06-15T00:00:00"/>
    <x v="2"/>
    <n v="6"/>
    <d v="2018-06-21T00:00:00"/>
    <m/>
    <n v="35"/>
    <x v="19"/>
  </r>
  <r>
    <n v="44"/>
    <s v="Done"/>
    <s v="smiles48 contact 9626 0048"/>
    <x v="7"/>
    <s v="Cd Player/ Base"/>
    <m/>
    <s v="Cd Player Base"/>
    <d v="2018-06-21T00:00:00"/>
    <s v="Account"/>
    <d v="2018-06-15T00:00:00"/>
    <x v="2"/>
    <n v="6"/>
    <d v="2018-06-21T00:00:00"/>
    <m/>
    <n v="8"/>
    <x v="19"/>
  </r>
  <r>
    <n v="45"/>
    <s v="Done"/>
    <s v="smiles48 contact 9626 0048"/>
    <x v="7"/>
    <s v="Cd Player/ Base"/>
    <s v="Green Base With Pink Flowers Canvas - Alteration Reqd - Cutout At Back With Elastic"/>
    <s v="Cd Player"/>
    <d v="2018-07-03T00:00:00"/>
    <s v="Account"/>
    <d v="2018-07-02T00:00:00"/>
    <x v="2"/>
    <n v="7"/>
    <d v="2018-07-04T00:00:00"/>
    <n v="1.7"/>
    <n v="3"/>
    <x v="19"/>
  </r>
  <r>
    <n v="46"/>
    <s v="Done"/>
    <s v="some_cat"/>
    <x v="1"/>
    <s v="Kitchenaid Artisan Mini"/>
    <s v="Fabric Sent On 20 June"/>
    <s v="Ka Mini. Told Her I Will B Bak In Midjune"/>
    <m/>
    <m/>
    <d v="2018-05-06T00:00:00"/>
    <x v="2"/>
    <n v="5"/>
    <d v="2018-07-27T00:00:00"/>
    <n v="4"/>
    <n v="26"/>
    <x v="20"/>
  </r>
  <r>
    <n v="47"/>
    <s v="Done"/>
    <s v="some_cat"/>
    <x v="8"/>
    <s v="Double Oven Mitt"/>
    <s v="Fabric Sent On 20 June"/>
    <s v="Double Oven Mitts"/>
    <m/>
    <m/>
    <d v="2018-07-06T00:00:00"/>
    <x v="2"/>
    <n v="7"/>
    <m/>
    <m/>
    <n v="15"/>
    <x v="21"/>
  </r>
  <r>
    <n v="48"/>
    <s v="Done"/>
    <s v="Girija"/>
    <x v="5"/>
    <s v="Everyday Tote (Bagstock)"/>
    <s v="Purple Shell (Yorkcoco) &amp; Hot Pnk Canvas"/>
    <s v="Everyday Tote For Diaper Bag Or Other Pattern?"/>
    <d v="2018-08-14T00:00:00"/>
    <m/>
    <m/>
    <x v="2"/>
    <m/>
    <d v="2018-08-12T00:00:00"/>
    <m/>
    <n v="50"/>
    <x v="14"/>
  </r>
  <r>
    <n v="49"/>
    <s v="Done"/>
    <s v="remaunty "/>
    <x v="0"/>
    <s v="2 sided zip pouch"/>
    <s v="Red Paisley Like Ammas"/>
    <s v="Paid Already - $20"/>
    <d v="2018-05-30T00:00:00"/>
    <m/>
    <d v="2018-05-30T00:00:00"/>
    <x v="2"/>
    <n v="5"/>
    <d v="2018-07-15T00:00:00"/>
    <m/>
    <n v="20"/>
    <x v="7"/>
  </r>
  <r>
    <n v="50"/>
    <s v="Done"/>
    <s v="Mini dentist"/>
    <x v="0"/>
    <s v="2 sided zip pouch"/>
    <s v="2 Pouches - 1 Red Shells Like Ammas &amp; Gold Flowers On Navy Blue"/>
    <s v="Sent With Amma On 4Th July 2018"/>
    <m/>
    <m/>
    <d v="2018-05-30T00:00:00"/>
    <x v="2"/>
    <n v="5"/>
    <d v="2018-07-15T00:00:00"/>
    <m/>
    <n v="20"/>
    <x v="7"/>
  </r>
  <r>
    <n v="51"/>
    <s v="Done"/>
    <s v="Meghu"/>
    <x v="0"/>
    <s v="2 sided zip pouch"/>
    <s v="Yellow Butterflies On Red"/>
    <s v="Sent With Amma On 4Th July 2018"/>
    <s v="Amma gave me money"/>
    <m/>
    <d v="2018-05-30T00:00:00"/>
    <x v="2"/>
    <n v="5"/>
    <d v="2018-07-15T00:00:00"/>
    <m/>
    <n v="20"/>
    <x v="7"/>
  </r>
  <r>
    <n v="52"/>
    <s v="Done"/>
    <s v="Meghu"/>
    <x v="0"/>
    <s v="2 sided zip pouch"/>
    <s v="Gold Flowers On Navy Blue"/>
    <s v="Sent With Amma On 4Th July 2018"/>
    <s v="Amma gave me money"/>
    <m/>
    <d v="2018-05-30T00:00:00"/>
    <x v="2"/>
    <n v="5"/>
    <d v="2018-07-15T00:00:00"/>
    <m/>
    <n v="20"/>
    <x v="7"/>
  </r>
  <r>
    <n v="53"/>
    <s v="Done"/>
    <s v="natasharizke"/>
    <x v="1"/>
    <s v="Brandt"/>
    <s v="Red And Green Mix Fabric"/>
    <s v="Brandt Stand Mixer - Km1557Bg"/>
    <s v="completed 21 sept. shes bak in 21 oct"/>
    <m/>
    <d v="2018-08-11T00:00:00"/>
    <x v="2"/>
    <n v="8"/>
    <d v="2018-10-02T00:00:00"/>
    <s v="Self collect"/>
    <n v="65"/>
    <x v="22"/>
  </r>
  <r>
    <n v="54"/>
    <s v="Done"/>
    <s v="Rajini"/>
    <x v="9"/>
    <s v="Cookie Bars"/>
    <s v="Dozen Cookie Bars"/>
    <s v="Gave 14 Pieces Coz They Were Flat Lol"/>
    <d v="2018-09-11T00:00:00"/>
    <m/>
    <d v="2018-09-07T00:00:00"/>
    <x v="2"/>
    <n v="9"/>
    <d v="2018-09-11T00:00:00"/>
    <m/>
    <n v="12"/>
    <x v="5"/>
  </r>
  <r>
    <n v="55"/>
    <s v="Done"/>
    <s v="manisha beetstreet"/>
    <x v="10"/>
    <s v="Chapathi Cover"/>
    <s v="Yellow Orange Chevron"/>
    <s v="Chapati Cover With Flaps"/>
    <m/>
    <s v="Cash"/>
    <d v="2018-09-28T00:00:00"/>
    <x v="2"/>
    <n v="9"/>
    <d v="2018-10-05T00:00:00"/>
    <s v="Self collect"/>
    <n v="15"/>
    <x v="23"/>
  </r>
  <r>
    <n v="56"/>
    <s v="Done"/>
    <s v="manisha beetstreet"/>
    <x v="10"/>
    <s v="Chapathi Cover"/>
    <s v="Yellow Orange Chevron"/>
    <s v="Chapati Cover With Flaps"/>
    <m/>
    <s v="Cash"/>
    <d v="2018-10-05T00:00:00"/>
    <x v="2"/>
    <n v="10"/>
    <d v="2019-02-02T00:00:00"/>
    <s v="Self collect"/>
    <n v="15"/>
    <x v="23"/>
  </r>
  <r>
    <n v="57"/>
    <s v="Done"/>
    <s v="manisha beetstreet"/>
    <x v="10"/>
    <s v="Chapathi Cover"/>
    <s v="Yellow Orange Chevron"/>
    <s v="Chapati Cover With Flaps"/>
    <m/>
    <s v="Cash"/>
    <d v="2018-10-05T00:00:00"/>
    <x v="2"/>
    <n v="10"/>
    <d v="2019-02-02T00:00:00"/>
    <s v="Self collect"/>
    <n v="15"/>
    <x v="23"/>
  </r>
  <r>
    <n v="58"/>
    <s v="Done"/>
    <s v="manisha beetstreet"/>
    <x v="10"/>
    <s v="Chapathi Cover"/>
    <s v="Yellow Orange Chevron"/>
    <s v="Chapati Cover With Flaps"/>
    <m/>
    <s v="Cash"/>
    <d v="2018-10-05T00:00:00"/>
    <x v="2"/>
    <n v="10"/>
    <d v="2019-02-02T00:00:00"/>
    <s v="Self collect"/>
    <n v="15"/>
    <x v="23"/>
  </r>
  <r>
    <n v="59"/>
    <s v="Done"/>
    <s v="manisha beetstreet"/>
    <x v="10"/>
    <s v="Chapathi Cover"/>
    <s v="Yellow Chevron"/>
    <s v="Chapati Cover With Flaps"/>
    <m/>
    <s v="Cash"/>
    <d v="2018-10-05T00:00:00"/>
    <x v="2"/>
    <n v="10"/>
    <d v="2019-02-02T00:00:00"/>
    <s v="Self collect"/>
    <n v="15"/>
    <x v="23"/>
  </r>
  <r>
    <n v="60"/>
    <s v="Done"/>
    <s v="manisha beetstreet"/>
    <x v="10"/>
    <s v="Chapathi Cover"/>
    <s v="Black Print India"/>
    <s v="Chapati Cover With Flaps"/>
    <m/>
    <s v="Cash"/>
    <d v="2018-10-05T00:00:00"/>
    <x v="2"/>
    <n v="10"/>
    <d v="2019-02-02T00:00:00"/>
    <s v="Self collect"/>
    <n v="15"/>
    <x v="23"/>
  </r>
  <r>
    <n v="61"/>
    <s v="Done"/>
    <s v="manisha beetstreet"/>
    <x v="10"/>
    <s v="Chapathi Cover"/>
    <s v="Abstract Print Cottonhouse"/>
    <s v="Chapati Cover With Flaps"/>
    <m/>
    <s v="Cash"/>
    <d v="2018-10-05T00:00:00"/>
    <x v="2"/>
    <n v="10"/>
    <d v="2019-02-02T00:00:00"/>
    <s v="Self collect"/>
    <n v="15"/>
    <x v="23"/>
  </r>
  <r>
    <n v="62"/>
    <s v="Done"/>
    <s v="manisha beetstreet"/>
    <x v="10"/>
    <s v="Chapathi Cover"/>
    <s v="Abstract Print Cottonhouse"/>
    <s v="Chapati Cover With Flaps"/>
    <m/>
    <s v="Cash"/>
    <d v="2018-10-05T00:00:00"/>
    <x v="2"/>
    <n v="10"/>
    <d v="2019-02-02T00:00:00"/>
    <s v="Self collect"/>
    <n v="15"/>
    <x v="23"/>
  </r>
  <r>
    <n v="63"/>
    <s v="Done"/>
    <s v="hycheah"/>
    <x v="11"/>
    <s v="Yoga mat cover with lining"/>
    <s v="Green Paisley/ Grey Polka Dot  "/>
    <s v="Yoga Mat Cover With Lining. Maduka Brand Yoga Mat. 76&quot; By 26&quot;. 7 Inch Diameter"/>
    <m/>
    <s v="Cash"/>
    <d v="2018-10-13T00:00:00"/>
    <x v="2"/>
    <n v="10"/>
    <d v="2018-10-30T00:00:00"/>
    <s v="Self collect"/>
    <n v="23"/>
    <x v="24"/>
  </r>
  <r>
    <n v="64"/>
    <s v="Done"/>
    <s v="hycheah"/>
    <x v="0"/>
    <s v="Privacy Pouch"/>
    <s v="Rainbow Shells &amp; Chinese Red Flowers"/>
    <s v="Privacy Pouch"/>
    <m/>
    <s v="Cash"/>
    <d v="2018-10-13T00:00:00"/>
    <x v="2"/>
    <n v="10"/>
    <d v="2018-10-30T00:00:00"/>
    <s v="Self collect"/>
    <n v="8"/>
    <x v="25"/>
  </r>
  <r>
    <n v="65"/>
    <s v="Done"/>
    <s v="lovetoshop77"/>
    <x v="0"/>
    <s v="Diaper Pouch"/>
    <s v="Turquoise Color With Flowers"/>
    <s v="Diaper Pouch"/>
    <m/>
    <s v="Cash"/>
    <d v="2018-10-06T00:00:00"/>
    <x v="2"/>
    <n v="10"/>
    <d v="2018-11-08T00:00:00"/>
    <s v="Self collect"/>
    <n v="8"/>
    <x v="0"/>
  </r>
  <r>
    <n v="66"/>
    <s v="Done"/>
    <s v="lovetoshop77"/>
    <x v="3"/>
    <s v="Hanging Basket crochet"/>
    <s v="White With Purple Accent"/>
    <s v="Hanging Basket"/>
    <m/>
    <s v="Cash"/>
    <d v="2018-10-06T00:00:00"/>
    <x v="2"/>
    <n v="10"/>
    <d v="2018-11-08T00:00:00"/>
    <s v="Self collect"/>
    <n v="13"/>
    <x v="5"/>
  </r>
  <r>
    <n v="67"/>
    <s v="Done"/>
    <s v="lucky65"/>
    <x v="0"/>
    <s v="Phone Charger Pouch"/>
    <s v="Minnie Mouse"/>
    <s v="2 Phone Charger Pouch"/>
    <m/>
    <s v="Account"/>
    <d v="2018-12-02T00:00:00"/>
    <x v="2"/>
    <n v="12"/>
    <d v="2019-01-11T00:00:00"/>
    <n v="1"/>
    <n v="8"/>
    <x v="1"/>
  </r>
  <r>
    <n v="68"/>
    <s v="Done"/>
    <s v="shermainelng"/>
    <x v="11"/>
    <s v="Yoga mat cover with lining"/>
    <s v="Ikea Fabric With Yellow Chevron Lining"/>
    <s v="Yoga Mat Cover"/>
    <d v="2019-01-10T00:00:00"/>
    <s v="Paylah"/>
    <d v="2018-12-14T00:00:00"/>
    <x v="2"/>
    <n v="12"/>
    <d v="2019-01-11T00:00:00"/>
    <n v="1"/>
    <n v="20"/>
    <x v="24"/>
  </r>
  <r>
    <n v="69"/>
    <s v="Done"/>
    <s v="shopatqoo"/>
    <x v="1"/>
    <s v="Kenwood KVL4100S"/>
    <s v="Anchor Green And Pink Dot Lining"/>
    <s v="Kenwood Kvl4100S"/>
    <s v="registered was for $3.94"/>
    <s v="Paylah"/>
    <d v="2018-12-16T00:00:00"/>
    <x v="2"/>
    <n v="12"/>
    <d v="2019-01-15T00:00:00"/>
    <n v="5"/>
    <n v="50"/>
    <x v="26"/>
  </r>
  <r>
    <n v="70"/>
    <s v="Done"/>
    <s v="charmaine_loke"/>
    <x v="1"/>
    <s v="Kenwood Patissier KM270W"/>
    <s v="Light Bue Floral From Smh"/>
    <s v="Kenwood Patissier Km270W"/>
    <s v="registered was for $3.94"/>
    <s v="Paylah"/>
    <d v="2019-01-15T00:00:00"/>
    <x v="3"/>
    <n v="1"/>
    <d v="2019-01-28T00:00:00"/>
    <n v="5"/>
    <n v="38"/>
    <x v="27"/>
  </r>
  <r>
    <n v="71"/>
    <s v="Done"/>
    <s v="raffi88"/>
    <x v="1"/>
    <s v="Kitchenaid Artisan"/>
    <s v="Blue Steps Print From Amma"/>
    <s v="Ka"/>
    <d v="2019-06-01T00:00:00"/>
    <s v="Paylah"/>
    <d v="2019-05-21T00:00:00"/>
    <x v="3"/>
    <n v="5"/>
    <d v="2019-06-03T00:00:00"/>
    <n v="4"/>
    <n v="40"/>
    <x v="11"/>
  </r>
  <r>
    <n v="72"/>
    <s v="Done"/>
    <s v="y3n2ho"/>
    <x v="1"/>
    <s v="Kitchenaid Artisan"/>
    <s v="Pink Flowers On Cream (Cross Hatch Quilting) - $38+$5"/>
    <s v="Ka"/>
    <s v="registered was for $3.94"/>
    <s v="Account"/>
    <d v="2019-02-05T00:00:00"/>
    <x v="3"/>
    <n v="2"/>
    <d v="2019-02-12T00:00:00"/>
    <n v="4"/>
    <n v="42"/>
    <x v="11"/>
  </r>
  <r>
    <n v="73"/>
    <s v="Done"/>
    <s v="blumberry"/>
    <x v="11"/>
    <s v="Yoga mat cover with lining &amp; zip"/>
    <s v="Denim"/>
    <s v="Manduka Mat 28 Inches Wide"/>
    <m/>
    <s v="Cash"/>
    <d v="2019-03-09T00:00:00"/>
    <x v="3"/>
    <n v="3"/>
    <d v="2019-03-23T00:00:00"/>
    <s v="Self collect"/>
    <n v="38"/>
    <x v="28"/>
  </r>
  <r>
    <n v="74"/>
    <s v="Done"/>
    <s v="sunflowerbeauty"/>
    <x v="11"/>
    <s v="Yoga mat cover without lining/ with pocket &amp; main zip"/>
    <s v="Pink With White Tulips"/>
    <s v="Yoga Mat Bag With Pocket And Lining"/>
    <d v="2019-03-30T00:00:00"/>
    <s v="Paylah"/>
    <d v="2019-03-28T00:00:00"/>
    <x v="3"/>
    <n v="3"/>
    <d v="2019-04-04T00:00:00"/>
    <n v="1.7"/>
    <n v="36"/>
    <x v="29"/>
  </r>
  <r>
    <n v="75"/>
    <s v="Done"/>
    <s v="lyfriz69"/>
    <x v="1"/>
    <s v="Bosch Mixer"/>
    <s v="India - Black With Pink Paisley"/>
    <s v="Bosch Mum Mixer Mumxl20C"/>
    <d v="2019-04-29T00:00:00"/>
    <s v="Paylah"/>
    <d v="2019-04-11T00:00:00"/>
    <x v="3"/>
    <n v="4"/>
    <d v="2019-04-29T00:00:00"/>
    <n v="5"/>
    <n v="45"/>
    <x v="30"/>
  </r>
  <r>
    <n v="76"/>
    <s v="Done"/>
    <s v="jonktm"/>
    <x v="1"/>
    <s v="Kitchenaid Artisan"/>
    <s v="Small Red Flowers On Black Bg"/>
    <s v="Ka150"/>
    <d v="2019-07-26T00:00:00"/>
    <s v="Paylah"/>
    <d v="2019-07-17T00:00:00"/>
    <x v="3"/>
    <n v="7"/>
    <d v="2019-07-29T00:00:00"/>
    <n v="2"/>
    <n v="38"/>
    <x v="11"/>
  </r>
  <r>
    <n v="77"/>
    <s v="Done"/>
    <s v="shahirahtham"/>
    <x v="1"/>
    <s v="Kenwood XL sense (vinyl)"/>
    <s v="Vinyl"/>
    <s v="Kenwood Xl Sense"/>
    <d v="2019-09-25T00:00:00"/>
    <s v="Paynow"/>
    <d v="2019-09-14T00:00:00"/>
    <x v="3"/>
    <n v="9"/>
    <d v="2019-10-05T00:00:00"/>
    <s v="Self collect"/>
    <n v="30"/>
    <x v="31"/>
  </r>
  <r>
    <n v="78"/>
    <s v="Done"/>
    <s v="sukanyap"/>
    <x v="1"/>
    <s v="Kitchenaid Professional 7Qt"/>
    <s v="Red Circles On Blue - Amma- Finished By 18Th Oct"/>
    <s v="Kitchenaid Professional 7Qt"/>
    <d v="2019-10-04T00:00:00"/>
    <s v="Paylah"/>
    <d v="2019-10-02T00:00:00"/>
    <x v="3"/>
    <n v="10"/>
    <d v="2019-10-29T00:00:00"/>
    <n v="5"/>
    <n v="55"/>
    <x v="13"/>
  </r>
  <r>
    <n v="79"/>
    <s v="Done"/>
    <s v="sukanyap"/>
    <x v="1"/>
    <s v="Philips HR7920/90 Stand Mixer"/>
    <s v="Red Circles On Blue - Amma- Finished By 18Th Oct"/>
    <s v="Philips Hr-7920"/>
    <d v="2019-10-29T00:00:00"/>
    <s v="Paylah"/>
    <d v="2019-10-02T00:00:00"/>
    <x v="3"/>
    <n v="10"/>
    <d v="2019-10-29T00:00:00"/>
    <m/>
    <n v="38"/>
    <x v="17"/>
  </r>
  <r>
    <n v="80"/>
    <s v="Done"/>
    <s v="chua.co."/>
    <x v="1"/>
    <s v="Kitchenaid Artisan"/>
    <s v="Peach Flowers On White Canvas - Bah"/>
    <s v="Ka Black"/>
    <d v="2019-11-01T00:00:00"/>
    <s v="Paynow"/>
    <d v="2019-10-21T00:00:00"/>
    <x v="3"/>
    <n v="10"/>
    <d v="2019-11-02T00:00:00"/>
    <n v="4"/>
    <n v="45"/>
    <x v="11"/>
  </r>
  <r>
    <n v="81"/>
    <s v="Done"/>
    <s v="cheryl102"/>
    <x v="1"/>
    <s v="Kenwood XL sense (fabric)"/>
    <s v="Mint Green/ Grey Plain"/>
    <s v="Kenwood Xl Sense"/>
    <d v="2019-11-11T00:00:00"/>
    <s v="Paylah"/>
    <d v="2019-10-28T00:00:00"/>
    <x v="3"/>
    <n v="10"/>
    <d v="2019-11-12T00:00:00"/>
    <n v="4"/>
    <n v="55"/>
    <x v="32"/>
  </r>
  <r>
    <n v="82"/>
    <s v="Done"/>
    <s v="Teacher Linda"/>
    <x v="0"/>
    <s v="Phone Charger Pouch"/>
    <s v="8 Covers - Easy Pouch With The Straps - $4 Each"/>
    <s v="Easy Phone Charger Cover - 5 Boys, 3 Girls"/>
    <d v="2019-11-25T00:00:00"/>
    <s v="Cash"/>
    <d v="2019-11-13T00:00:00"/>
    <x v="3"/>
    <n v="11"/>
    <m/>
    <m/>
    <n v="32"/>
    <x v="1"/>
  </r>
  <r>
    <n v="83"/>
    <s v="Done"/>
    <s v="mumantz"/>
    <x v="1"/>
    <s v="Kitchenaid Artisan"/>
    <s v="Red And White Stripes - Confirmed Due Date And Fabrc On 3 Dec)"/>
    <s v="Ka Artisan"/>
    <s v="ready on 27 dec 19. asked to hold. Msgd again 16 jan, 25 jan. Paid $130 on 4th Feb 2020. Postage was$7 but she paid $5."/>
    <s v="Paynow"/>
    <d v="2019-11-20T00:00:00"/>
    <x v="3"/>
    <n v="11"/>
    <d v="2020-02-05T00:00:00"/>
    <n v="7"/>
    <n v="45"/>
    <x v="11"/>
  </r>
  <r>
    <n v="84"/>
    <s v="Done"/>
    <s v="mumantz"/>
    <x v="6"/>
    <s v="Oven/ Microwave Cover"/>
    <s v="Red And White Stripes - Confirmed Due Date And Fabrc On 3 Dec)"/>
    <s v="Oven Cover"/>
    <m/>
    <s v="Paynow"/>
    <d v="2019-11-20T00:00:00"/>
    <x v="3"/>
    <n v="11"/>
    <d v="2020-02-05T00:00:00"/>
    <m/>
    <n v="60"/>
    <x v="33"/>
  </r>
  <r>
    <n v="85"/>
    <s v="Done"/>
    <s v="mumantz"/>
    <x v="8"/>
    <s v="Double Oven Mitt"/>
    <s v="Red And White Stripes - Confirmed Due Date And Fabrc On 3 Dec)"/>
    <s v="Double Oven Mitts"/>
    <m/>
    <s v="Paynow"/>
    <d v="2019-12-03T00:00:00"/>
    <x v="3"/>
    <n v="12"/>
    <d v="2020-02-05T00:00:00"/>
    <m/>
    <n v="20"/>
    <x v="21"/>
  </r>
  <r>
    <n v="86"/>
    <s v="Done"/>
    <s v="Teacher Linda"/>
    <x v="0"/>
    <s v="Phone Charger Pouch"/>
    <s v="2 Covers - Easy Pouch With The Straps - $4 Each"/>
    <s v="Chinese Design"/>
    <d v="2020-01-17T00:00:00"/>
    <s v="Cash"/>
    <d v="2020-01-11T00:00:00"/>
    <x v="4"/>
    <n v="1"/>
    <d v="2020-01-17T00:00:00"/>
    <m/>
    <n v="8"/>
    <x v="1"/>
  </r>
  <r>
    <n v="87"/>
    <s v="Done"/>
    <s v="eleenliy"/>
    <x v="1"/>
    <s v="Kenwood Kmix"/>
    <s v="Kenwood Kmix Cover"/>
    <s v="Rain Pale Green Rain From Bah. Sent Speedpost - $6"/>
    <d v="2020-02-25T00:00:00"/>
    <s v="Paylah"/>
    <d v="2020-02-16T00:00:00"/>
    <x v="4"/>
    <n v="2"/>
    <d v="2020-03-03T00:00:00"/>
    <n v="5"/>
    <n v="45"/>
    <x v="34"/>
  </r>
  <r>
    <n v="88"/>
    <s v="Done"/>
    <s v="cxqvt."/>
    <x v="1"/>
    <s v="Kitchenaid Artisan"/>
    <s v="Vinyl With Pocket - Baby Pink Binding - Finishd 25 June 2020"/>
    <s v="Ka - Baby Pink Binding"/>
    <d v="2020-06-26T00:00:00"/>
    <s v="Paylah"/>
    <d v="2020-04-15T00:00:00"/>
    <x v="4"/>
    <n v="4"/>
    <d v="2020-06-26T00:00:00"/>
    <s v="Self collect"/>
    <n v="26"/>
    <x v="11"/>
  </r>
  <r>
    <n v="89"/>
    <s v="Done"/>
    <s v="inezaa"/>
    <x v="1"/>
    <s v="Kitchenaid Artisan"/>
    <s v="Pink Flowers/ Dark Pink Polka. Crosshatch Quilting - Finished 15 May2020"/>
    <s v="Ka - Pink. Crosshatch Quilting - $5 Extra"/>
    <d v="2020-06-09T00:00:00"/>
    <s v="Qqexpress - Paylah"/>
    <d v="2020-05-05T00:00:00"/>
    <x v="4"/>
    <n v="5"/>
    <d v="2020-06-10T00:00:00"/>
    <n v="5"/>
    <n v="47"/>
    <x v="11"/>
  </r>
  <r>
    <n v="90"/>
    <s v="Done"/>
    <s v="active2015"/>
    <x v="1"/>
    <s v="Kitchenaid Artisan"/>
    <s v="Blue Flowers On White Background - Corduroy - Finished 16June"/>
    <s v="Ka- Cnfirmed Colors On 19May2020"/>
    <d v="2020-06-28T00:00:00"/>
    <s v="Qqexpress - Paylah"/>
    <d v="2020-05-11T00:00:00"/>
    <x v="4"/>
    <n v="5"/>
    <d v="2020-06-30T00:00:00"/>
    <n v="5"/>
    <n v="43"/>
    <x v="11"/>
  </r>
  <r>
    <n v="91"/>
    <s v="Done"/>
    <s v="active2015"/>
    <x v="1"/>
    <s v="Kitchenaid Artisan"/>
    <s v="Turquoise Bg With Small Black Circles - Finished 16June"/>
    <s v="Ka- Cnfirmed Colors On 19May2020"/>
    <d v="2020-06-28T00:00:00"/>
    <s v="Qqexpress - Paylah"/>
    <d v="2020-05-11T00:00:00"/>
    <x v="4"/>
    <n v="5"/>
    <d v="2020-06-30T00:00:00"/>
    <m/>
    <n v="43"/>
    <x v="11"/>
  </r>
  <r>
    <n v="92"/>
    <s v="Done"/>
    <s v="yellowtag"/>
    <x v="1"/>
    <s v="Kitchenaid Artisan Mini"/>
    <s v="Vinyl With Red Binding"/>
    <s v="Kitchenaid Mini Artisan"/>
    <d v="2020-06-19T00:00:00"/>
    <s v="Cash"/>
    <d v="2020-05-11T00:00:00"/>
    <x v="4"/>
    <n v="5"/>
    <d v="2020-06-19T00:00:00"/>
    <s v="Self collect"/>
    <n v="20"/>
    <x v="20"/>
  </r>
  <r>
    <n v="93"/>
    <s v="Done"/>
    <s v="rachtham"/>
    <x v="1"/>
    <s v="Brother A150 Sewing Machine"/>
    <s v="Braid Patchwork Block Flamingo, Beige"/>
    <s v="Brother A150Sewing Machine"/>
    <d v="2020-06-09T00:00:00"/>
    <s v="Qqexpress - Paylah"/>
    <d v="2020-05-11T00:00:00"/>
    <x v="4"/>
    <n v="5"/>
    <d v="2020-06-10T00:00:00"/>
    <n v="5"/>
    <n v="55"/>
    <x v="35"/>
  </r>
  <r>
    <n v="94"/>
    <s v="Done"/>
    <s v="luckysonyjulietginger - NUH lab - Juliana"/>
    <x v="1"/>
    <s v="Kitchenaid Artisan"/>
    <s v="Vinyl With Hot Pink Binding - Finishd 25 June 2020"/>
    <s v="Ka"/>
    <d v="2020-06-29T00:00:00"/>
    <s v="Paynow"/>
    <d v="2020-05-14T00:00:00"/>
    <x v="4"/>
    <n v="5"/>
    <d v="2020-06-29T00:00:00"/>
    <s v="Self collect"/>
    <n v="25"/>
    <x v="11"/>
  </r>
  <r>
    <n v="95"/>
    <s v="Done"/>
    <s v="miclow8"/>
    <x v="1"/>
    <s v="Thermomix cover"/>
    <s v="Painted Birds/ Yellow Chevron - Pockets Front And Back"/>
    <s v="Thermomix"/>
    <d v="2020-07-14T00:00:00"/>
    <s v="Paynow"/>
    <d v="2020-05-25T00:00:00"/>
    <x v="4"/>
    <n v="5"/>
    <d v="2020-07-15T00:00:00"/>
    <n v="5"/>
    <n v="50"/>
    <x v="36"/>
  </r>
  <r>
    <n v="96"/>
    <s v="Done"/>
    <s v="miclow8"/>
    <x v="1"/>
    <s v="Rice Cooker"/>
    <s v="Blue Flowers On White Ikea/ Dark Blue Self Dot. Pocket In Blue - Pockets On Sides"/>
    <s v="Rice Cooker"/>
    <d v="2020-07-14T00:00:00"/>
    <s v="Paynow"/>
    <d v="2020-05-25T00:00:00"/>
    <x v="4"/>
    <n v="5"/>
    <d v="2020-07-15T00:00:00"/>
    <m/>
    <n v="50"/>
    <x v="37"/>
  </r>
  <r>
    <n v="97"/>
    <s v="Done"/>
    <s v="miclow8"/>
    <x v="12"/>
    <s v="Reversible Apron"/>
    <s v="Painted Birds/ Yellow Chevron"/>
    <s v="Apron"/>
    <d v="2020-07-14T00:00:00"/>
    <s v="Paynow"/>
    <d v="2020-06-10T00:00:00"/>
    <x v="4"/>
    <n v="6"/>
    <d v="2020-07-15T00:00:00"/>
    <m/>
    <n v="20"/>
    <x v="38"/>
  </r>
  <r>
    <n v="98"/>
    <s v="Done"/>
    <s v="sindiluvspooh"/>
    <x v="1"/>
    <s v="Kitchenaid Artisan"/>
    <s v="Red/ White Checks."/>
    <s v="Red Ka. Made Free Bowl Cover With Same Fabric"/>
    <d v="2020-07-24T00:00:00"/>
    <s v="Paynow"/>
    <d v="2020-06-14T00:00:00"/>
    <x v="4"/>
    <n v="6"/>
    <m/>
    <m/>
    <n v="42"/>
    <x v="11"/>
  </r>
  <r>
    <n v="99"/>
    <s v="Done"/>
    <s v="Madhu rhea retthi Changi Court"/>
    <x v="0"/>
    <s v="2 sided zip pouch"/>
    <s v="Purple Flowers Like Yantis"/>
    <s v="2 Sided Zip Pouch"/>
    <d v="2020-07-24T00:00:00"/>
    <s v="Cash"/>
    <d v="2020-06-20T00:00:00"/>
    <x v="4"/>
    <n v="6"/>
    <d v="2020-07-24T00:00:00"/>
    <s v="Self collect"/>
    <n v="15"/>
    <x v="7"/>
  </r>
  <r>
    <n v="100"/>
    <s v="Done"/>
    <s v="luckysonyjulietginger - NUH lab - Juliana"/>
    <x v="10"/>
    <s v="Chapathi Cover"/>
    <s v="Black Background Pretty Cupcakes Cotton"/>
    <s v="Chapathi Cover"/>
    <d v="2020-06-29T00:00:00"/>
    <s v="Paynow"/>
    <d v="2020-06-25T00:00:00"/>
    <x v="4"/>
    <n v="6"/>
    <d v="2020-06-29T00:00:00"/>
    <s v="Self collect"/>
    <n v="17"/>
    <x v="23"/>
  </r>
  <r>
    <n v="101"/>
    <s v="Done"/>
    <s v="luckysonyjulietginger - NUH lab - Juliana"/>
    <x v="0"/>
    <s v="Phone Charger Pouch"/>
    <s v="Black Background Pretty Cupcakes Cotton"/>
    <s v="Easy Phone Charger Cover"/>
    <d v="2020-06-29T00:00:00"/>
    <s v="Paynow"/>
    <d v="2020-06-25T00:00:00"/>
    <x v="4"/>
    <n v="6"/>
    <d v="2020-06-29T00:00:00"/>
    <s v="Self collect"/>
    <n v="4"/>
    <x v="1"/>
  </r>
  <r>
    <n v="102"/>
    <s v="Done"/>
    <s v="viyaa"/>
    <x v="1"/>
    <s v="Philips HR7920/90 Stand Mixer"/>
    <s v="Blue Green From Yorkcoco"/>
    <s v="Philips Hr-7920"/>
    <d v="2020-07-25T00:00:00"/>
    <s v="Paylah"/>
    <d v="2020-07-03T00:00:00"/>
    <x v="4"/>
    <n v="7"/>
    <d v="2020-07-27T00:00:00"/>
    <s v="Qexpress 5"/>
    <n v="48"/>
    <x v="17"/>
  </r>
  <r>
    <n v="103"/>
    <s v="Done"/>
    <s v="ree07"/>
    <x v="10"/>
    <s v="Chapathi Cover"/>
    <s v="Navy Bg With Red Roses"/>
    <s v="Chapathi Cover"/>
    <d v="2020-07-25T00:00:00"/>
    <s v="Paylah"/>
    <d v="2020-07-13T00:00:00"/>
    <x v="4"/>
    <n v="7"/>
    <d v="2020-07-27T00:00:00"/>
    <s v="Qexpress 5"/>
    <n v="16"/>
    <x v="23"/>
  </r>
  <r>
    <n v="104"/>
    <s v="Done"/>
    <s v="ree07"/>
    <x v="10"/>
    <s v="Chapathi Cover"/>
    <s v="Turquoise With Drawn Flowers"/>
    <s v="Chapathi Cover"/>
    <d v="2020-07-25T00:00:00"/>
    <s v="Paylah"/>
    <d v="2020-07-13T00:00:00"/>
    <x v="4"/>
    <n v="7"/>
    <d v="2020-07-27T00:00:00"/>
    <s v="Qexpress 5"/>
    <n v="16"/>
    <x v="23"/>
  </r>
  <r>
    <n v="105"/>
    <s v="Done"/>
    <s v="Raji kujji"/>
    <x v="0"/>
    <s v="Beachcomber Pouch"/>
    <s v="Blue Fabric From Aliexpress"/>
    <s v=""/>
    <d v="2020-10-15T00:00:00"/>
    <m/>
    <d v="2020-08-08T00:00:00"/>
    <x v="4"/>
    <n v="8"/>
    <d v="2021-01-05T00:00:00"/>
    <s v="Reg Singpost"/>
    <n v="16"/>
    <x v="39"/>
  </r>
  <r>
    <n v="106"/>
    <s v="Done"/>
    <s v="Raji kujji"/>
    <x v="13"/>
    <s v="Family Traveller Passport"/>
    <s v="Autumn Leaves"/>
    <s v="Lindshandmade"/>
    <d v="2020-10-16T00:00:00"/>
    <m/>
    <d v="2020-08-08T00:00:00"/>
    <x v="4"/>
    <n v="8"/>
    <d v="2021-01-05T00:00:00"/>
    <s v="Reg Singpost"/>
    <n v="25"/>
    <x v="40"/>
  </r>
  <r>
    <n v="107"/>
    <s v="Done"/>
    <s v="raaymondmilex"/>
    <x v="10"/>
    <s v="Chapathi Cover"/>
    <s v="Orange Patchwork Amma"/>
    <s v="Used Ribbon To Cover Edges"/>
    <d v="2020-09-16T00:00:00"/>
    <m/>
    <d v="2020-09-07T00:00:00"/>
    <x v="4"/>
    <n v="9"/>
    <d v="2020-09-17T00:00:00"/>
    <s v="Qexpress 5"/>
    <n v="15"/>
    <x v="23"/>
  </r>
  <r>
    <n v="108"/>
    <s v="Done"/>
    <s v="lalalyla"/>
    <x v="8"/>
    <s v="Double Oven Mitt"/>
    <s v="Black Bg With Multicolor Hearts"/>
    <s v="Old One With Yellow Binding"/>
    <d v="2020-10-11T00:00:00"/>
    <s v="Paylah"/>
    <d v="2020-10-11T00:00:00"/>
    <x v="4"/>
    <n v="10"/>
    <d v="2020-10-12T00:00:00"/>
    <s v="Singpost 1.5"/>
    <n v="11"/>
    <x v="21"/>
  </r>
  <r>
    <n v="109"/>
    <s v="Done"/>
    <s v="Nams "/>
    <x v="12"/>
    <s v="Reversible Apron"/>
    <s v="Baking Fabric"/>
    <s v="Jordan Fabric Apron Tutorial"/>
    <d v="2020-12-08T00:00:00"/>
    <m/>
    <d v="2020-11-20T00:00:00"/>
    <x v="4"/>
    <n v="11"/>
    <d v="2021-01-05T00:00:00"/>
    <s v="Reg Singpost"/>
    <n v="25"/>
    <x v="38"/>
  </r>
  <r>
    <n v="110"/>
    <s v="Done"/>
    <s v="lyfriz69"/>
    <x v="1"/>
    <s v="Nescafe Dolce Gusto Piccolo Xs"/>
    <s v="Pink Gold Big Shell"/>
    <s v="Nescafe Dolce Gusto Piccolo Xs"/>
    <d v="2020-12-29T00:00:00"/>
    <s v="Paylah"/>
    <d v="2020-12-12T00:00:00"/>
    <x v="4"/>
    <n v="12"/>
    <d v="2020-12-31T00:00:00"/>
    <s v="Qexpress 5"/>
    <n v="28"/>
    <x v="8"/>
  </r>
  <r>
    <n v="111"/>
    <s v="Done"/>
    <s v="lyfriz69"/>
    <x v="1"/>
    <s v="Bosch Mixer"/>
    <s v="Pink Gold Big Shell"/>
    <s v="Bosch Mum Mixer Mumxl20C"/>
    <d v="2020-12-29T00:00:00"/>
    <s v="Paylah"/>
    <d v="2020-12-12T00:00:00"/>
    <x v="4"/>
    <n v="12"/>
    <d v="2020-12-31T00:00:00"/>
    <s v="Qexpress 5"/>
    <n v="42"/>
    <x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607331-BFD2-4FA2-AD01-0757C58B0F8B}" name="PivotTable1" cacheId="3" applyNumberFormats="0" applyBorderFormats="0" applyFontFormats="0" applyPatternFormats="0" applyAlignmentFormats="0" applyWidthHeightFormats="1" dataCaption="Values" updatedVersion="8" minRefreshableVersion="3" showCalcMbrs="0" useAutoFormatting="1" itemPrintTitles="1" createdVersion="3" indent="0" compact="0" compactData="0" gridDropZones="1" multipleFieldFilters="0">
  <location ref="A3:K72" firstHeaderRow="1" firstDataRow="2" firstDataCol="2"/>
  <pivotFields count="9">
    <pivotField axis="axisRow" compact="0" outline="0" showAll="0">
      <items count="6">
        <item x="0"/>
        <item x="1"/>
        <item x="2"/>
        <item x="3"/>
        <item h="1" x="4"/>
        <item t="default"/>
      </items>
    </pivotField>
    <pivotField compact="0" outline="0" showAll="0"/>
    <pivotField compact="0" outline="0" showAll="0"/>
    <pivotField axis="axisCol" compact="0" outline="0" showAll="0">
      <items count="10">
        <item x="0"/>
        <item x="1"/>
        <item x="2"/>
        <item x="3"/>
        <item x="4"/>
        <item x="5"/>
        <item x="6"/>
        <item x="7"/>
        <item x="8"/>
        <item t="default"/>
      </items>
    </pivotField>
    <pivotField axis="axisRow" compact="0" outline="0" showAll="0" sortType="ascending">
      <items count="46">
        <item x="11"/>
        <item x="1"/>
        <item x="38"/>
        <item x="39"/>
        <item x="40"/>
        <item x="23"/>
        <item x="35"/>
        <item x="30"/>
        <item x="9"/>
        <item x="10"/>
        <item x="32"/>
        <item x="37"/>
        <item x="2"/>
        <item x="5"/>
        <item x="8"/>
        <item x="16"/>
        <item x="18"/>
        <item x="19"/>
        <item x="15"/>
        <item x="14"/>
        <item x="17"/>
        <item x="26"/>
        <item x="27"/>
        <item x="29"/>
        <item x="28"/>
        <item x="25"/>
        <item x="24"/>
        <item x="20"/>
        <item x="21"/>
        <item x="22"/>
        <item x="0"/>
        <item x="13"/>
        <item x="12"/>
        <item x="36"/>
        <item x="4"/>
        <item x="31"/>
        <item x="3"/>
        <item x="34"/>
        <item x="33"/>
        <item x="41"/>
        <item x="43"/>
        <item x="42"/>
        <item x="6"/>
        <item x="7"/>
        <item x="44"/>
        <item t="default"/>
      </items>
    </pivotField>
    <pivotField compact="0" outline="0" showAll="0"/>
    <pivotField dataField="1" compact="0" outline="0" showAll="0"/>
    <pivotField compact="0" outline="0" showAll="0"/>
    <pivotField compact="0" outline="0" showAll="0"/>
  </pivotFields>
  <rowFields count="2">
    <field x="0"/>
    <field x="4"/>
  </rowFields>
  <rowItems count="68">
    <i>
      <x/>
      <x v="1"/>
    </i>
    <i r="1">
      <x v="8"/>
    </i>
    <i r="1">
      <x v="9"/>
    </i>
    <i r="1">
      <x v="12"/>
    </i>
    <i r="1">
      <x v="13"/>
    </i>
    <i r="1">
      <x v="14"/>
    </i>
    <i r="1">
      <x v="30"/>
    </i>
    <i r="1">
      <x v="34"/>
    </i>
    <i r="1">
      <x v="36"/>
    </i>
    <i r="1">
      <x v="42"/>
    </i>
    <i r="1">
      <x v="43"/>
    </i>
    <i t="default">
      <x/>
    </i>
    <i>
      <x v="1"/>
      <x/>
    </i>
    <i r="1">
      <x v="1"/>
    </i>
    <i r="1">
      <x v="5"/>
    </i>
    <i r="1">
      <x v="15"/>
    </i>
    <i r="1">
      <x v="16"/>
    </i>
    <i r="1">
      <x v="17"/>
    </i>
    <i r="1">
      <x v="18"/>
    </i>
    <i r="1">
      <x v="19"/>
    </i>
    <i r="1">
      <x v="20"/>
    </i>
    <i r="1">
      <x v="21"/>
    </i>
    <i r="1">
      <x v="22"/>
    </i>
    <i r="1">
      <x v="23"/>
    </i>
    <i r="1">
      <x v="24"/>
    </i>
    <i r="1">
      <x v="25"/>
    </i>
    <i r="1">
      <x v="26"/>
    </i>
    <i r="1">
      <x v="27"/>
    </i>
    <i r="1">
      <x v="28"/>
    </i>
    <i r="1">
      <x v="29"/>
    </i>
    <i r="1">
      <x v="30"/>
    </i>
    <i r="1">
      <x v="31"/>
    </i>
    <i r="1">
      <x v="32"/>
    </i>
    <i r="1">
      <x v="34"/>
    </i>
    <i r="1">
      <x v="36"/>
    </i>
    <i t="default">
      <x v="1"/>
    </i>
    <i>
      <x v="2"/>
      <x/>
    </i>
    <i r="1">
      <x v="1"/>
    </i>
    <i r="1">
      <x v="6"/>
    </i>
    <i r="1">
      <x v="7"/>
    </i>
    <i r="1">
      <x v="8"/>
    </i>
    <i r="1">
      <x v="10"/>
    </i>
    <i r="1">
      <x v="16"/>
    </i>
    <i r="1">
      <x v="17"/>
    </i>
    <i r="1">
      <x v="18"/>
    </i>
    <i r="1">
      <x v="30"/>
    </i>
    <i r="1">
      <x v="32"/>
    </i>
    <i r="1">
      <x v="35"/>
    </i>
    <i r="1">
      <x v="36"/>
    </i>
    <i r="1">
      <x v="37"/>
    </i>
    <i r="1">
      <x v="38"/>
    </i>
    <i r="1">
      <x v="40"/>
    </i>
    <i t="default">
      <x v="2"/>
    </i>
    <i>
      <x v="3"/>
      <x/>
    </i>
    <i r="1">
      <x v="1"/>
    </i>
    <i r="1">
      <x v="2"/>
    </i>
    <i r="1">
      <x v="3"/>
    </i>
    <i r="1">
      <x v="4"/>
    </i>
    <i r="1">
      <x v="10"/>
    </i>
    <i r="1">
      <x v="11"/>
    </i>
    <i r="1">
      <x v="18"/>
    </i>
    <i r="1">
      <x v="30"/>
    </i>
    <i r="1">
      <x v="33"/>
    </i>
    <i r="1">
      <x v="36"/>
    </i>
    <i r="1">
      <x v="39"/>
    </i>
    <i r="1">
      <x v="41"/>
    </i>
    <i t="default">
      <x v="3"/>
    </i>
    <i t="grand">
      <x/>
    </i>
  </rowItems>
  <colFields count="1">
    <field x="3"/>
  </colFields>
  <colItems count="9">
    <i>
      <x/>
    </i>
    <i>
      <x v="1"/>
    </i>
    <i>
      <x v="2"/>
    </i>
    <i>
      <x v="3"/>
    </i>
    <i>
      <x v="4"/>
    </i>
    <i>
      <x v="5"/>
    </i>
    <i>
      <x v="6"/>
    </i>
    <i>
      <x v="7"/>
    </i>
    <i t="grand">
      <x/>
    </i>
  </colItems>
  <dataFields count="1">
    <dataField name="Sum of Amount" fld="6" baseField="0" baseItem="0" numFmtId="164"/>
  </dataFields>
  <formats count="38">
    <format dxfId="485">
      <pivotArea type="all" dataOnly="0" outline="0" fieldPosition="0"/>
    </format>
    <format dxfId="484">
      <pivotArea type="all" dataOnly="0" outline="0" fieldPosition="0"/>
    </format>
    <format dxfId="483">
      <pivotArea outline="0" collapsedLevelsAreSubtotals="1" fieldPosition="0"/>
    </format>
    <format dxfId="482">
      <pivotArea dataOnly="0" outline="0" fieldPosition="0">
        <references count="1">
          <reference field="0" count="0" defaultSubtotal="1"/>
        </references>
      </pivotArea>
    </format>
    <format dxfId="481">
      <pivotArea type="all" dataOnly="0" outline="0" fieldPosition="0"/>
    </format>
    <format dxfId="480">
      <pivotArea type="all" dataOnly="0" outline="0" fieldPosition="0"/>
    </format>
    <format dxfId="479">
      <pivotArea type="all" dataOnly="0" outline="0" fieldPosition="0"/>
    </format>
    <format dxfId="478">
      <pivotArea outline="0" collapsedLevelsAreSubtotals="1" fieldPosition="0"/>
    </format>
    <format dxfId="477">
      <pivotArea type="origin" dataOnly="0" labelOnly="1" outline="0" fieldPosition="0"/>
    </format>
    <format dxfId="476">
      <pivotArea field="3" type="button" dataOnly="0" labelOnly="1" outline="0" axis="axisCol" fieldPosition="0"/>
    </format>
    <format dxfId="475">
      <pivotArea type="topRight" dataOnly="0" labelOnly="1" outline="0" fieldPosition="0"/>
    </format>
    <format dxfId="474">
      <pivotArea field="0" type="button" dataOnly="0" labelOnly="1" outline="0" axis="axisRow" fieldPosition="0"/>
    </format>
    <format dxfId="473">
      <pivotArea field="4" type="button" dataOnly="0" labelOnly="1" outline="0" axis="axisRow" fieldPosition="1"/>
    </format>
    <format dxfId="472">
      <pivotArea dataOnly="0" labelOnly="1" outline="0" fieldPosition="0">
        <references count="1">
          <reference field="0" count="0"/>
        </references>
      </pivotArea>
    </format>
    <format dxfId="471">
      <pivotArea dataOnly="0" labelOnly="1" outline="0" fieldPosition="0">
        <references count="1">
          <reference field="0" count="0" defaultSubtotal="1"/>
        </references>
      </pivotArea>
    </format>
    <format dxfId="470">
      <pivotArea dataOnly="0" labelOnly="1" grandRow="1" outline="0" fieldPosition="0"/>
    </format>
    <format dxfId="469">
      <pivotArea dataOnly="0" labelOnly="1" outline="0" fieldPosition="0">
        <references count="2">
          <reference field="0" count="1" selected="0">
            <x v="0"/>
          </reference>
          <reference field="4" count="11">
            <x v="1"/>
            <x v="8"/>
            <x v="9"/>
            <x v="12"/>
            <x v="13"/>
            <x v="14"/>
            <x v="30"/>
            <x v="34"/>
            <x v="36"/>
            <x v="42"/>
            <x v="43"/>
          </reference>
        </references>
      </pivotArea>
    </format>
    <format dxfId="468">
      <pivotArea dataOnly="0" labelOnly="1" outline="0" fieldPosition="0">
        <references count="2">
          <reference field="0" count="1" selected="0">
            <x v="1"/>
          </reference>
          <reference field="4" count="23">
            <x v="0"/>
            <x v="1"/>
            <x v="5"/>
            <x v="15"/>
            <x v="16"/>
            <x v="17"/>
            <x v="18"/>
            <x v="19"/>
            <x v="20"/>
            <x v="21"/>
            <x v="22"/>
            <x v="23"/>
            <x v="24"/>
            <x v="25"/>
            <x v="26"/>
            <x v="27"/>
            <x v="28"/>
            <x v="29"/>
            <x v="30"/>
            <x v="31"/>
            <x v="32"/>
            <x v="34"/>
            <x v="36"/>
          </reference>
        </references>
      </pivotArea>
    </format>
    <format dxfId="467">
      <pivotArea dataOnly="0" labelOnly="1" outline="0" fieldPosition="0">
        <references count="2">
          <reference field="0" count="1" selected="0">
            <x v="2"/>
          </reference>
          <reference field="4" count="18">
            <x v="0"/>
            <x v="1"/>
            <x v="2"/>
            <x v="3"/>
            <x v="4"/>
            <x v="6"/>
            <x v="7"/>
            <x v="8"/>
            <x v="10"/>
            <x v="16"/>
            <x v="17"/>
            <x v="18"/>
            <x v="30"/>
            <x v="32"/>
            <x v="35"/>
            <x v="36"/>
            <x v="37"/>
            <x v="38"/>
          </reference>
        </references>
      </pivotArea>
    </format>
    <format dxfId="466">
      <pivotArea dataOnly="0" labelOnly="1" outline="0" fieldPosition="0">
        <references count="2">
          <reference field="0" count="1" selected="0">
            <x v="3"/>
          </reference>
          <reference field="4" count="6">
            <x v="1"/>
            <x v="10"/>
            <x v="11"/>
            <x v="30"/>
            <x v="33"/>
            <x v="36"/>
          </reference>
        </references>
      </pivotArea>
    </format>
    <format dxfId="465">
      <pivotArea dataOnly="0" labelOnly="1" outline="0" fieldPosition="0">
        <references count="1">
          <reference field="3" count="7">
            <x v="0"/>
            <x v="1"/>
            <x v="2"/>
            <x v="3"/>
            <x v="4"/>
            <x v="5"/>
            <x v="6"/>
          </reference>
        </references>
      </pivotArea>
    </format>
    <format dxfId="464">
      <pivotArea dataOnly="0" labelOnly="1" grandCol="1" outline="0" fieldPosition="0"/>
    </format>
    <format dxfId="463">
      <pivotArea type="all" dataOnly="0" outline="0" fieldPosition="0"/>
    </format>
    <format dxfId="462">
      <pivotArea outline="0" collapsedLevelsAreSubtotals="1" fieldPosition="0"/>
    </format>
    <format dxfId="461">
      <pivotArea type="origin" dataOnly="0" labelOnly="1" outline="0" fieldPosition="0"/>
    </format>
    <format dxfId="460">
      <pivotArea field="3" type="button" dataOnly="0" labelOnly="1" outline="0" axis="axisCol" fieldPosition="0"/>
    </format>
    <format dxfId="459">
      <pivotArea type="topRight" dataOnly="0" labelOnly="1" outline="0" fieldPosition="0"/>
    </format>
    <format dxfId="458">
      <pivotArea field="0" type="button" dataOnly="0" labelOnly="1" outline="0" axis="axisRow" fieldPosition="0"/>
    </format>
    <format dxfId="457">
      <pivotArea field="4" type="button" dataOnly="0" labelOnly="1" outline="0" axis="axisRow" fieldPosition="1"/>
    </format>
    <format dxfId="456">
      <pivotArea dataOnly="0" labelOnly="1" outline="0" fieldPosition="0">
        <references count="1">
          <reference field="0" count="0"/>
        </references>
      </pivotArea>
    </format>
    <format dxfId="455">
      <pivotArea dataOnly="0" labelOnly="1" outline="0" fieldPosition="0">
        <references count="1">
          <reference field="0" count="0" defaultSubtotal="1"/>
        </references>
      </pivotArea>
    </format>
    <format dxfId="454">
      <pivotArea dataOnly="0" labelOnly="1" grandRow="1" outline="0" fieldPosition="0"/>
    </format>
    <format dxfId="453">
      <pivotArea dataOnly="0" labelOnly="1" outline="0" fieldPosition="0">
        <references count="2">
          <reference field="0" count="1" selected="0">
            <x v="0"/>
          </reference>
          <reference field="4" count="11">
            <x v="1"/>
            <x v="8"/>
            <x v="9"/>
            <x v="12"/>
            <x v="13"/>
            <x v="14"/>
            <x v="30"/>
            <x v="34"/>
            <x v="36"/>
            <x v="42"/>
            <x v="43"/>
          </reference>
        </references>
      </pivotArea>
    </format>
    <format dxfId="452">
      <pivotArea dataOnly="0" labelOnly="1" outline="0" fieldPosition="0">
        <references count="2">
          <reference field="0" count="1" selected="0">
            <x v="1"/>
          </reference>
          <reference field="4" count="23">
            <x v="0"/>
            <x v="1"/>
            <x v="5"/>
            <x v="15"/>
            <x v="16"/>
            <x v="17"/>
            <x v="18"/>
            <x v="19"/>
            <x v="20"/>
            <x v="21"/>
            <x v="22"/>
            <x v="23"/>
            <x v="24"/>
            <x v="25"/>
            <x v="26"/>
            <x v="27"/>
            <x v="28"/>
            <x v="29"/>
            <x v="30"/>
            <x v="31"/>
            <x v="32"/>
            <x v="34"/>
            <x v="36"/>
          </reference>
        </references>
      </pivotArea>
    </format>
    <format dxfId="451">
      <pivotArea dataOnly="0" labelOnly="1" outline="0" fieldPosition="0">
        <references count="2">
          <reference field="0" count="1" selected="0">
            <x v="2"/>
          </reference>
          <reference field="4" count="18">
            <x v="0"/>
            <x v="1"/>
            <x v="2"/>
            <x v="3"/>
            <x v="4"/>
            <x v="6"/>
            <x v="7"/>
            <x v="8"/>
            <x v="10"/>
            <x v="16"/>
            <x v="17"/>
            <x v="18"/>
            <x v="30"/>
            <x v="32"/>
            <x v="35"/>
            <x v="36"/>
            <x v="37"/>
            <x v="38"/>
          </reference>
        </references>
      </pivotArea>
    </format>
    <format dxfId="450">
      <pivotArea dataOnly="0" labelOnly="1" outline="0" fieldPosition="0">
        <references count="2">
          <reference field="0" count="1" selected="0">
            <x v="3"/>
          </reference>
          <reference field="4" count="6">
            <x v="1"/>
            <x v="10"/>
            <x v="11"/>
            <x v="30"/>
            <x v="33"/>
            <x v="36"/>
          </reference>
        </references>
      </pivotArea>
    </format>
    <format dxfId="449">
      <pivotArea dataOnly="0" labelOnly="1" outline="0" fieldPosition="0">
        <references count="1">
          <reference field="3" count="7">
            <x v="0"/>
            <x v="1"/>
            <x v="2"/>
            <x v="3"/>
            <x v="4"/>
            <x v="5"/>
            <x v="6"/>
          </reference>
        </references>
      </pivotArea>
    </format>
    <format dxfId="448">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4" applyNumberFormats="0" applyBorderFormats="0" applyFontFormats="0" applyPatternFormats="0" applyAlignmentFormats="0" applyWidthHeightFormats="1" dataCaption="Values" updatedVersion="8" minRefreshableVersion="3" showCalcMbrs="0" useAutoFormatting="1" itemPrintTitles="1" createdVersion="3" indent="0" compact="0" compactData="0" gridDropZones="1" multipleFieldFilters="0">
  <location ref="A5:H38" firstHeaderRow="1" firstDataRow="2" firstDataCol="2"/>
  <pivotFields count="12">
    <pivotField axis="axisRow" compact="0" outline="0" showAll="0">
      <items count="4">
        <item x="0"/>
        <item x="1"/>
        <item h="1" x="2"/>
        <item t="default"/>
      </items>
    </pivotField>
    <pivotField compact="0" outline="0" showAll="0"/>
    <pivotField axis="axisCol" compact="0" outline="0" showAll="0" defaultSubtotal="0">
      <items count="6">
        <item x="0"/>
        <item x="1"/>
        <item x="2"/>
        <item x="3"/>
        <item x="5"/>
        <item x="4"/>
      </items>
    </pivotField>
    <pivotField compact="0" outline="0" showAll="0"/>
    <pivotField axis="axisRow" compact="0" outline="0" showAll="0" sortType="ascending">
      <items count="25">
        <item x="3"/>
        <item x="2"/>
        <item x="17"/>
        <item x="18"/>
        <item x="19"/>
        <item x="13"/>
        <item x="1"/>
        <item x="14"/>
        <item x="5"/>
        <item x="16"/>
        <item x="11"/>
        <item x="12"/>
        <item x="8"/>
        <item x="6"/>
        <item x="0"/>
        <item x="15"/>
        <item x="4"/>
        <item x="7"/>
        <item x="10"/>
        <item x="9"/>
        <item x="20"/>
        <item x="22"/>
        <item x="21"/>
        <item x="23"/>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s>
  <rowFields count="2">
    <field x="0"/>
    <field x="4"/>
  </rowFields>
  <rowItems count="32">
    <i>
      <x/>
      <x/>
    </i>
    <i r="1">
      <x v="1"/>
    </i>
    <i r="1">
      <x v="5"/>
    </i>
    <i r="1">
      <x v="6"/>
    </i>
    <i r="1">
      <x v="7"/>
    </i>
    <i r="1">
      <x v="8"/>
    </i>
    <i r="1">
      <x v="10"/>
    </i>
    <i r="1">
      <x v="11"/>
    </i>
    <i r="1">
      <x v="12"/>
    </i>
    <i r="1">
      <x v="13"/>
    </i>
    <i r="1">
      <x v="14"/>
    </i>
    <i r="1">
      <x v="16"/>
    </i>
    <i r="1">
      <x v="17"/>
    </i>
    <i r="1">
      <x v="18"/>
    </i>
    <i r="1">
      <x v="19"/>
    </i>
    <i r="1">
      <x v="21"/>
    </i>
    <i t="default">
      <x/>
    </i>
    <i>
      <x v="1"/>
      <x/>
    </i>
    <i r="1">
      <x v="1"/>
    </i>
    <i r="1">
      <x v="2"/>
    </i>
    <i r="1">
      <x v="3"/>
    </i>
    <i r="1">
      <x v="4"/>
    </i>
    <i r="1">
      <x v="8"/>
    </i>
    <i r="1">
      <x v="9"/>
    </i>
    <i r="1">
      <x v="12"/>
    </i>
    <i r="1">
      <x v="13"/>
    </i>
    <i r="1">
      <x v="15"/>
    </i>
    <i r="1">
      <x v="17"/>
    </i>
    <i r="1">
      <x v="20"/>
    </i>
    <i r="1">
      <x v="22"/>
    </i>
    <i t="default">
      <x v="1"/>
    </i>
    <i t="grand">
      <x/>
    </i>
  </rowItems>
  <colFields count="1">
    <field x="2"/>
  </colFields>
  <colItems count="6">
    <i>
      <x/>
    </i>
    <i>
      <x v="1"/>
    </i>
    <i>
      <x v="2"/>
    </i>
    <i>
      <x v="3"/>
    </i>
    <i>
      <x v="5"/>
    </i>
    <i t="grand">
      <x/>
    </i>
  </colItems>
  <dataFields count="1">
    <dataField name="Sum of Amount" fld="7" baseField="0" baseItem="0" numFmtId="4"/>
  </dataFields>
  <formats count="38">
    <format dxfId="447">
      <pivotArea type="all" dataOnly="0" outline="0" fieldPosition="0"/>
    </format>
    <format dxfId="446">
      <pivotArea type="all" dataOnly="0" outline="0" fieldPosition="0"/>
    </format>
    <format dxfId="445">
      <pivotArea dataOnly="0" grandRow="1" fieldPosition="0"/>
    </format>
    <format dxfId="444">
      <pivotArea collapsedLevelsAreSubtotals="1" fieldPosition="0">
        <references count="1">
          <reference field="4" count="0"/>
        </references>
      </pivotArea>
    </format>
    <format dxfId="443">
      <pivotArea dataOnly="0" labelOnly="1" fieldPosition="0">
        <references count="1">
          <reference field="4" count="0"/>
        </references>
      </pivotArea>
    </format>
    <format dxfId="442">
      <pivotArea outline="0" collapsedLevelsAreSubtotals="1" fieldPosition="0"/>
    </format>
    <format dxfId="441">
      <pivotArea type="all" dataOnly="0" outline="0" fieldPosition="0"/>
    </format>
    <format dxfId="440">
      <pivotArea type="all" dataOnly="0" outline="0" fieldPosition="0"/>
    </format>
    <format dxfId="439">
      <pivotArea dataOnly="0" outline="0" fieldPosition="0">
        <references count="1">
          <reference field="0" count="0" defaultSubtotal="1"/>
        </references>
      </pivotArea>
    </format>
    <format dxfId="438">
      <pivotArea dataOnly="0" grandRow="1" outline="0" fieldPosition="0"/>
    </format>
    <format dxfId="437">
      <pivotArea type="all" dataOnly="0" outline="0" fieldPosition="0"/>
    </format>
    <format dxfId="436">
      <pivotArea outline="0" collapsedLevelsAreSubtotals="1" fieldPosition="0"/>
    </format>
    <format dxfId="435">
      <pivotArea type="origin" dataOnly="0" labelOnly="1" outline="0" fieldPosition="0"/>
    </format>
    <format dxfId="434">
      <pivotArea field="2" type="button" dataOnly="0" labelOnly="1" outline="0" axis="axisCol" fieldPosition="0"/>
    </format>
    <format dxfId="433">
      <pivotArea type="topRight" dataOnly="0" labelOnly="1" outline="0" fieldPosition="0"/>
    </format>
    <format dxfId="432">
      <pivotArea field="0" type="button" dataOnly="0" labelOnly="1" outline="0" axis="axisRow" fieldPosition="0"/>
    </format>
    <format dxfId="431">
      <pivotArea field="4" type="button" dataOnly="0" labelOnly="1" outline="0" axis="axisRow" fieldPosition="1"/>
    </format>
    <format dxfId="430">
      <pivotArea dataOnly="0" labelOnly="1" outline="0" fieldPosition="0">
        <references count="1">
          <reference field="0" count="2">
            <x v="0"/>
            <x v="1"/>
          </reference>
        </references>
      </pivotArea>
    </format>
    <format dxfId="429">
      <pivotArea dataOnly="0" labelOnly="1" outline="0" fieldPosition="0">
        <references count="1">
          <reference field="0" count="2" defaultSubtotal="1">
            <x v="0"/>
            <x v="1"/>
          </reference>
        </references>
      </pivotArea>
    </format>
    <format dxfId="428">
      <pivotArea dataOnly="0" labelOnly="1" grandRow="1" outline="0" fieldPosition="0"/>
    </format>
    <format dxfId="427">
      <pivotArea dataOnly="0" labelOnly="1" outline="0" fieldPosition="0">
        <references count="2">
          <reference field="0" count="1" selected="0">
            <x v="0"/>
          </reference>
          <reference field="4" count="15">
            <x v="0"/>
            <x v="1"/>
            <x v="5"/>
            <x v="6"/>
            <x v="7"/>
            <x v="8"/>
            <x v="10"/>
            <x v="11"/>
            <x v="12"/>
            <x v="13"/>
            <x v="14"/>
            <x v="16"/>
            <x v="17"/>
            <x v="18"/>
            <x v="19"/>
          </reference>
        </references>
      </pivotArea>
    </format>
    <format dxfId="426">
      <pivotArea dataOnly="0" labelOnly="1" outline="0" fieldPosition="0">
        <references count="2">
          <reference field="0" count="1" selected="0">
            <x v="1"/>
          </reference>
          <reference field="4" count="9">
            <x v="1"/>
            <x v="2"/>
            <x v="3"/>
            <x v="4"/>
            <x v="8"/>
            <x v="9"/>
            <x v="13"/>
            <x v="15"/>
            <x v="17"/>
          </reference>
        </references>
      </pivotArea>
    </format>
    <format dxfId="425">
      <pivotArea dataOnly="0" labelOnly="1" outline="0" fieldPosition="0">
        <references count="1">
          <reference field="2" count="4">
            <x v="0"/>
            <x v="1"/>
            <x v="2"/>
            <x v="3"/>
          </reference>
        </references>
      </pivotArea>
    </format>
    <format dxfId="424">
      <pivotArea dataOnly="0" labelOnly="1" grandCol="1" outline="0" fieldPosition="0"/>
    </format>
    <format dxfId="423">
      <pivotArea type="all" dataOnly="0" outline="0" fieldPosition="0"/>
    </format>
    <format dxfId="422">
      <pivotArea outline="0" collapsedLevelsAreSubtotals="1" fieldPosition="0"/>
    </format>
    <format dxfId="421">
      <pivotArea type="origin" dataOnly="0" labelOnly="1" outline="0" fieldPosition="0"/>
    </format>
    <format dxfId="420">
      <pivotArea field="2" type="button" dataOnly="0" labelOnly="1" outline="0" axis="axisCol" fieldPosition="0"/>
    </format>
    <format dxfId="419">
      <pivotArea type="topRight" dataOnly="0" labelOnly="1" outline="0" fieldPosition="0"/>
    </format>
    <format dxfId="418">
      <pivotArea field="0" type="button" dataOnly="0" labelOnly="1" outline="0" axis="axisRow" fieldPosition="0"/>
    </format>
    <format dxfId="417">
      <pivotArea field="4" type="button" dataOnly="0" labelOnly="1" outline="0" axis="axisRow" fieldPosition="1"/>
    </format>
    <format dxfId="416">
      <pivotArea dataOnly="0" labelOnly="1" outline="0" fieldPosition="0">
        <references count="1">
          <reference field="0" count="2">
            <x v="0"/>
            <x v="1"/>
          </reference>
        </references>
      </pivotArea>
    </format>
    <format dxfId="415">
      <pivotArea dataOnly="0" labelOnly="1" outline="0" fieldPosition="0">
        <references count="1">
          <reference field="0" count="2" defaultSubtotal="1">
            <x v="0"/>
            <x v="1"/>
          </reference>
        </references>
      </pivotArea>
    </format>
    <format dxfId="414">
      <pivotArea dataOnly="0" labelOnly="1" grandRow="1" outline="0" fieldPosition="0"/>
    </format>
    <format dxfId="413">
      <pivotArea dataOnly="0" labelOnly="1" outline="0" fieldPosition="0">
        <references count="2">
          <reference field="0" count="1" selected="0">
            <x v="0"/>
          </reference>
          <reference field="4" count="15">
            <x v="0"/>
            <x v="1"/>
            <x v="5"/>
            <x v="6"/>
            <x v="7"/>
            <x v="8"/>
            <x v="10"/>
            <x v="11"/>
            <x v="12"/>
            <x v="13"/>
            <x v="14"/>
            <x v="16"/>
            <x v="17"/>
            <x v="18"/>
            <x v="19"/>
          </reference>
        </references>
      </pivotArea>
    </format>
    <format dxfId="412">
      <pivotArea dataOnly="0" labelOnly="1" outline="0" fieldPosition="0">
        <references count="2">
          <reference field="0" count="1" selected="0">
            <x v="1"/>
          </reference>
          <reference field="4" count="9">
            <x v="1"/>
            <x v="2"/>
            <x v="3"/>
            <x v="4"/>
            <x v="8"/>
            <x v="9"/>
            <x v="13"/>
            <x v="15"/>
            <x v="17"/>
          </reference>
        </references>
      </pivotArea>
    </format>
    <format dxfId="411">
      <pivotArea dataOnly="0" labelOnly="1" outline="0" fieldPosition="0">
        <references count="1">
          <reference field="2" count="4">
            <x v="0"/>
            <x v="1"/>
            <x v="2"/>
            <x v="3"/>
          </reference>
        </references>
      </pivotArea>
    </format>
    <format dxfId="410">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 applyNumberFormats="0" applyBorderFormats="0" applyFontFormats="0" applyPatternFormats="0" applyAlignmentFormats="0" applyWidthHeightFormats="1" dataCaption="Values" updatedVersion="8" minRefreshableVersion="3" showCalcMbrs="0" useAutoFormatting="1" itemPrintTitles="1" createdVersion="3" indent="0" compact="0" compactData="0" gridDropZones="1" multipleFieldFilters="0">
  <location ref="A4:J142" firstHeaderRow="1" firstDataRow="2" firstDataCol="2" rowPageCount="1" colPageCount="1"/>
  <pivotFields count="9">
    <pivotField compact="0" numFmtId="15" outline="0" showAll="0"/>
    <pivotField axis="axisCol" compact="0" numFmtId="3" outline="0" showAll="0">
      <items count="9">
        <item x="0"/>
        <item x="1"/>
        <item h="1" x="7"/>
        <item x="2"/>
        <item x="3"/>
        <item x="4"/>
        <item x="5"/>
        <item x="6"/>
        <item t="default"/>
      </items>
    </pivotField>
    <pivotField axis="axisRow" compact="0" outline="0" showAll="0" sortType="ascending">
      <items count="26">
        <item x="1"/>
        <item x="0"/>
        <item x="16"/>
        <item m="1" x="24"/>
        <item x="9"/>
        <item x="11"/>
        <item x="12"/>
        <item x="8"/>
        <item x="7"/>
        <item x="10"/>
        <item x="19"/>
        <item x="20"/>
        <item x="22"/>
        <item x="21"/>
        <item x="18"/>
        <item x="17"/>
        <item x="13"/>
        <item x="14"/>
        <item x="15"/>
        <item x="2"/>
        <item x="6"/>
        <item x="3"/>
        <item x="4"/>
        <item x="5"/>
        <item h="1" x="23"/>
        <item t="default"/>
      </items>
    </pivotField>
    <pivotField axis="axisPage" compact="0" outline="0" showAll="0">
      <items count="4">
        <item x="1"/>
        <item x="0"/>
        <item x="2"/>
        <item t="default"/>
      </items>
    </pivotField>
    <pivotField compact="0" outline="0" multipleItemSelectionAllowed="1" showAll="0"/>
    <pivotField dataField="1" compact="0" numFmtId="4" outline="0" showAll="0"/>
    <pivotField axis="axisRow" compact="0" outline="0" showAll="0" sortType="ascending" defaultSubtotal="0">
      <items count="78">
        <item x="53"/>
        <item x="65"/>
        <item x="38"/>
        <item x="41"/>
        <item x="12"/>
        <item x="54"/>
        <item x="43"/>
        <item x="0"/>
        <item x="1"/>
        <item x="59"/>
        <item x="47"/>
        <item x="28"/>
        <item x="56"/>
        <item x="57"/>
        <item x="20"/>
        <item x="17"/>
        <item x="2"/>
        <item x="4"/>
        <item x="34"/>
        <item x="46"/>
        <item x="37"/>
        <item x="74"/>
        <item x="23"/>
        <item x="36"/>
        <item x="32"/>
        <item x="19"/>
        <item x="60"/>
        <item x="50"/>
        <item m="1" x="76"/>
        <item x="7"/>
        <item x="61"/>
        <item x="6"/>
        <item x="40"/>
        <item x="48"/>
        <item x="55"/>
        <item x="5"/>
        <item x="69"/>
        <item x="16"/>
        <item x="39"/>
        <item x="58"/>
        <item x="13"/>
        <item x="51"/>
        <item x="67"/>
        <item x="18"/>
        <item x="70"/>
        <item x="27"/>
        <item x="26"/>
        <item x="21"/>
        <item m="1" x="75"/>
        <item x="10"/>
        <item x="25"/>
        <item x="24"/>
        <item x="68"/>
        <item x="9"/>
        <item x="62"/>
        <item x="15"/>
        <item x="33"/>
        <item x="29"/>
        <item x="49"/>
        <item x="73"/>
        <item x="71"/>
        <item x="52"/>
        <item x="45"/>
        <item x="64"/>
        <item x="66"/>
        <item x="35"/>
        <item x="22"/>
        <item x="14"/>
        <item x="30"/>
        <item m="1" x="77"/>
        <item x="63"/>
        <item x="31"/>
        <item x="72"/>
        <item x="44"/>
        <item x="8"/>
        <item x="42"/>
        <item x="11"/>
        <item x="3"/>
      </items>
    </pivotField>
    <pivotField compact="0" outline="0" showAll="0" defaultSubtotal="0"/>
    <pivotField compact="0" outline="0" showAll="0" defaultSubtotal="0"/>
  </pivotFields>
  <rowFields count="2">
    <field x="2"/>
    <field x="6"/>
  </rowFields>
  <rowItems count="137">
    <i>
      <x/>
      <x v="8"/>
    </i>
    <i r="1">
      <x v="14"/>
    </i>
    <i r="1">
      <x v="29"/>
    </i>
    <i r="1">
      <x v="55"/>
    </i>
    <i t="default">
      <x/>
    </i>
    <i>
      <x v="1"/>
      <x v="7"/>
    </i>
    <i r="1">
      <x v="35"/>
    </i>
    <i r="1">
      <x v="44"/>
    </i>
    <i r="1">
      <x v="74"/>
    </i>
    <i t="default">
      <x v="1"/>
    </i>
    <i>
      <x v="2"/>
      <x/>
    </i>
    <i r="1">
      <x v="1"/>
    </i>
    <i r="1">
      <x v="5"/>
    </i>
    <i r="1">
      <x v="8"/>
    </i>
    <i r="1">
      <x v="9"/>
    </i>
    <i r="1">
      <x v="12"/>
    </i>
    <i r="1">
      <x v="13"/>
    </i>
    <i r="1">
      <x v="26"/>
    </i>
    <i r="1">
      <x v="30"/>
    </i>
    <i r="1">
      <x v="34"/>
    </i>
    <i r="1">
      <x v="36"/>
    </i>
    <i r="1">
      <x v="39"/>
    </i>
    <i r="1">
      <x v="42"/>
    </i>
    <i r="1">
      <x v="52"/>
    </i>
    <i r="1">
      <x v="54"/>
    </i>
    <i r="1">
      <x v="63"/>
    </i>
    <i r="1">
      <x v="64"/>
    </i>
    <i r="1">
      <x v="70"/>
    </i>
    <i t="default">
      <x v="2"/>
    </i>
    <i>
      <x v="4"/>
      <x v="22"/>
    </i>
    <i r="1">
      <x v="55"/>
    </i>
    <i t="default">
      <x v="4"/>
    </i>
    <i>
      <x v="5"/>
      <x v="18"/>
    </i>
    <i r="1">
      <x v="24"/>
    </i>
    <i r="1">
      <x v="45"/>
    </i>
    <i r="1">
      <x v="56"/>
    </i>
    <i r="1">
      <x v="65"/>
    </i>
    <i r="1">
      <x v="66"/>
    </i>
    <i r="1">
      <x v="71"/>
    </i>
    <i t="default">
      <x v="5"/>
    </i>
    <i>
      <x v="6"/>
      <x v="2"/>
    </i>
    <i r="1">
      <x v="20"/>
    </i>
    <i r="1">
      <x v="23"/>
    </i>
    <i r="1">
      <x v="24"/>
    </i>
    <i r="1">
      <x v="32"/>
    </i>
    <i r="1">
      <x v="38"/>
    </i>
    <i r="1">
      <x v="56"/>
    </i>
    <i r="1">
      <x v="65"/>
    </i>
    <i r="1">
      <x v="66"/>
    </i>
    <i r="1">
      <x v="76"/>
    </i>
    <i t="default">
      <x v="6"/>
    </i>
    <i>
      <x v="7"/>
      <x v="25"/>
    </i>
    <i r="1">
      <x v="46"/>
    </i>
    <i r="1">
      <x v="47"/>
    </i>
    <i r="1">
      <x v="50"/>
    </i>
    <i r="1">
      <x v="51"/>
    </i>
    <i r="1">
      <x v="66"/>
    </i>
    <i t="default">
      <x v="7"/>
    </i>
    <i>
      <x v="8"/>
      <x v="77"/>
    </i>
    <i t="default">
      <x v="8"/>
    </i>
    <i>
      <x v="9"/>
      <x v="3"/>
    </i>
    <i r="1">
      <x v="10"/>
    </i>
    <i r="1">
      <x v="11"/>
    </i>
    <i r="1">
      <x v="19"/>
    </i>
    <i r="1">
      <x v="33"/>
    </i>
    <i r="1">
      <x v="45"/>
    </i>
    <i r="1">
      <x v="57"/>
    </i>
    <i r="1">
      <x v="66"/>
    </i>
    <i r="1">
      <x v="75"/>
    </i>
    <i t="default">
      <x v="9"/>
    </i>
    <i>
      <x v="10"/>
      <x v="6"/>
    </i>
    <i r="1">
      <x v="22"/>
    </i>
    <i r="1">
      <x v="55"/>
    </i>
    <i t="default">
      <x v="10"/>
    </i>
    <i>
      <x v="11"/>
      <x v="18"/>
    </i>
    <i r="1">
      <x v="24"/>
    </i>
    <i r="1">
      <x v="45"/>
    </i>
    <i r="1">
      <x v="56"/>
    </i>
    <i r="1">
      <x v="65"/>
    </i>
    <i r="1">
      <x v="66"/>
    </i>
    <i r="1">
      <x v="71"/>
    </i>
    <i t="default">
      <x v="11"/>
    </i>
    <i>
      <x v="12"/>
      <x v="2"/>
    </i>
    <i r="1">
      <x v="20"/>
    </i>
    <i r="1">
      <x v="24"/>
    </i>
    <i r="1">
      <x v="38"/>
    </i>
    <i r="1">
      <x v="66"/>
    </i>
    <i r="1">
      <x v="76"/>
    </i>
    <i t="default">
      <x v="12"/>
    </i>
    <i>
      <x v="13"/>
      <x v="21"/>
    </i>
    <i t="default">
      <x v="13"/>
    </i>
    <i>
      <x v="14"/>
      <x v="46"/>
    </i>
    <i r="1">
      <x v="47"/>
    </i>
    <i r="1">
      <x v="51"/>
    </i>
    <i r="1">
      <x v="59"/>
    </i>
    <i r="1">
      <x v="66"/>
    </i>
    <i t="default">
      <x v="14"/>
    </i>
    <i>
      <x v="15"/>
      <x v="77"/>
    </i>
    <i t="default">
      <x v="15"/>
    </i>
    <i>
      <x v="16"/>
      <x v="6"/>
    </i>
    <i r="1">
      <x v="27"/>
    </i>
    <i r="1">
      <x v="58"/>
    </i>
    <i t="default">
      <x v="16"/>
    </i>
    <i>
      <x v="17"/>
      <x v="24"/>
    </i>
    <i r="1">
      <x v="38"/>
    </i>
    <i r="1">
      <x v="56"/>
    </i>
    <i r="1">
      <x v="65"/>
    </i>
    <i r="1">
      <x v="66"/>
    </i>
    <i t="default">
      <x v="17"/>
    </i>
    <i>
      <x v="18"/>
      <x v="62"/>
    </i>
    <i r="1">
      <x v="73"/>
    </i>
    <i t="default">
      <x v="18"/>
    </i>
    <i>
      <x v="19"/>
      <x v="4"/>
    </i>
    <i r="1">
      <x v="16"/>
    </i>
    <i r="1">
      <x v="37"/>
    </i>
    <i r="1">
      <x v="40"/>
    </i>
    <i r="1">
      <x v="41"/>
    </i>
    <i r="1">
      <x v="43"/>
    </i>
    <i r="1">
      <x v="49"/>
    </i>
    <i r="1">
      <x v="53"/>
    </i>
    <i r="1">
      <x v="61"/>
    </i>
    <i r="1">
      <x v="72"/>
    </i>
    <i r="1">
      <x v="76"/>
    </i>
    <i t="default">
      <x v="19"/>
    </i>
    <i>
      <x v="20"/>
      <x v="15"/>
    </i>
    <i r="1">
      <x v="31"/>
    </i>
    <i r="1">
      <x v="68"/>
    </i>
    <i t="default">
      <x v="20"/>
    </i>
    <i>
      <x v="21"/>
      <x v="77"/>
    </i>
    <i t="default">
      <x v="21"/>
    </i>
    <i>
      <x v="22"/>
      <x v="17"/>
    </i>
    <i r="1">
      <x v="60"/>
    </i>
    <i r="1">
      <x v="67"/>
    </i>
    <i t="default">
      <x v="22"/>
    </i>
    <i>
      <x v="23"/>
      <x v="77"/>
    </i>
    <i t="default">
      <x v="23"/>
    </i>
    <i t="grand">
      <x/>
    </i>
  </rowItems>
  <colFields count="1">
    <field x="1"/>
  </colFields>
  <colItems count="8">
    <i>
      <x/>
    </i>
    <i>
      <x v="1"/>
    </i>
    <i>
      <x v="3"/>
    </i>
    <i>
      <x v="4"/>
    </i>
    <i>
      <x v="5"/>
    </i>
    <i>
      <x v="6"/>
    </i>
    <i>
      <x v="7"/>
    </i>
    <i t="grand">
      <x/>
    </i>
  </colItems>
  <pageFields count="1">
    <pageField fld="3" hier="-1"/>
  </pageFields>
  <dataFields count="1">
    <dataField name="Sum of Amount" fld="5" baseField="0" baseItem="0" numFmtId="4"/>
  </dataFields>
  <formats count="5">
    <format dxfId="409">
      <pivotArea type="all" dataOnly="0" outline="0" fieldPosition="0"/>
    </format>
    <format dxfId="408">
      <pivotArea dataOnly="0" outline="0" fieldPosition="0">
        <references count="1">
          <reference field="1" count="0" defaultSubtotal="1"/>
        </references>
      </pivotArea>
    </format>
    <format dxfId="407">
      <pivotArea outline="0" collapsedLevelsAreSubtotals="1" fieldPosition="0"/>
    </format>
    <format dxfId="406">
      <pivotArea type="all" dataOnly="0" outline="0" fieldPosition="0"/>
    </format>
    <format dxfId="405">
      <pivotArea dataOnly="0" outline="0" fieldPosition="0">
        <references count="1">
          <reference field="2" count="0" defaultSubtotal="1"/>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8" minRefreshableVersion="3" showCalcMbrs="0" useAutoFormatting="1" itemPrintTitles="1" createdVersion="3" indent="0" compact="0" compactData="0" gridDropZones="1" multipleFieldFilters="0">
  <location ref="L3:N10" firstHeaderRow="1" firstDataRow="2" firstDataCol="1" rowPageCount="1" colPageCount="1"/>
  <pivotFields count="9">
    <pivotField compact="0" outline="0" showAll="0"/>
    <pivotField compact="0" outline="0" showAll="0"/>
    <pivotField axis="axisPage" compact="0" outline="0" multipleItemSelectionAllowed="1" showAll="0">
      <items count="24">
        <item h="1" x="1"/>
        <item h="1" x="0"/>
        <item h="1" x="9"/>
        <item h="1" x="8"/>
        <item h="1" x="7"/>
        <item h="1" x="2"/>
        <item h="1" x="6"/>
        <item h="1" x="3"/>
        <item h="1" x="4"/>
        <item h="1" x="5"/>
        <item h="1" x="10"/>
        <item h="1" x="11"/>
        <item h="1" x="12"/>
        <item h="1" x="13"/>
        <item h="1" x="14"/>
        <item h="1" x="15"/>
        <item h="1" x="16"/>
        <item h="1" x="17"/>
        <item x="18"/>
        <item h="1" x="19"/>
        <item x="20"/>
        <item h="1" x="21"/>
        <item x="22"/>
        <item t="default"/>
      </items>
    </pivotField>
    <pivotField compact="0" outline="0" showAll="0"/>
    <pivotField compact="0" outline="0" showAll="0"/>
    <pivotField dataField="1" compact="0" outline="0" showAll="0"/>
    <pivotField axis="axisRow" compact="0" outline="0" showAll="0">
      <items count="76">
        <item x="12"/>
        <item x="0"/>
        <item x="1"/>
        <item x="20"/>
        <item x="17"/>
        <item x="2"/>
        <item x="4"/>
        <item x="23"/>
        <item x="19"/>
        <item x="6"/>
        <item x="5"/>
        <item x="16"/>
        <item x="13"/>
        <item x="18"/>
        <item x="21"/>
        <item x="10"/>
        <item x="25"/>
        <item x="24"/>
        <item x="9"/>
        <item x="15"/>
        <item h="1" x="22"/>
        <item x="14"/>
        <item x="8"/>
        <item h="1" x="11"/>
        <item x="3"/>
        <item x="26"/>
        <item h="1" x="27"/>
        <item x="28"/>
        <item x="29"/>
        <item h="1" x="31"/>
        <item x="30"/>
        <item x="7"/>
        <item x="32"/>
        <item h="1" x="33"/>
        <item h="1" x="34"/>
        <item h="1" x="35"/>
        <item x="36"/>
        <item h="1" x="37"/>
        <item h="1" x="38"/>
        <item h="1"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compact="0" outline="0" showAll="0"/>
    <pivotField dataField="1" compact="0" outline="0" showAll="0"/>
  </pivotFields>
  <rowFields count="1">
    <field x="6"/>
  </rowFields>
  <rowItems count="6">
    <i>
      <x v="14"/>
    </i>
    <i>
      <x v="17"/>
    </i>
    <i>
      <x v="25"/>
    </i>
    <i>
      <x v="32"/>
    </i>
    <i>
      <x v="73"/>
    </i>
    <i t="grand">
      <x/>
    </i>
  </rowItems>
  <colFields count="1">
    <field x="-2"/>
  </colFields>
  <colItems count="2">
    <i>
      <x/>
    </i>
    <i i="1">
      <x v="1"/>
    </i>
  </colItems>
  <pageFields count="1">
    <pageField fld="2" hier="-1"/>
  </pageFields>
  <dataFields count="2">
    <dataField name="Sum of Amount" fld="5" baseField="0" baseItem="0" numFmtId="164"/>
    <dataField name="Sum of Medicine count" fld="8" baseField="0" baseItem="0"/>
  </dataFields>
  <formats count="6">
    <format dxfId="404">
      <pivotArea type="all" dataOnly="0" outline="0" fieldPosition="0"/>
    </format>
    <format dxfId="403">
      <pivotArea type="all" dataOnly="0" outline="0" fieldPosition="0"/>
    </format>
    <format dxfId="402">
      <pivotArea outline="0" collapsedLevelsAreSubtotals="1" fieldPosition="0">
        <references count="1">
          <reference field="4294967294" count="1" selected="0">
            <x v="0"/>
          </reference>
        </references>
      </pivotArea>
    </format>
    <format dxfId="401">
      <pivotArea dataOnly="0" labelOnly="1" outline="0" fieldPosition="0">
        <references count="1">
          <reference field="4294967294" count="2">
            <x v="0"/>
            <x v="1"/>
          </reference>
        </references>
      </pivotArea>
    </format>
    <format dxfId="400">
      <pivotArea type="all" dataOnly="0" outline="0" fieldPosition="0"/>
    </format>
    <format dxfId="399">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0" applyNumberFormats="0" applyBorderFormats="0" applyFontFormats="0" applyPatternFormats="0" applyAlignmentFormats="0" applyWidthHeightFormats="1" dataCaption="Values" updatedVersion="8" minRefreshableVersion="3" showCalcMbrs="0" useAutoFormatting="1" itemPrintTitles="1" createdVersion="3" indent="0" compact="0" compactData="0" gridDropZones="1" multipleFieldFilters="0">
  <location ref="A3:O23" firstHeaderRow="1" firstDataRow="2" firstDataCol="2"/>
  <pivotFields count="7">
    <pivotField compact="0" numFmtId="15" outline="0" showAll="0"/>
    <pivotField axis="axisCol" compact="0" outline="0" showAll="0">
      <items count="13">
        <item x="7"/>
        <item x="8"/>
        <item x="9"/>
        <item x="10"/>
        <item x="11"/>
        <item x="0"/>
        <item x="1"/>
        <item x="2"/>
        <item x="3"/>
        <item x="4"/>
        <item x="5"/>
        <item x="6"/>
        <item t="default"/>
      </items>
    </pivotField>
    <pivotField axis="axisRow" compact="0" outline="0" showAll="0">
      <items count="3">
        <item x="0"/>
        <item x="1"/>
        <item t="default"/>
      </items>
    </pivotField>
    <pivotField axis="axisRow" compact="0" outline="0" showAll="0" sortType="ascending">
      <items count="12">
        <item x="1"/>
        <item x="9"/>
        <item x="10"/>
        <item x="2"/>
        <item x="5"/>
        <item x="8"/>
        <item x="0"/>
        <item x="4"/>
        <item x="3"/>
        <item x="6"/>
        <item x="7"/>
        <item t="default"/>
      </items>
    </pivotField>
    <pivotField compact="0" outline="0" showAll="0"/>
    <pivotField dataField="1" compact="0" outline="0" showAll="0"/>
    <pivotField compact="0" outline="0" showAll="0"/>
  </pivotFields>
  <rowFields count="2">
    <field x="2"/>
    <field x="3"/>
  </rowFields>
  <rowItems count="19">
    <i>
      <x/>
      <x/>
    </i>
    <i r="1">
      <x v="3"/>
    </i>
    <i r="1">
      <x v="4"/>
    </i>
    <i r="1">
      <x v="6"/>
    </i>
    <i r="1">
      <x v="7"/>
    </i>
    <i r="1">
      <x v="8"/>
    </i>
    <i r="1">
      <x v="9"/>
    </i>
    <i r="1">
      <x v="10"/>
    </i>
    <i t="default">
      <x/>
    </i>
    <i>
      <x v="1"/>
      <x v="1"/>
    </i>
    <i r="1">
      <x v="2"/>
    </i>
    <i r="1">
      <x v="3"/>
    </i>
    <i r="1">
      <x v="4"/>
    </i>
    <i r="1">
      <x v="5"/>
    </i>
    <i r="1">
      <x v="6"/>
    </i>
    <i r="1">
      <x v="8"/>
    </i>
    <i r="1">
      <x v="10"/>
    </i>
    <i t="default">
      <x v="1"/>
    </i>
    <i t="grand">
      <x/>
    </i>
  </rowItems>
  <colFields count="1">
    <field x="1"/>
  </colFields>
  <colItems count="13">
    <i>
      <x/>
    </i>
    <i>
      <x v="1"/>
    </i>
    <i>
      <x v="2"/>
    </i>
    <i>
      <x v="3"/>
    </i>
    <i>
      <x v="4"/>
    </i>
    <i>
      <x v="5"/>
    </i>
    <i>
      <x v="6"/>
    </i>
    <i>
      <x v="7"/>
    </i>
    <i>
      <x v="8"/>
    </i>
    <i>
      <x v="9"/>
    </i>
    <i>
      <x v="10"/>
    </i>
    <i>
      <x v="11"/>
    </i>
    <i t="grand">
      <x/>
    </i>
  </colItems>
  <dataFields count="1">
    <dataField name="Sum of Amount" fld="5" baseField="0" baseItem="0" numFmtId="3"/>
  </dataFields>
  <formats count="5">
    <format dxfId="398">
      <pivotArea type="all" dataOnly="0" outline="0" fieldPosition="0"/>
    </format>
    <format dxfId="397">
      <pivotArea type="all" dataOnly="0" outline="0" fieldPosition="0"/>
    </format>
    <format dxfId="396">
      <pivotArea outline="0" fieldPosition="0">
        <references count="1">
          <reference field="4294967294" count="1">
            <x v="0"/>
          </reference>
        </references>
      </pivotArea>
    </format>
    <format dxfId="395">
      <pivotArea dataOnly="0" outline="0" fieldPosition="0">
        <references count="1">
          <reference field="2" count="0" defaultSubtotal="1"/>
        </references>
      </pivotArea>
    </format>
    <format dxfId="394">
      <pivotArea outline="0" fieldPosition="0">
        <references count="1">
          <reference field="4294967294" count="1">
            <x v="0"/>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9BD4AF-52EA-4DBF-8165-B151CA1D4948}" name="PivotTable1" cacheId="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M39" firstHeaderRow="1" firstDataRow="3" firstDataCol="1"/>
  <pivotFields count="16">
    <pivotField compact="0" outline="0" showAll="0"/>
    <pivotField compact="0" outline="0" showAll="0"/>
    <pivotField compact="0" outline="0" showAll="0"/>
    <pivotField axis="axisRow" compact="0" outline="0" showAll="0">
      <items count="15">
        <item x="1"/>
        <item x="12"/>
        <item x="5"/>
        <item x="7"/>
        <item x="10"/>
        <item x="3"/>
        <item x="4"/>
        <item x="9"/>
        <item x="2"/>
        <item x="6"/>
        <item x="8"/>
        <item x="13"/>
        <item x="0"/>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6">
        <item x="1"/>
        <item x="0"/>
        <item x="2"/>
        <item x="3"/>
        <item x="4"/>
        <item t="default"/>
      </items>
    </pivotField>
    <pivotField compact="0" outline="0" showAll="0"/>
    <pivotField compact="0" outline="0" showAll="0"/>
    <pivotField compact="0" outline="0" showAll="0"/>
    <pivotField dataField="1" compact="0" outline="0" showAll="0"/>
    <pivotField dataField="1" compact="0" numFmtId="1" outline="0" showAll="0">
      <items count="42">
        <item x="25"/>
        <item x="0"/>
        <item x="1"/>
        <item x="19"/>
        <item x="5"/>
        <item x="39"/>
        <item x="7"/>
        <item x="20"/>
        <item x="23"/>
        <item x="21"/>
        <item x="24"/>
        <item x="9"/>
        <item x="38"/>
        <item x="12"/>
        <item x="40"/>
        <item x="31"/>
        <item x="6"/>
        <item x="8"/>
        <item x="3"/>
        <item x="29"/>
        <item x="4"/>
        <item x="2"/>
        <item x="28"/>
        <item x="18"/>
        <item x="16"/>
        <item x="14"/>
        <item x="30"/>
        <item x="10"/>
        <item x="34"/>
        <item x="15"/>
        <item x="27"/>
        <item x="36"/>
        <item x="17"/>
        <item x="11"/>
        <item x="32"/>
        <item x="35"/>
        <item x="37"/>
        <item x="13"/>
        <item x="22"/>
        <item x="26"/>
        <item x="33"/>
        <item t="default"/>
      </items>
    </pivotField>
  </pivotFields>
  <rowFields count="1">
    <field x="3"/>
  </rowFields>
  <rowItems count="15">
    <i>
      <x/>
    </i>
    <i>
      <x v="1"/>
    </i>
    <i>
      <x v="2"/>
    </i>
    <i>
      <x v="3"/>
    </i>
    <i>
      <x v="4"/>
    </i>
    <i>
      <x v="5"/>
    </i>
    <i>
      <x v="6"/>
    </i>
    <i>
      <x v="7"/>
    </i>
    <i>
      <x v="8"/>
    </i>
    <i>
      <x v="9"/>
    </i>
    <i>
      <x v="10"/>
    </i>
    <i>
      <x v="11"/>
    </i>
    <i>
      <x v="12"/>
    </i>
    <i>
      <x v="13"/>
    </i>
    <i t="grand">
      <x/>
    </i>
  </rowItems>
  <colFields count="2">
    <field x="10"/>
    <field x="-2"/>
  </colFields>
  <colItems count="12">
    <i>
      <x/>
      <x/>
    </i>
    <i r="1" i="1">
      <x v="1"/>
    </i>
    <i>
      <x v="1"/>
      <x/>
    </i>
    <i r="1" i="1">
      <x v="1"/>
    </i>
    <i>
      <x v="2"/>
      <x/>
    </i>
    <i r="1" i="1">
      <x v="1"/>
    </i>
    <i>
      <x v="3"/>
      <x/>
    </i>
    <i r="1" i="1">
      <x v="1"/>
    </i>
    <i>
      <x v="4"/>
      <x/>
    </i>
    <i r="1" i="1">
      <x v="1"/>
    </i>
    <i t="grand">
      <x/>
    </i>
    <i t="grand" i="1">
      <x/>
    </i>
  </colItems>
  <dataFields count="2">
    <dataField name="Cost" fld="15" baseField="3" baseItem="0" numFmtId="1"/>
    <dataField name="Sale" fld="14" baseField="3" baseItem="0"/>
  </dataFields>
  <formats count="66">
    <format dxfId="70">
      <pivotArea type="all" dataOnly="0" outline="0" fieldPosition="0"/>
    </format>
    <format dxfId="71">
      <pivotArea outline="0" collapsedLevelsAreSubtotals="1" fieldPosition="0"/>
    </format>
    <format dxfId="72">
      <pivotArea type="origin" dataOnly="0" labelOnly="1" outline="0" fieldPosition="0"/>
    </format>
    <format dxfId="73">
      <pivotArea field="10" type="button" dataOnly="0" labelOnly="1" outline="0" axis="axisCol" fieldPosition="0"/>
    </format>
    <format dxfId="74">
      <pivotArea field="-2" type="button" dataOnly="0" labelOnly="1" outline="0" axis="axisCol" fieldPosition="1"/>
    </format>
    <format dxfId="75">
      <pivotArea type="topRight" dataOnly="0" labelOnly="1" outline="0" fieldPosition="0"/>
    </format>
    <format dxfId="76">
      <pivotArea field="3" type="button" dataOnly="0" labelOnly="1" outline="0" axis="axisRow" fieldPosition="0"/>
    </format>
    <format dxfId="77">
      <pivotArea dataOnly="0" labelOnly="1" outline="0" fieldPosition="0">
        <references count="1">
          <reference field="3" count="0"/>
        </references>
      </pivotArea>
    </format>
    <format dxfId="78">
      <pivotArea dataOnly="0" labelOnly="1" grandRow="1" outline="0" fieldPosition="0"/>
    </format>
    <format dxfId="79">
      <pivotArea dataOnly="0" labelOnly="1" outline="0" fieldPosition="0">
        <references count="1">
          <reference field="10" count="0"/>
        </references>
      </pivotArea>
    </format>
    <format dxfId="80">
      <pivotArea field="10" dataOnly="0" labelOnly="1" grandRow="1" outline="0" axis="axisCol" fieldPosition="0">
        <references count="1">
          <reference field="4294967294" count="1" selected="0">
            <x v="0"/>
          </reference>
        </references>
      </pivotArea>
    </format>
    <format dxfId="81">
      <pivotArea field="10" dataOnly="0" labelOnly="1" grandRow="1" outline="0" axis="axisCol" fieldPosition="0">
        <references count="1">
          <reference field="4294967294" count="1" selected="0">
            <x v="1"/>
          </reference>
        </references>
      </pivotArea>
    </format>
    <format dxfId="82">
      <pivotArea dataOnly="0" labelOnly="1" outline="0" fieldPosition="0">
        <references count="2">
          <reference field="4294967294" count="2">
            <x v="0"/>
            <x v="1"/>
          </reference>
          <reference field="10" count="1" selected="0">
            <x v="0"/>
          </reference>
        </references>
      </pivotArea>
    </format>
    <format dxfId="83">
      <pivotArea dataOnly="0" labelOnly="1" outline="0" fieldPosition="0">
        <references count="2">
          <reference field="4294967294" count="2">
            <x v="0"/>
            <x v="1"/>
          </reference>
          <reference field="10" count="1" selected="0">
            <x v="1"/>
          </reference>
        </references>
      </pivotArea>
    </format>
    <format dxfId="84">
      <pivotArea dataOnly="0" labelOnly="1" outline="0" fieldPosition="0">
        <references count="2">
          <reference field="4294967294" count="2">
            <x v="0"/>
            <x v="1"/>
          </reference>
          <reference field="10" count="1" selected="0">
            <x v="2"/>
          </reference>
        </references>
      </pivotArea>
    </format>
    <format dxfId="85">
      <pivotArea dataOnly="0" labelOnly="1" outline="0" fieldPosition="0">
        <references count="2">
          <reference field="4294967294" count="2">
            <x v="0"/>
            <x v="1"/>
          </reference>
          <reference field="10" count="1" selected="0">
            <x v="3"/>
          </reference>
        </references>
      </pivotArea>
    </format>
    <format dxfId="86">
      <pivotArea dataOnly="0" labelOnly="1" outline="0" fieldPosition="0">
        <references count="2">
          <reference field="4294967294" count="2">
            <x v="0"/>
            <x v="1"/>
          </reference>
          <reference field="10" count="1" selected="0">
            <x v="4"/>
          </reference>
        </references>
      </pivotArea>
    </format>
    <format dxfId="87">
      <pivotArea type="all" dataOnly="0" outline="0" fieldPosition="0"/>
    </format>
    <format dxfId="88">
      <pivotArea outline="0" collapsedLevelsAreSubtotals="1" fieldPosition="0"/>
    </format>
    <format dxfId="89">
      <pivotArea type="origin" dataOnly="0" labelOnly="1" outline="0" fieldPosition="0"/>
    </format>
    <format dxfId="90">
      <pivotArea field="10" type="button" dataOnly="0" labelOnly="1" outline="0" axis="axisCol" fieldPosition="0"/>
    </format>
    <format dxfId="91">
      <pivotArea field="-2" type="button" dataOnly="0" labelOnly="1" outline="0" axis="axisCol" fieldPosition="1"/>
    </format>
    <format dxfId="92">
      <pivotArea type="topRight" dataOnly="0" labelOnly="1" outline="0" fieldPosition="0"/>
    </format>
    <format dxfId="93">
      <pivotArea field="3" type="button" dataOnly="0" labelOnly="1" outline="0" axis="axisRow" fieldPosition="0"/>
    </format>
    <format dxfId="94">
      <pivotArea dataOnly="0" labelOnly="1" outline="0" fieldPosition="0">
        <references count="1">
          <reference field="3" count="0"/>
        </references>
      </pivotArea>
    </format>
    <format dxfId="95">
      <pivotArea dataOnly="0" labelOnly="1" grandRow="1" outline="0" fieldPosition="0"/>
    </format>
    <format dxfId="96">
      <pivotArea dataOnly="0" labelOnly="1" outline="0" fieldPosition="0">
        <references count="1">
          <reference field="10" count="0"/>
        </references>
      </pivotArea>
    </format>
    <format dxfId="97">
      <pivotArea field="10" dataOnly="0" labelOnly="1" grandRow="1" outline="0" axis="axisCol" fieldPosition="0">
        <references count="1">
          <reference field="4294967294" count="1" selected="0">
            <x v="0"/>
          </reference>
        </references>
      </pivotArea>
    </format>
    <format dxfId="98">
      <pivotArea field="10" dataOnly="0" labelOnly="1" grandRow="1" outline="0" axis="axisCol" fieldPosition="0">
        <references count="1">
          <reference field="4294967294" count="1" selected="0">
            <x v="1"/>
          </reference>
        </references>
      </pivotArea>
    </format>
    <format dxfId="99">
      <pivotArea dataOnly="0" labelOnly="1" outline="0" fieldPosition="0">
        <references count="2">
          <reference field="4294967294" count="2">
            <x v="0"/>
            <x v="1"/>
          </reference>
          <reference field="10" count="1" selected="0">
            <x v="0"/>
          </reference>
        </references>
      </pivotArea>
    </format>
    <format dxfId="100">
      <pivotArea dataOnly="0" labelOnly="1" outline="0" fieldPosition="0">
        <references count="2">
          <reference field="4294967294" count="2">
            <x v="0"/>
            <x v="1"/>
          </reference>
          <reference field="10" count="1" selected="0">
            <x v="1"/>
          </reference>
        </references>
      </pivotArea>
    </format>
    <format dxfId="101">
      <pivotArea dataOnly="0" labelOnly="1" outline="0" fieldPosition="0">
        <references count="2">
          <reference field="4294967294" count="2">
            <x v="0"/>
            <x v="1"/>
          </reference>
          <reference field="10" count="1" selected="0">
            <x v="2"/>
          </reference>
        </references>
      </pivotArea>
    </format>
    <format dxfId="102">
      <pivotArea dataOnly="0" labelOnly="1" outline="0" fieldPosition="0">
        <references count="2">
          <reference field="4294967294" count="2">
            <x v="0"/>
            <x v="1"/>
          </reference>
          <reference field="10" count="1" selected="0">
            <x v="3"/>
          </reference>
        </references>
      </pivotArea>
    </format>
    <format dxfId="103">
      <pivotArea dataOnly="0" labelOnly="1" outline="0" fieldPosition="0">
        <references count="2">
          <reference field="4294967294" count="2">
            <x v="0"/>
            <x v="1"/>
          </reference>
          <reference field="10" count="1" selected="0">
            <x v="4"/>
          </reference>
        </references>
      </pivotArea>
    </format>
    <format dxfId="104">
      <pivotArea field="10" type="button" dataOnly="0" labelOnly="1" outline="0" axis="axisCol" fieldPosition="0"/>
    </format>
    <format dxfId="105">
      <pivotArea field="-2" type="button" dataOnly="0" labelOnly="1" outline="0" axis="axisCol" fieldPosition="1"/>
    </format>
    <format dxfId="106">
      <pivotArea type="topRight" dataOnly="0" labelOnly="1" outline="0" fieldPosition="0"/>
    </format>
    <format dxfId="107">
      <pivotArea dataOnly="0" labelOnly="1" outline="0" fieldPosition="0">
        <references count="1">
          <reference field="10" count="0"/>
        </references>
      </pivotArea>
    </format>
    <format dxfId="108">
      <pivotArea field="10" dataOnly="0" labelOnly="1" grandRow="1" outline="0" axis="axisCol" fieldPosition="0">
        <references count="1">
          <reference field="4294967294" count="1" selected="0">
            <x v="0"/>
          </reference>
        </references>
      </pivotArea>
    </format>
    <format dxfId="109">
      <pivotArea field="10" dataOnly="0" labelOnly="1" grandRow="1" outline="0" axis="axisCol" fieldPosition="0">
        <references count="1">
          <reference field="4294967294" count="1" selected="0">
            <x v="1"/>
          </reference>
        </references>
      </pivotArea>
    </format>
    <format dxfId="110">
      <pivotArea dataOnly="0" labelOnly="1" outline="0" fieldPosition="0">
        <references count="2">
          <reference field="4294967294" count="2">
            <x v="0"/>
            <x v="1"/>
          </reference>
          <reference field="10" count="1" selected="0">
            <x v="0"/>
          </reference>
        </references>
      </pivotArea>
    </format>
    <format dxfId="111">
      <pivotArea dataOnly="0" labelOnly="1" outline="0" fieldPosition="0">
        <references count="2">
          <reference field="4294967294" count="2">
            <x v="0"/>
            <x v="1"/>
          </reference>
          <reference field="10" count="1" selected="0">
            <x v="1"/>
          </reference>
        </references>
      </pivotArea>
    </format>
    <format dxfId="112">
      <pivotArea dataOnly="0" labelOnly="1" outline="0" fieldPosition="0">
        <references count="2">
          <reference field="4294967294" count="2">
            <x v="0"/>
            <x v="1"/>
          </reference>
          <reference field="10" count="1" selected="0">
            <x v="2"/>
          </reference>
        </references>
      </pivotArea>
    </format>
    <format dxfId="113">
      <pivotArea dataOnly="0" labelOnly="1" outline="0" fieldPosition="0">
        <references count="2">
          <reference field="4294967294" count="2">
            <x v="0"/>
            <x v="1"/>
          </reference>
          <reference field="10" count="1" selected="0">
            <x v="3"/>
          </reference>
        </references>
      </pivotArea>
    </format>
    <format dxfId="114">
      <pivotArea dataOnly="0" labelOnly="1" outline="0" fieldPosition="0">
        <references count="2">
          <reference field="4294967294" count="2">
            <x v="0"/>
            <x v="1"/>
          </reference>
          <reference field="10" count="1" selected="0">
            <x v="4"/>
          </reference>
        </references>
      </pivotArea>
    </format>
    <format dxfId="115">
      <pivotArea type="origin" dataOnly="0" labelOnly="1" outline="0" fieldPosition="0"/>
    </format>
    <format dxfId="116">
      <pivotArea grandRow="1" outline="0" collapsedLevelsAreSubtotals="1" fieldPosition="0"/>
    </format>
    <format dxfId="117">
      <pivotArea dataOnly="0" labelOnly="1" grandRow="1" outline="0" fieldPosition="0"/>
    </format>
    <format dxfId="118">
      <pivotArea type="all" dataOnly="0" outline="0" fieldPosition="0"/>
    </format>
    <format dxfId="119">
      <pivotArea field="10" grandCol="1" outline="0" axis="axisCol" fieldPosition="0">
        <references count="2">
          <reference field="4294967294" count="1" selected="0">
            <x v="0"/>
          </reference>
          <reference field="10" count="1" selected="0">
            <x v="4"/>
          </reference>
        </references>
      </pivotArea>
    </format>
    <format dxfId="120">
      <pivotArea grandRow="1" outline="0" collapsedLevelsAreSubtotals="1" fieldPosition="0"/>
    </format>
    <format dxfId="121">
      <pivotArea field="10" dataOnly="0" grandRow="1" outline="0" axis="axisCol" fieldPosition="0">
        <references count="1">
          <reference field="10" count="0"/>
        </references>
      </pivotArea>
    </format>
    <format dxfId="122">
      <pivotArea dataOnly="0" outline="0" fieldPosition="0">
        <references count="1">
          <reference field="10" count="0"/>
        </references>
      </pivotArea>
    </format>
    <format dxfId="123">
      <pivotArea dataOnly="0" outline="0" fieldPosition="0">
        <references count="1">
          <reference field="10" count="1">
            <x v="0"/>
          </reference>
        </references>
      </pivotArea>
    </format>
    <format dxfId="124">
      <pivotArea dataOnly="0" outline="0" fieldPosition="0">
        <references count="1">
          <reference field="10" count="1">
            <x v="2"/>
          </reference>
        </references>
      </pivotArea>
    </format>
    <format dxfId="125">
      <pivotArea dataOnly="0" outline="0" fieldPosition="0">
        <references count="1">
          <reference field="10" count="1">
            <x v="4"/>
          </reference>
        </references>
      </pivotArea>
    </format>
    <format dxfId="126">
      <pivotArea dataOnly="0" outline="0" fieldPosition="0">
        <references count="1">
          <reference field="4294967294" count="1">
            <x v="0"/>
          </reference>
        </references>
      </pivotArea>
    </format>
    <format dxfId="127">
      <pivotArea field="10" dataOnly="0" grandRow="1" outline="0" axis="axisCol" fieldPosition="0">
        <references count="1">
          <reference field="4294967294" count="1" selected="0">
            <x v="1"/>
          </reference>
        </references>
      </pivotArea>
    </format>
    <format dxfId="128">
      <pivotArea field="10" dataOnly="0" labelOnly="1" grandRow="1" outline="0" axis="axisCol" fieldPosition="0">
        <references count="1">
          <reference field="4294967294" count="1" selected="0">
            <x v="0"/>
          </reference>
        </references>
      </pivotArea>
    </format>
    <format dxfId="129">
      <pivotArea grandRow="1" grandCol="1" outline="0" fieldPosition="0">
        <references count="1">
          <reference field="4294967294" count="2" selected="0">
            <x v="0"/>
            <x v="1"/>
          </reference>
        </references>
      </pivotArea>
    </format>
    <format dxfId="130">
      <pivotArea field="10" grandCol="1" outline="0" axis="axisCol" fieldPosition="0">
        <references count="2">
          <reference field="4294967294" count="2" selected="0">
            <x v="0"/>
            <x v="1"/>
          </reference>
          <reference field="10" count="0" selected="0"/>
        </references>
      </pivotArea>
    </format>
    <format dxfId="8">
      <pivotArea field="10" dataOnly="0" labelOnly="1" grandCol="1" outline="0" axis="axisCol" fieldPosition="0">
        <references count="1">
          <reference field="4294967294" count="1" selected="0">
            <x v="0"/>
          </reference>
        </references>
      </pivotArea>
    </format>
    <format dxfId="6">
      <pivotArea field="10" dataOnly="0" labelOnly="1" grandCol="1" outline="0" axis="axisCol" fieldPosition="0">
        <references count="1">
          <reference field="4294967294" count="1" selected="0">
            <x v="1"/>
          </reference>
        </references>
      </pivotArea>
    </format>
    <format dxfId="4">
      <pivotArea field="10" dataOnly="0" labelOnly="1" grandCol="1" outline="0" axis="axisCol" fieldPosition="0">
        <references count="1">
          <reference field="4294967294" count="1" selected="0">
            <x v="0"/>
          </reference>
        </references>
      </pivotArea>
    </format>
    <format dxfId="2">
      <pivotArea field="10" dataOnly="0" labelOnly="1" grandCol="1" outline="0" axis="axisCol" fieldPosition="0">
        <references count="1">
          <reference field="4294967294" count="1" selected="0">
            <x v="1"/>
          </reference>
        </references>
      </pivotArea>
    </format>
    <format dxfId="0">
      <pivotArea field="3"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9A5418-754C-4707-B86A-2B4425C33C8E}" name="PivotTable2" cacheId="77" applyNumberFormats="0" applyBorderFormats="0" applyFontFormats="0" applyPatternFormats="0" applyAlignmentFormats="0" applyWidthHeightFormats="1" dataCaption="Values" updatedVersion="8" minRefreshableVersion="3" useAutoFormatting="1" itemPrintTitles="1" createdVersion="6" indent="0" compact="0" compactData="0" gridDropZones="1" multipleFieldFilters="0" chartFormat="1" fieldListSortAscending="1">
  <location ref="A2:M19" firstHeaderRow="1" firstDataRow="3" firstDataCol="1"/>
  <pivotFields count="15">
    <pivotField compact="0" outline="0" subtotalTop="0" showAll="0"/>
    <pivotField compact="0" outline="0" subtotalTop="0" multipleItemSelectionAllowed="1" showAll="0"/>
    <pivotField compact="0" outline="0" subtotalTop="0" showAll="0" includeNewItemsInFilter="1" sortType="ascending" defaultSubtotal="0">
      <items count="68">
        <item x="56"/>
        <item x="16"/>
        <item x="43"/>
        <item x="40"/>
        <item x="26"/>
        <item x="50"/>
        <item x="49"/>
        <item x="12"/>
        <item x="54"/>
        <item x="5"/>
        <item x="8"/>
        <item x="53"/>
        <item x="25"/>
        <item x="0"/>
        <item x="24"/>
        <item x="9"/>
        <item x="35"/>
        <item x="55"/>
        <item x="15"/>
        <item x="6"/>
        <item x="46"/>
        <item x="3"/>
        <item x="66"/>
        <item x="14"/>
        <item x="36"/>
        <item x="37"/>
        <item x="59"/>
        <item x="45"/>
        <item x="62"/>
        <item x="34"/>
        <item x="31"/>
        <item x="60"/>
        <item x="30"/>
        <item x="11"/>
        <item x="18"/>
        <item x="1"/>
        <item x="52"/>
        <item x="20"/>
        <item x="32"/>
        <item x="19"/>
        <item x="2"/>
        <item x="65"/>
        <item x="58"/>
        <item x="41"/>
        <item x="7"/>
        <item x="21"/>
        <item x="33"/>
        <item x="64"/>
        <item x="29"/>
        <item x="47"/>
        <item x="10"/>
        <item x="38"/>
        <item x="39"/>
        <item x="61"/>
        <item x="17"/>
        <item x="22"/>
        <item x="27"/>
        <item x="28"/>
        <item x="4"/>
        <item x="23"/>
        <item x="48"/>
        <item x="44"/>
        <item x="51"/>
        <item x="13"/>
        <item x="63"/>
        <item x="42"/>
        <item x="57"/>
        <item x="67"/>
      </items>
    </pivotField>
    <pivotField axis="axisRow" compact="0" outline="0" subtotalTop="0" showAll="0">
      <items count="16">
        <item x="1"/>
        <item x="12"/>
        <item x="5"/>
        <item x="7"/>
        <item x="10"/>
        <item x="3"/>
        <item x="4"/>
        <item x="9"/>
        <item x="2"/>
        <item x="6"/>
        <item x="8"/>
        <item x="13"/>
        <item x="0"/>
        <item x="11"/>
        <item x="14"/>
        <item t="default"/>
      </items>
    </pivotField>
    <pivotField compact="0" outline="0" subtotalTop="0" showAll="0" sortType="ascending">
      <items count="45">
        <item x="7"/>
        <item x="41"/>
        <item x="32"/>
        <item x="22"/>
        <item x="37"/>
        <item x="19"/>
        <item x="24"/>
        <item x="23"/>
        <item x="6"/>
        <item x="9"/>
        <item x="0"/>
        <item x="21"/>
        <item x="14"/>
        <item x="42"/>
        <item x="5"/>
        <item x="27"/>
        <item x="36"/>
        <item x="28"/>
        <item x="29"/>
        <item x="10"/>
        <item x="34"/>
        <item x="33"/>
        <item x="11"/>
        <item x="2"/>
        <item x="20"/>
        <item x="18"/>
        <item x="13"/>
        <item x="12"/>
        <item x="16"/>
        <item x="8"/>
        <item x="35"/>
        <item x="4"/>
        <item x="17"/>
        <item x="1"/>
        <item x="26"/>
        <item x="3"/>
        <item x="15"/>
        <item x="40"/>
        <item x="39"/>
        <item x="38"/>
        <item x="25"/>
        <item x="30"/>
        <item x="31"/>
        <item x="43"/>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axis="axisCol" compact="0" outline="0" subtotalTop="0" showAll="0">
      <items count="7">
        <item x="1"/>
        <item x="0"/>
        <item x="2"/>
        <item x="3"/>
        <item x="4"/>
        <item h="1" x="5"/>
        <item t="default"/>
      </items>
    </pivotField>
    <pivotField compact="0" outline="0" subtotalTop="0" showAll="0"/>
    <pivotField compact="0" outline="0" subtotalTop="0" showAll="0"/>
    <pivotField compact="0" outline="0" subtotalTop="0" showAll="0"/>
    <pivotField dataField="1" compact="0" numFmtId="1" outline="0" subtotalTop="0" showAll="0"/>
  </pivotFields>
  <rowFields count="1">
    <field x="3"/>
  </rowFields>
  <rowItems count="15">
    <i>
      <x/>
    </i>
    <i>
      <x v="1"/>
    </i>
    <i>
      <x v="2"/>
    </i>
    <i>
      <x v="3"/>
    </i>
    <i>
      <x v="4"/>
    </i>
    <i>
      <x v="5"/>
    </i>
    <i>
      <x v="6"/>
    </i>
    <i>
      <x v="7"/>
    </i>
    <i>
      <x v="8"/>
    </i>
    <i>
      <x v="9"/>
    </i>
    <i>
      <x v="10"/>
    </i>
    <i>
      <x v="11"/>
    </i>
    <i>
      <x v="12"/>
    </i>
    <i>
      <x v="13"/>
    </i>
    <i t="grand">
      <x/>
    </i>
  </rowItems>
  <colFields count="2">
    <field x="10"/>
    <field x="-2"/>
  </colFields>
  <colItems count="12">
    <i>
      <x/>
      <x/>
    </i>
    <i r="1" i="1">
      <x v="1"/>
    </i>
    <i>
      <x v="1"/>
      <x/>
    </i>
    <i r="1" i="1">
      <x v="1"/>
    </i>
    <i>
      <x v="2"/>
      <x/>
    </i>
    <i r="1" i="1">
      <x v="1"/>
    </i>
    <i>
      <x v="3"/>
      <x/>
    </i>
    <i r="1" i="1">
      <x v="1"/>
    </i>
    <i>
      <x v="4"/>
      <x/>
    </i>
    <i r="1" i="1">
      <x v="1"/>
    </i>
    <i t="grand">
      <x/>
    </i>
    <i t="grand" i="1">
      <x/>
    </i>
  </colItems>
  <dataFields count="2">
    <dataField name="Quantity" fld="14" subtotal="count" baseField="3" baseItem="0"/>
    <dataField name="Sale" fld="14" baseField="3" baseItem="0"/>
  </dataFields>
  <formats count="79">
    <format dxfId="393">
      <pivotArea type="all" dataOnly="0" outline="0" fieldPosition="0"/>
    </format>
    <format dxfId="392">
      <pivotArea type="origin" dataOnly="0" labelOnly="1" outline="0" fieldPosition="0"/>
    </format>
    <format dxfId="391">
      <pivotArea field="-2" type="button" dataOnly="0" labelOnly="1" outline="0" axis="axisCol" fieldPosition="1"/>
    </format>
    <format dxfId="390">
      <pivotArea type="topRight" dataOnly="0" labelOnly="1" outline="0" fieldPosition="0"/>
    </format>
    <format dxfId="389">
      <pivotArea field="2" type="button" dataOnly="0" labelOnly="1" outline="0"/>
    </format>
    <format dxfId="388">
      <pivotArea type="all" dataOnly="0" outline="0" fieldPosition="0"/>
    </format>
    <format dxfId="387">
      <pivotArea type="origin" dataOnly="0" labelOnly="1" outline="0" fieldPosition="0"/>
    </format>
    <format dxfId="386">
      <pivotArea field="-2" type="button" dataOnly="0" labelOnly="1" outline="0" axis="axisCol" fieldPosition="1"/>
    </format>
    <format dxfId="385">
      <pivotArea type="topRight" dataOnly="0" labelOnly="1" outline="0" fieldPosition="0"/>
    </format>
    <format dxfId="384">
      <pivotArea field="2" type="button" dataOnly="0" labelOnly="1" outline="0"/>
    </format>
    <format dxfId="383">
      <pivotArea field="2" type="button" dataOnly="0" labelOnly="1" outline="0"/>
    </format>
    <format dxfId="382">
      <pivotArea field="4" type="button" dataOnly="0" labelOnly="1" outline="0"/>
    </format>
    <format dxfId="381">
      <pivotArea dataOnly="0" labelOnly="1" outline="0" fieldPosition="0">
        <references count="2">
          <reference field="4294967294" count="2">
            <x v="0"/>
            <x v="1"/>
          </reference>
          <reference field="10" count="1" selected="0">
            <x v="0"/>
          </reference>
        </references>
      </pivotArea>
    </format>
    <format dxfId="380">
      <pivotArea dataOnly="0" labelOnly="1" outline="0" fieldPosition="0">
        <references count="2">
          <reference field="4294967294" count="2">
            <x v="0"/>
            <x v="1"/>
          </reference>
          <reference field="10" count="1" selected="0">
            <x v="1"/>
          </reference>
        </references>
      </pivotArea>
    </format>
    <format dxfId="379">
      <pivotArea dataOnly="0" labelOnly="1" outline="0" fieldPosition="0">
        <references count="2">
          <reference field="4294967294" count="2">
            <x v="0"/>
            <x v="1"/>
          </reference>
          <reference field="10" count="1" selected="0">
            <x v="2"/>
          </reference>
        </references>
      </pivotArea>
    </format>
    <format dxfId="378">
      <pivotArea dataOnly="0" labelOnly="1" outline="0" fieldPosition="0">
        <references count="2">
          <reference field="4294967294" count="2">
            <x v="0"/>
            <x v="1"/>
          </reference>
          <reference field="10" count="1" selected="0">
            <x v="3"/>
          </reference>
        </references>
      </pivotArea>
    </format>
    <format dxfId="377">
      <pivotArea dataOnly="0" labelOnly="1" outline="0" fieldPosition="0">
        <references count="2">
          <reference field="4294967294" count="2">
            <x v="0"/>
            <x v="1"/>
          </reference>
          <reference field="10" count="1" selected="0">
            <x v="4"/>
          </reference>
        </references>
      </pivotArea>
    </format>
    <format dxfId="376">
      <pivotArea field="10" dataOnly="0" labelOnly="1" grandCol="1" outline="0" axis="axisCol" fieldPosition="0">
        <references count="1">
          <reference field="4294967294" count="1" selected="0">
            <x v="0"/>
          </reference>
        </references>
      </pivotArea>
    </format>
    <format dxfId="375">
      <pivotArea field="10" dataOnly="0" labelOnly="1" grandCol="1" outline="0" axis="axisCol" fieldPosition="0">
        <references count="1">
          <reference field="4294967294" count="1" selected="0">
            <x v="1"/>
          </reference>
        </references>
      </pivotArea>
    </format>
    <format dxfId="374">
      <pivotArea dataOnly="0" grandRow="1" outline="0" fieldPosition="0"/>
    </format>
    <format dxfId="373">
      <pivotArea type="origin" dataOnly="0" labelOnly="1" outline="0" fieldPosition="0"/>
    </format>
    <format dxfId="372">
      <pivotArea field="10" type="button" dataOnly="0" labelOnly="1" outline="0" axis="axisCol" fieldPosition="0"/>
    </format>
    <format dxfId="371">
      <pivotArea field="-2" type="button" dataOnly="0" labelOnly="1" outline="0" axis="axisCol" fieldPosition="1"/>
    </format>
    <format dxfId="370">
      <pivotArea type="topRight" dataOnly="0" labelOnly="1" outline="0" fieldPosition="0"/>
    </format>
    <format dxfId="369">
      <pivotArea field="4" type="button" dataOnly="0" labelOnly="1" outline="0"/>
    </format>
    <format dxfId="368">
      <pivotArea dataOnly="0" labelOnly="1" outline="0" fieldPosition="0">
        <references count="1">
          <reference field="10" count="0"/>
        </references>
      </pivotArea>
    </format>
    <format dxfId="367">
      <pivotArea field="10" dataOnly="0" labelOnly="1" grandCol="1" outline="0" axis="axisCol" fieldPosition="0">
        <references count="1">
          <reference field="4294967294" count="1" selected="0">
            <x v="0"/>
          </reference>
        </references>
      </pivotArea>
    </format>
    <format dxfId="366">
      <pivotArea field="10" dataOnly="0" labelOnly="1" grandCol="1" outline="0" axis="axisCol" fieldPosition="0">
        <references count="1">
          <reference field="4294967294" count="1" selected="0">
            <x v="1"/>
          </reference>
        </references>
      </pivotArea>
    </format>
    <format dxfId="365">
      <pivotArea dataOnly="0" labelOnly="1" outline="0" fieldPosition="0">
        <references count="2">
          <reference field="4294967294" count="2">
            <x v="0"/>
            <x v="1"/>
          </reference>
          <reference field="10" count="1" selected="0">
            <x v="0"/>
          </reference>
        </references>
      </pivotArea>
    </format>
    <format dxfId="364">
      <pivotArea dataOnly="0" labelOnly="1" outline="0" fieldPosition="0">
        <references count="2">
          <reference field="4294967294" count="2">
            <x v="0"/>
            <x v="1"/>
          </reference>
          <reference field="10" count="1" selected="0">
            <x v="1"/>
          </reference>
        </references>
      </pivotArea>
    </format>
    <format dxfId="363">
      <pivotArea dataOnly="0" labelOnly="1" outline="0" fieldPosition="0">
        <references count="2">
          <reference field="4294967294" count="2">
            <x v="0"/>
            <x v="1"/>
          </reference>
          <reference field="10" count="1" selected="0">
            <x v="2"/>
          </reference>
        </references>
      </pivotArea>
    </format>
    <format dxfId="362">
      <pivotArea dataOnly="0" labelOnly="1" outline="0" fieldPosition="0">
        <references count="2">
          <reference field="4294967294" count="2">
            <x v="0"/>
            <x v="1"/>
          </reference>
          <reference field="10" count="1" selected="0">
            <x v="3"/>
          </reference>
        </references>
      </pivotArea>
    </format>
    <format dxfId="361">
      <pivotArea dataOnly="0" labelOnly="1" outline="0" fieldPosition="0">
        <references count="2">
          <reference field="4294967294" count="2">
            <x v="0"/>
            <x v="1"/>
          </reference>
          <reference field="10" count="1" selected="0">
            <x v="4"/>
          </reference>
        </references>
      </pivotArea>
    </format>
    <format dxfId="360">
      <pivotArea type="all" dataOnly="0" outline="0" fieldPosition="0"/>
    </format>
    <format dxfId="359">
      <pivotArea dataOnly="0" outline="0" fieldPosition="0">
        <references count="1">
          <reference field="4294967294" count="1">
            <x v="1"/>
          </reference>
        </references>
      </pivotArea>
    </format>
    <format dxfId="358">
      <pivotArea dataOnly="0" grandRow="1" outline="0" fieldPosition="0"/>
    </format>
    <format dxfId="357">
      <pivotArea field="10" dataOnly="0" grandCol="1" outline="0" axis="axisCol" fieldPosition="0">
        <references count="1">
          <reference field="4294967294" count="1" selected="0">
            <x v="0"/>
          </reference>
        </references>
      </pivotArea>
    </format>
    <format dxfId="356">
      <pivotArea field="10" dataOnly="0" grandCol="1" outline="0" axis="axisCol" fieldPosition="0">
        <references count="1">
          <reference field="4294967294" count="1" selected="0">
            <x v="1"/>
          </reference>
        </references>
      </pivotArea>
    </format>
    <format dxfId="355">
      <pivotArea dataOnly="0" outline="0" fieldPosition="0">
        <references count="1">
          <reference field="10" count="1">
            <x v="0"/>
          </reference>
        </references>
      </pivotArea>
    </format>
    <format dxfId="354">
      <pivotArea dataOnly="0" outline="0" fieldPosition="0">
        <references count="1">
          <reference field="10" count="1">
            <x v="1"/>
          </reference>
        </references>
      </pivotArea>
    </format>
    <format dxfId="353">
      <pivotArea dataOnly="0" outline="0" fieldPosition="0">
        <references count="1">
          <reference field="10" count="1">
            <x v="2"/>
          </reference>
        </references>
      </pivotArea>
    </format>
    <format dxfId="352">
      <pivotArea dataOnly="0" outline="0" fieldPosition="0">
        <references count="1">
          <reference field="10" count="1">
            <x v="3"/>
          </reference>
        </references>
      </pivotArea>
    </format>
    <format dxfId="351">
      <pivotArea dataOnly="0" outline="0" fieldPosition="0">
        <references count="1">
          <reference field="10" count="1">
            <x v="4"/>
          </reference>
        </references>
      </pivotArea>
    </format>
    <format dxfId="350">
      <pivotArea dataOnly="0" labelOnly="1" outline="0" fieldPosition="0">
        <references count="1">
          <reference field="10" count="0"/>
        </references>
      </pivotArea>
    </format>
    <format dxfId="349">
      <pivotArea type="all" dataOnly="0" outline="0" fieldPosition="0"/>
    </format>
    <format dxfId="348">
      <pivotArea outline="0" collapsedLevelsAreSubtotals="1" fieldPosition="0"/>
    </format>
    <format dxfId="347">
      <pivotArea type="origin" dataOnly="0" labelOnly="1" outline="0" fieldPosition="0"/>
    </format>
    <format dxfId="346">
      <pivotArea field="10" type="button" dataOnly="0" labelOnly="1" outline="0" axis="axisCol" fieldPosition="0"/>
    </format>
    <format dxfId="345">
      <pivotArea field="-2" type="button" dataOnly="0" labelOnly="1" outline="0" axis="axisCol" fieldPosition="1"/>
    </format>
    <format dxfId="344">
      <pivotArea type="topRight" dataOnly="0" labelOnly="1" outline="0" fieldPosition="0"/>
    </format>
    <format dxfId="343">
      <pivotArea field="3" type="button" dataOnly="0" labelOnly="1" outline="0" axis="axisRow" fieldPosition="0"/>
    </format>
    <format dxfId="342">
      <pivotArea dataOnly="0" labelOnly="1" outline="0" fieldPosition="0">
        <references count="1">
          <reference field="3" count="13">
            <x v="0"/>
            <x v="1"/>
            <x v="2"/>
            <x v="3"/>
            <x v="4"/>
            <x v="5"/>
            <x v="6"/>
            <x v="7"/>
            <x v="8"/>
            <x v="9"/>
            <x v="10"/>
            <x v="12"/>
            <x v="13"/>
          </reference>
        </references>
      </pivotArea>
    </format>
    <format dxfId="341">
      <pivotArea dataOnly="0" labelOnly="1" grandRow="1" outline="0" fieldPosition="0"/>
    </format>
    <format dxfId="340">
      <pivotArea dataOnly="0" labelOnly="1" outline="0" fieldPosition="0">
        <references count="1">
          <reference field="10" count="0"/>
        </references>
      </pivotArea>
    </format>
    <format dxfId="339">
      <pivotArea field="10" dataOnly="0" labelOnly="1" grandCol="1" outline="0" axis="axisCol" fieldPosition="0">
        <references count="1">
          <reference field="4294967294" count="1" selected="0">
            <x v="0"/>
          </reference>
        </references>
      </pivotArea>
    </format>
    <format dxfId="338">
      <pivotArea field="10" dataOnly="0" labelOnly="1" grandCol="1" outline="0" axis="axisCol" fieldPosition="0">
        <references count="1">
          <reference field="4294967294" count="1" selected="0">
            <x v="1"/>
          </reference>
        </references>
      </pivotArea>
    </format>
    <format dxfId="337">
      <pivotArea dataOnly="0" labelOnly="1" outline="0" fieldPosition="0">
        <references count="2">
          <reference field="4294967294" count="2">
            <x v="0"/>
            <x v="1"/>
          </reference>
          <reference field="10" count="1" selected="0">
            <x v="0"/>
          </reference>
        </references>
      </pivotArea>
    </format>
    <format dxfId="336">
      <pivotArea dataOnly="0" labelOnly="1" outline="0" fieldPosition="0">
        <references count="2">
          <reference field="4294967294" count="2">
            <x v="0"/>
            <x v="1"/>
          </reference>
          <reference field="10" count="1" selected="0">
            <x v="1"/>
          </reference>
        </references>
      </pivotArea>
    </format>
    <format dxfId="335">
      <pivotArea dataOnly="0" labelOnly="1" outline="0" fieldPosition="0">
        <references count="2">
          <reference field="4294967294" count="2">
            <x v="0"/>
            <x v="1"/>
          </reference>
          <reference field="10" count="1" selected="0">
            <x v="2"/>
          </reference>
        </references>
      </pivotArea>
    </format>
    <format dxfId="334">
      <pivotArea dataOnly="0" labelOnly="1" outline="0" fieldPosition="0">
        <references count="2">
          <reference field="4294967294" count="2">
            <x v="0"/>
            <x v="1"/>
          </reference>
          <reference field="10" count="1" selected="0">
            <x v="3"/>
          </reference>
        </references>
      </pivotArea>
    </format>
    <format dxfId="333">
      <pivotArea dataOnly="0" labelOnly="1" outline="0" fieldPosition="0">
        <references count="2">
          <reference field="4294967294" count="2">
            <x v="0"/>
            <x v="1"/>
          </reference>
          <reference field="10" count="1" selected="0">
            <x v="4"/>
          </reference>
        </references>
      </pivotArea>
    </format>
    <format dxfId="332">
      <pivotArea type="all" dataOnly="0" outline="0" fieldPosition="0"/>
    </format>
    <format dxfId="331">
      <pivotArea outline="0" collapsedLevelsAreSubtotals="1" fieldPosition="0"/>
    </format>
    <format dxfId="330">
      <pivotArea type="origin" dataOnly="0" labelOnly="1" outline="0" fieldPosition="0"/>
    </format>
    <format dxfId="329">
      <pivotArea field="10" type="button" dataOnly="0" labelOnly="1" outline="0" axis="axisCol" fieldPosition="0"/>
    </format>
    <format dxfId="328">
      <pivotArea field="-2" type="button" dataOnly="0" labelOnly="1" outline="0" axis="axisCol" fieldPosition="1"/>
    </format>
    <format dxfId="327">
      <pivotArea type="topRight" dataOnly="0" labelOnly="1" outline="0" fieldPosition="0"/>
    </format>
    <format dxfId="326">
      <pivotArea field="3" type="button" dataOnly="0" labelOnly="1" outline="0" axis="axisRow" fieldPosition="0"/>
    </format>
    <format dxfId="325">
      <pivotArea dataOnly="0" labelOnly="1" outline="0" fieldPosition="0">
        <references count="1">
          <reference field="3" count="13">
            <x v="0"/>
            <x v="1"/>
            <x v="2"/>
            <x v="3"/>
            <x v="4"/>
            <x v="5"/>
            <x v="6"/>
            <x v="7"/>
            <x v="8"/>
            <x v="9"/>
            <x v="10"/>
            <x v="12"/>
            <x v="13"/>
          </reference>
        </references>
      </pivotArea>
    </format>
    <format dxfId="324">
      <pivotArea dataOnly="0" labelOnly="1" grandRow="1" outline="0" fieldPosition="0"/>
    </format>
    <format dxfId="323">
      <pivotArea dataOnly="0" labelOnly="1" outline="0" fieldPosition="0">
        <references count="1">
          <reference field="10" count="0"/>
        </references>
      </pivotArea>
    </format>
    <format dxfId="322">
      <pivotArea field="10" dataOnly="0" labelOnly="1" grandCol="1" outline="0" axis="axisCol" fieldPosition="0">
        <references count="1">
          <reference field="4294967294" count="1" selected="0">
            <x v="0"/>
          </reference>
        </references>
      </pivotArea>
    </format>
    <format dxfId="321">
      <pivotArea field="10" dataOnly="0" labelOnly="1" grandCol="1" outline="0" axis="axisCol" fieldPosition="0">
        <references count="1">
          <reference field="4294967294" count="1" selected="0">
            <x v="1"/>
          </reference>
        </references>
      </pivotArea>
    </format>
    <format dxfId="320">
      <pivotArea dataOnly="0" labelOnly="1" outline="0" fieldPosition="0">
        <references count="2">
          <reference field="4294967294" count="2">
            <x v="0"/>
            <x v="1"/>
          </reference>
          <reference field="10" count="1" selected="0">
            <x v="0"/>
          </reference>
        </references>
      </pivotArea>
    </format>
    <format dxfId="319">
      <pivotArea dataOnly="0" labelOnly="1" outline="0" fieldPosition="0">
        <references count="2">
          <reference field="4294967294" count="2">
            <x v="0"/>
            <x v="1"/>
          </reference>
          <reference field="10" count="1" selected="0">
            <x v="1"/>
          </reference>
        </references>
      </pivotArea>
    </format>
    <format dxfId="318">
      <pivotArea dataOnly="0" labelOnly="1" outline="0" fieldPosition="0">
        <references count="2">
          <reference field="4294967294" count="2">
            <x v="0"/>
            <x v="1"/>
          </reference>
          <reference field="10" count="1" selected="0">
            <x v="2"/>
          </reference>
        </references>
      </pivotArea>
    </format>
    <format dxfId="317">
      <pivotArea dataOnly="0" labelOnly="1" outline="0" fieldPosition="0">
        <references count="2">
          <reference field="4294967294" count="2">
            <x v="0"/>
            <x v="1"/>
          </reference>
          <reference field="10" count="1" selected="0">
            <x v="3"/>
          </reference>
        </references>
      </pivotArea>
    </format>
    <format dxfId="316">
      <pivotArea dataOnly="0" labelOnly="1" outline="0" fieldPosition="0">
        <references count="2">
          <reference field="4294967294" count="2">
            <x v="0"/>
            <x v="1"/>
          </reference>
          <reference field="10" count="1" selected="0">
            <x v="4"/>
          </reference>
        </references>
      </pivotArea>
    </format>
    <format dxfId="315">
      <pivotArea field="3"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80"/>
  <sheetViews>
    <sheetView zoomScale="85" zoomScaleNormal="85" workbookViewId="0">
      <selection activeCell="D9" sqref="D9"/>
    </sheetView>
  </sheetViews>
  <sheetFormatPr defaultColWidth="9.140625" defaultRowHeight="12" customHeight="1"/>
  <cols>
    <col min="1" max="1" width="15.7109375" style="1" customWidth="1"/>
    <col min="2" max="2" width="40.85546875" style="1" bestFit="1" customWidth="1"/>
    <col min="3" max="3" width="12.85546875" style="1" bestFit="1" customWidth="1"/>
    <col min="4" max="11" width="12.85546875" style="1" customWidth="1"/>
    <col min="12" max="12" width="12.85546875" style="1" bestFit="1" customWidth="1"/>
    <col min="13" max="13" width="11.5703125" style="1" customWidth="1"/>
    <col min="14" max="14" width="17.85546875" style="1" customWidth="1"/>
    <col min="15" max="17" width="9.28515625" style="1" bestFit="1" customWidth="1"/>
    <col min="18" max="18" width="11.7109375" style="1" bestFit="1" customWidth="1"/>
    <col min="19" max="22" width="9.7109375" style="1" customWidth="1"/>
    <col min="23" max="26" width="9.7109375" style="1" bestFit="1" customWidth="1"/>
    <col min="27" max="27" width="11.7109375" style="1" bestFit="1" customWidth="1"/>
    <col min="28" max="16384" width="9.140625" style="1"/>
  </cols>
  <sheetData>
    <row r="3" spans="1:18" ht="15">
      <c r="A3" s="48" t="s">
        <v>17</v>
      </c>
      <c r="C3" s="48" t="s">
        <v>44</v>
      </c>
      <c r="L3"/>
    </row>
    <row r="4" spans="1:18" ht="15">
      <c r="A4" s="48" t="s">
        <v>53</v>
      </c>
      <c r="B4" s="48" t="s">
        <v>1</v>
      </c>
      <c r="C4" s="1">
        <v>2011</v>
      </c>
      <c r="D4" s="1">
        <v>2012</v>
      </c>
      <c r="E4" s="1">
        <v>2013</v>
      </c>
      <c r="F4" s="1">
        <v>2014</v>
      </c>
      <c r="G4" s="1">
        <v>2015</v>
      </c>
      <c r="H4" s="1">
        <v>2017</v>
      </c>
      <c r="I4" s="1">
        <v>2018</v>
      </c>
      <c r="J4" s="1">
        <v>2019</v>
      </c>
      <c r="K4" s="1" t="s">
        <v>18</v>
      </c>
      <c r="L4"/>
      <c r="M4" s="1" t="s">
        <v>50</v>
      </c>
      <c r="N4" s="49">
        <v>100000</v>
      </c>
    </row>
    <row r="5" spans="1:18" ht="15">
      <c r="A5" s="1" t="s">
        <v>54</v>
      </c>
      <c r="B5" s="1" t="s">
        <v>11</v>
      </c>
      <c r="C5" s="49">
        <v>1100</v>
      </c>
      <c r="D5" s="49"/>
      <c r="E5" s="49"/>
      <c r="F5" s="49"/>
      <c r="G5" s="49"/>
      <c r="H5" s="49"/>
      <c r="I5" s="49"/>
      <c r="J5" s="49"/>
      <c r="K5" s="49">
        <v>1100</v>
      </c>
      <c r="L5"/>
      <c r="M5" s="1" t="s">
        <v>48</v>
      </c>
      <c r="N5" s="49">
        <v>25000</v>
      </c>
    </row>
    <row r="6" spans="1:18" ht="15">
      <c r="B6" s="1" t="s">
        <v>35</v>
      </c>
      <c r="C6" s="49"/>
      <c r="D6" s="49">
        <v>5000</v>
      </c>
      <c r="E6" s="49"/>
      <c r="F6" s="49"/>
      <c r="G6" s="49"/>
      <c r="H6" s="49"/>
      <c r="I6" s="49"/>
      <c r="J6" s="49"/>
      <c r="K6" s="49">
        <v>5000</v>
      </c>
      <c r="L6"/>
      <c r="N6" s="49"/>
    </row>
    <row r="7" spans="1:18" ht="15">
      <c r="B7" s="1" t="s">
        <v>36</v>
      </c>
      <c r="C7" s="49"/>
      <c r="D7" s="49">
        <v>2499</v>
      </c>
      <c r="E7" s="49"/>
      <c r="F7" s="49"/>
      <c r="G7" s="49"/>
      <c r="H7" s="49"/>
      <c r="I7" s="49"/>
      <c r="J7" s="49"/>
      <c r="K7" s="49">
        <v>2499</v>
      </c>
      <c r="L7"/>
      <c r="N7" s="49"/>
    </row>
    <row r="8" spans="1:18" ht="15">
      <c r="B8" s="1" t="s">
        <v>33</v>
      </c>
      <c r="C8" s="49">
        <v>8693</v>
      </c>
      <c r="D8" s="49">
        <v>13546</v>
      </c>
      <c r="E8" s="49"/>
      <c r="F8" s="49"/>
      <c r="G8" s="49"/>
      <c r="H8" s="49"/>
      <c r="I8" s="49"/>
      <c r="J8" s="49"/>
      <c r="K8" s="49">
        <v>22239</v>
      </c>
      <c r="L8"/>
      <c r="N8" s="49">
        <f>SUM(N4:N7)</f>
        <v>125000</v>
      </c>
      <c r="P8" s="1" t="s">
        <v>736</v>
      </c>
      <c r="R8" s="1">
        <v>10000</v>
      </c>
    </row>
    <row r="9" spans="1:18" ht="15">
      <c r="B9" s="1" t="s">
        <v>37</v>
      </c>
      <c r="C9" s="49">
        <v>16000</v>
      </c>
      <c r="D9" s="49">
        <v>25000</v>
      </c>
      <c r="E9" s="49"/>
      <c r="F9" s="49"/>
      <c r="G9" s="49"/>
      <c r="H9" s="49"/>
      <c r="I9" s="49"/>
      <c r="J9" s="49"/>
      <c r="K9" s="49">
        <v>41000</v>
      </c>
      <c r="L9"/>
    </row>
    <row r="10" spans="1:18" ht="15">
      <c r="B10" s="1" t="s">
        <v>47</v>
      </c>
      <c r="C10" s="49"/>
      <c r="D10" s="49">
        <v>180000</v>
      </c>
      <c r="E10" s="49"/>
      <c r="F10" s="49"/>
      <c r="G10" s="49"/>
      <c r="H10" s="49"/>
      <c r="I10" s="49"/>
      <c r="J10" s="49"/>
      <c r="K10" s="49">
        <v>180000</v>
      </c>
      <c r="L10"/>
      <c r="P10" s="1" t="s">
        <v>737</v>
      </c>
      <c r="Q10" s="1">
        <v>3500</v>
      </c>
    </row>
    <row r="11" spans="1:18" ht="15">
      <c r="B11" s="1" t="s">
        <v>4</v>
      </c>
      <c r="C11" s="49">
        <v>6764</v>
      </c>
      <c r="D11" s="49">
        <v>7859</v>
      </c>
      <c r="E11" s="49"/>
      <c r="F11" s="49"/>
      <c r="G11" s="49"/>
      <c r="H11" s="49"/>
      <c r="I11" s="49"/>
      <c r="J11" s="49"/>
      <c r="K11" s="49">
        <v>14623</v>
      </c>
      <c r="L11"/>
      <c r="P11" s="1" t="s">
        <v>738</v>
      </c>
      <c r="Q11" s="1">
        <v>200</v>
      </c>
    </row>
    <row r="12" spans="1:18" ht="15">
      <c r="B12" s="1" t="s">
        <v>14</v>
      </c>
      <c r="C12" s="49">
        <v>360</v>
      </c>
      <c r="D12" s="49"/>
      <c r="E12" s="49"/>
      <c r="F12" s="49"/>
      <c r="G12" s="49"/>
      <c r="H12" s="49"/>
      <c r="I12" s="49"/>
      <c r="J12" s="49"/>
      <c r="K12" s="49">
        <v>360</v>
      </c>
      <c r="L12"/>
      <c r="P12" s="1" t="s">
        <v>739</v>
      </c>
      <c r="Q12" s="1">
        <v>300</v>
      </c>
    </row>
    <row r="13" spans="1:18" ht="15">
      <c r="B13" s="1" t="s">
        <v>15</v>
      </c>
      <c r="C13" s="49">
        <v>500</v>
      </c>
      <c r="D13" s="49">
        <v>1500</v>
      </c>
      <c r="E13" s="49"/>
      <c r="F13" s="49"/>
      <c r="G13" s="49"/>
      <c r="H13" s="49"/>
      <c r="I13" s="49"/>
      <c r="J13" s="49"/>
      <c r="K13" s="49">
        <v>2000</v>
      </c>
      <c r="L13"/>
      <c r="P13" s="1" t="s">
        <v>741</v>
      </c>
      <c r="Q13" s="1">
        <v>1500</v>
      </c>
    </row>
    <row r="14" spans="1:18" ht="15">
      <c r="B14" s="1" t="s">
        <v>42</v>
      </c>
      <c r="C14" s="49">
        <v>100</v>
      </c>
      <c r="D14" s="49"/>
      <c r="E14" s="49"/>
      <c r="F14" s="49"/>
      <c r="G14" s="49"/>
      <c r="H14" s="49"/>
      <c r="I14" s="49"/>
      <c r="J14" s="49"/>
      <c r="K14" s="49">
        <v>100</v>
      </c>
      <c r="L14"/>
    </row>
    <row r="15" spans="1:18" ht="15">
      <c r="B15" s="1" t="s">
        <v>34</v>
      </c>
      <c r="C15" s="49">
        <v>100</v>
      </c>
      <c r="D15" s="49">
        <v>275</v>
      </c>
      <c r="E15" s="49"/>
      <c r="F15" s="49"/>
      <c r="G15" s="49"/>
      <c r="H15" s="49"/>
      <c r="I15" s="49"/>
      <c r="J15" s="49"/>
      <c r="K15" s="49">
        <v>375</v>
      </c>
      <c r="L15"/>
    </row>
    <row r="16" spans="1:18" ht="15">
      <c r="A16" s="27" t="s">
        <v>58</v>
      </c>
      <c r="B16" s="27"/>
      <c r="C16" s="348">
        <v>33617</v>
      </c>
      <c r="D16" s="348">
        <v>235679</v>
      </c>
      <c r="E16" s="348"/>
      <c r="F16" s="348"/>
      <c r="G16" s="348"/>
      <c r="H16" s="348"/>
      <c r="I16" s="348"/>
      <c r="J16" s="348"/>
      <c r="K16" s="348">
        <v>269296</v>
      </c>
      <c r="L16"/>
      <c r="R16" s="1">
        <f>SUM(Q10:Q16)</f>
        <v>5500</v>
      </c>
    </row>
    <row r="17" spans="1:18" ht="15">
      <c r="A17" s="1" t="s">
        <v>55</v>
      </c>
      <c r="B17" s="1" t="s">
        <v>9</v>
      </c>
      <c r="C17" s="49"/>
      <c r="D17" s="49"/>
      <c r="E17" s="49">
        <v>16380</v>
      </c>
      <c r="F17" s="49"/>
      <c r="G17" s="49"/>
      <c r="H17" s="49"/>
      <c r="I17" s="49"/>
      <c r="J17" s="49"/>
      <c r="K17" s="49">
        <v>16380</v>
      </c>
      <c r="L17"/>
      <c r="P17" s="1" t="s">
        <v>740</v>
      </c>
      <c r="R17" s="1">
        <f>R8-R16</f>
        <v>4500</v>
      </c>
    </row>
    <row r="18" spans="1:18" ht="15">
      <c r="B18" s="1" t="s">
        <v>11</v>
      </c>
      <c r="C18" s="49"/>
      <c r="D18" s="49"/>
      <c r="E18" s="49">
        <v>3000</v>
      </c>
      <c r="F18" s="49"/>
      <c r="G18" s="49"/>
      <c r="H18" s="49"/>
      <c r="I18" s="49"/>
      <c r="J18" s="49"/>
      <c r="K18" s="49">
        <v>3000</v>
      </c>
      <c r="L18"/>
    </row>
    <row r="19" spans="1:18" ht="15">
      <c r="B19" s="1" t="s">
        <v>540</v>
      </c>
      <c r="C19" s="49"/>
      <c r="D19" s="49"/>
      <c r="E19" s="49">
        <v>167153</v>
      </c>
      <c r="F19" s="49"/>
      <c r="G19" s="49"/>
      <c r="H19" s="49"/>
      <c r="I19" s="49"/>
      <c r="J19" s="49"/>
      <c r="K19" s="49">
        <v>167153</v>
      </c>
      <c r="L19"/>
    </row>
    <row r="20" spans="1:18" ht="15">
      <c r="B20" s="1" t="s">
        <v>83</v>
      </c>
      <c r="C20" s="49"/>
      <c r="D20" s="49"/>
      <c r="E20" s="49">
        <v>1300</v>
      </c>
      <c r="F20" s="49"/>
      <c r="G20" s="49"/>
      <c r="H20" s="49"/>
      <c r="I20" s="49"/>
      <c r="J20" s="49"/>
      <c r="K20" s="49">
        <v>1300</v>
      </c>
      <c r="L20"/>
    </row>
    <row r="21" spans="1:18" ht="15">
      <c r="B21" s="1" t="s">
        <v>166</v>
      </c>
      <c r="C21" s="49"/>
      <c r="D21" s="49"/>
      <c r="E21" s="49">
        <v>935</v>
      </c>
      <c r="F21" s="49"/>
      <c r="G21" s="49"/>
      <c r="H21" s="49"/>
      <c r="I21" s="49"/>
      <c r="J21" s="49"/>
      <c r="K21" s="49">
        <v>935</v>
      </c>
      <c r="L21"/>
    </row>
    <row r="22" spans="1:18" ht="15">
      <c r="B22" s="1" t="s">
        <v>178</v>
      </c>
      <c r="C22" s="49"/>
      <c r="D22" s="49"/>
      <c r="E22" s="49">
        <v>3541</v>
      </c>
      <c r="F22" s="49"/>
      <c r="G22" s="49"/>
      <c r="H22" s="49"/>
      <c r="I22" s="49"/>
      <c r="J22" s="49"/>
      <c r="K22" s="49">
        <v>3541</v>
      </c>
      <c r="L22"/>
    </row>
    <row r="23" spans="1:18" ht="15">
      <c r="B23" s="1" t="s">
        <v>69</v>
      </c>
      <c r="C23" s="49"/>
      <c r="D23" s="49"/>
      <c r="E23" s="49">
        <v>57205</v>
      </c>
      <c r="F23" s="49"/>
      <c r="G23" s="49"/>
      <c r="H23" s="49"/>
      <c r="I23" s="49"/>
      <c r="J23" s="49"/>
      <c r="K23" s="49">
        <v>57205</v>
      </c>
      <c r="L23"/>
    </row>
    <row r="24" spans="1:18" ht="15">
      <c r="B24" s="1" t="s">
        <v>84</v>
      </c>
      <c r="C24" s="49"/>
      <c r="D24" s="49"/>
      <c r="E24" s="49">
        <v>115000</v>
      </c>
      <c r="F24" s="49"/>
      <c r="G24" s="49"/>
      <c r="H24" s="49"/>
      <c r="I24" s="49"/>
      <c r="J24" s="49"/>
      <c r="K24" s="49">
        <v>115000</v>
      </c>
      <c r="L24"/>
      <c r="N24" s="70" t="s">
        <v>1244</v>
      </c>
      <c r="O24" s="70" t="s">
        <v>1245</v>
      </c>
    </row>
    <row r="25" spans="1:18" ht="15">
      <c r="B25" s="1" t="s">
        <v>162</v>
      </c>
      <c r="C25" s="49"/>
      <c r="D25" s="49"/>
      <c r="E25" s="49">
        <v>2189</v>
      </c>
      <c r="F25" s="49"/>
      <c r="G25" s="49"/>
      <c r="H25" s="49"/>
      <c r="I25" s="49"/>
      <c r="J25" s="49"/>
      <c r="K25" s="49">
        <v>2189</v>
      </c>
      <c r="L25"/>
    </row>
    <row r="26" spans="1:18" ht="15">
      <c r="B26" s="1" t="s">
        <v>801</v>
      </c>
      <c r="C26" s="49"/>
      <c r="D26" s="49"/>
      <c r="E26" s="49">
        <v>1500</v>
      </c>
      <c r="F26" s="49"/>
      <c r="G26" s="49"/>
      <c r="H26" s="49"/>
      <c r="I26" s="49"/>
      <c r="J26" s="49"/>
      <c r="K26" s="49">
        <v>1500</v>
      </c>
      <c r="L26"/>
    </row>
    <row r="27" spans="1:18" ht="15">
      <c r="B27" s="1" t="s">
        <v>832</v>
      </c>
      <c r="C27" s="49"/>
      <c r="D27" s="49"/>
      <c r="E27" s="49">
        <v>1175</v>
      </c>
      <c r="F27" s="49"/>
      <c r="G27" s="49"/>
      <c r="H27" s="49"/>
      <c r="I27" s="49"/>
      <c r="J27" s="49"/>
      <c r="K27" s="49">
        <v>1175</v>
      </c>
      <c r="L27"/>
    </row>
    <row r="28" spans="1:18" ht="15">
      <c r="B28" s="1" t="s">
        <v>845</v>
      </c>
      <c r="C28" s="49"/>
      <c r="D28" s="49"/>
      <c r="E28" s="49">
        <v>1088</v>
      </c>
      <c r="F28" s="49"/>
      <c r="G28" s="49"/>
      <c r="H28" s="49"/>
      <c r="I28" s="49"/>
      <c r="J28" s="49"/>
      <c r="K28" s="49">
        <v>1088</v>
      </c>
      <c r="L28"/>
    </row>
    <row r="29" spans="1:18" ht="15">
      <c r="B29" s="1" t="s">
        <v>835</v>
      </c>
      <c r="C29" s="49"/>
      <c r="D29" s="49"/>
      <c r="E29" s="49">
        <v>30000</v>
      </c>
      <c r="F29" s="49"/>
      <c r="G29" s="49"/>
      <c r="H29" s="49"/>
      <c r="I29" s="49"/>
      <c r="J29" s="49"/>
      <c r="K29" s="49">
        <v>30000</v>
      </c>
      <c r="L29"/>
    </row>
    <row r="30" spans="1:18" ht="15">
      <c r="B30" s="1" t="s">
        <v>753</v>
      </c>
      <c r="C30" s="49"/>
      <c r="D30" s="49"/>
      <c r="E30" s="49">
        <v>62009</v>
      </c>
      <c r="F30" s="49"/>
      <c r="G30" s="49"/>
      <c r="H30" s="49"/>
      <c r="I30" s="49"/>
      <c r="J30" s="49"/>
      <c r="K30" s="49">
        <v>62009</v>
      </c>
      <c r="L30"/>
    </row>
    <row r="31" spans="1:18" ht="15">
      <c r="B31" s="1" t="s">
        <v>752</v>
      </c>
      <c r="C31" s="49"/>
      <c r="D31" s="49"/>
      <c r="E31" s="49">
        <v>95000</v>
      </c>
      <c r="F31" s="49"/>
      <c r="G31" s="49"/>
      <c r="H31" s="49"/>
      <c r="I31" s="49"/>
      <c r="J31" s="49"/>
      <c r="K31" s="49">
        <v>95000</v>
      </c>
      <c r="L31"/>
    </row>
    <row r="32" spans="1:18" ht="15">
      <c r="B32" s="1" t="s">
        <v>492</v>
      </c>
      <c r="C32" s="49"/>
      <c r="D32" s="49"/>
      <c r="E32" s="49">
        <v>5350</v>
      </c>
      <c r="F32" s="49"/>
      <c r="G32" s="49"/>
      <c r="H32" s="49"/>
      <c r="I32" s="49"/>
      <c r="J32" s="49"/>
      <c r="K32" s="49">
        <v>5350</v>
      </c>
      <c r="L32"/>
    </row>
    <row r="33" spans="1:12" ht="15">
      <c r="B33" s="1" t="s">
        <v>493</v>
      </c>
      <c r="C33" s="49"/>
      <c r="D33" s="49"/>
      <c r="E33" s="49">
        <v>7577</v>
      </c>
      <c r="F33" s="49"/>
      <c r="G33" s="49"/>
      <c r="H33" s="49"/>
      <c r="I33" s="49"/>
      <c r="J33" s="49"/>
      <c r="K33" s="49">
        <v>7577</v>
      </c>
      <c r="L33"/>
    </row>
    <row r="34" spans="1:12" ht="15">
      <c r="B34" s="1" t="s">
        <v>496</v>
      </c>
      <c r="C34" s="49"/>
      <c r="D34" s="49"/>
      <c r="E34" s="49">
        <v>2040</v>
      </c>
      <c r="F34" s="49"/>
      <c r="G34" s="49"/>
      <c r="H34" s="49"/>
      <c r="I34" s="49"/>
      <c r="J34" s="49"/>
      <c r="K34" s="49">
        <v>2040</v>
      </c>
      <c r="L34"/>
    </row>
    <row r="35" spans="1:12" ht="15">
      <c r="B35" s="1" t="s">
        <v>4</v>
      </c>
      <c r="C35" s="49"/>
      <c r="D35" s="49"/>
      <c r="E35" s="49">
        <v>5074</v>
      </c>
      <c r="F35" s="49"/>
      <c r="G35" s="49"/>
      <c r="H35" s="49"/>
      <c r="I35" s="49"/>
      <c r="J35" s="49"/>
      <c r="K35" s="49">
        <v>5074</v>
      </c>
      <c r="L35"/>
    </row>
    <row r="36" spans="1:12" ht="15">
      <c r="B36" s="1" t="s">
        <v>7</v>
      </c>
      <c r="C36" s="49"/>
      <c r="D36" s="49"/>
      <c r="E36" s="49">
        <v>60676</v>
      </c>
      <c r="F36" s="49"/>
      <c r="G36" s="49"/>
      <c r="H36" s="49"/>
      <c r="I36" s="49"/>
      <c r="J36" s="49"/>
      <c r="K36" s="49">
        <v>60676</v>
      </c>
      <c r="L36"/>
    </row>
    <row r="37" spans="1:12" ht="15">
      <c r="B37" s="1" t="s">
        <v>16</v>
      </c>
      <c r="C37" s="49"/>
      <c r="D37" s="49"/>
      <c r="E37" s="49">
        <v>100</v>
      </c>
      <c r="F37" s="49"/>
      <c r="G37" s="49"/>
      <c r="H37" s="49"/>
      <c r="I37" s="49"/>
      <c r="J37" s="49"/>
      <c r="K37" s="49">
        <v>100</v>
      </c>
      <c r="L37"/>
    </row>
    <row r="38" spans="1:12" ht="15">
      <c r="B38" s="1" t="s">
        <v>14</v>
      </c>
      <c r="C38" s="49"/>
      <c r="D38" s="49"/>
      <c r="E38" s="49">
        <v>10170</v>
      </c>
      <c r="F38" s="49"/>
      <c r="G38" s="49"/>
      <c r="H38" s="49"/>
      <c r="I38" s="49"/>
      <c r="J38" s="49"/>
      <c r="K38" s="49">
        <v>10170</v>
      </c>
      <c r="L38"/>
    </row>
    <row r="39" spans="1:12" ht="15">
      <c r="B39" s="1" t="s">
        <v>15</v>
      </c>
      <c r="C39" s="49"/>
      <c r="D39" s="49"/>
      <c r="E39" s="49">
        <v>790</v>
      </c>
      <c r="F39" s="49"/>
      <c r="G39" s="49"/>
      <c r="H39" s="49"/>
      <c r="I39" s="49"/>
      <c r="J39" s="49"/>
      <c r="K39" s="49">
        <v>790</v>
      </c>
      <c r="L39"/>
    </row>
    <row r="40" spans="1:12" ht="15">
      <c r="A40" s="27" t="s">
        <v>59</v>
      </c>
      <c r="B40" s="27"/>
      <c r="C40" s="348"/>
      <c r="D40" s="348"/>
      <c r="E40" s="348">
        <v>649252</v>
      </c>
      <c r="F40" s="348"/>
      <c r="G40" s="348"/>
      <c r="H40" s="348"/>
      <c r="I40" s="348"/>
      <c r="J40" s="348"/>
      <c r="K40" s="348">
        <v>649252</v>
      </c>
      <c r="L40"/>
    </row>
    <row r="41" spans="1:12" ht="15">
      <c r="A41" s="1" t="s">
        <v>1122</v>
      </c>
      <c r="B41" s="1" t="s">
        <v>9</v>
      </c>
      <c r="C41" s="49"/>
      <c r="D41" s="49"/>
      <c r="E41" s="49"/>
      <c r="F41" s="49">
        <v>25776</v>
      </c>
      <c r="G41" s="49"/>
      <c r="H41" s="49"/>
      <c r="I41" s="49"/>
      <c r="J41" s="49">
        <v>13260</v>
      </c>
      <c r="K41" s="49">
        <v>39036</v>
      </c>
      <c r="L41"/>
    </row>
    <row r="42" spans="1:12" ht="15">
      <c r="B42" s="1" t="s">
        <v>11</v>
      </c>
      <c r="C42" s="49"/>
      <c r="D42" s="49"/>
      <c r="E42" s="49"/>
      <c r="F42" s="49">
        <v>45600</v>
      </c>
      <c r="G42" s="49"/>
      <c r="H42" s="49">
        <v>4800</v>
      </c>
      <c r="I42" s="49"/>
      <c r="J42" s="49">
        <v>15300</v>
      </c>
      <c r="K42" s="49">
        <v>65700</v>
      </c>
      <c r="L42"/>
    </row>
    <row r="43" spans="1:12" ht="15">
      <c r="B43" s="1" t="s">
        <v>1265</v>
      </c>
      <c r="C43" s="49"/>
      <c r="D43" s="49"/>
      <c r="E43" s="49"/>
      <c r="F43" s="49">
        <v>43200</v>
      </c>
      <c r="G43" s="49">
        <v>40320</v>
      </c>
      <c r="H43" s="49">
        <v>67200</v>
      </c>
      <c r="I43" s="49"/>
      <c r="J43" s="49"/>
      <c r="K43" s="49">
        <v>150720</v>
      </c>
      <c r="L43"/>
    </row>
    <row r="44" spans="1:12" ht="15">
      <c r="B44" s="1" t="s">
        <v>1114</v>
      </c>
      <c r="C44" s="49"/>
      <c r="D44" s="49"/>
      <c r="E44" s="49"/>
      <c r="F44" s="49">
        <v>6480</v>
      </c>
      <c r="G44" s="49"/>
      <c r="H44" s="49">
        <v>720</v>
      </c>
      <c r="I44" s="49"/>
      <c r="J44" s="49">
        <v>2295</v>
      </c>
      <c r="K44" s="49">
        <v>9495</v>
      </c>
      <c r="L44"/>
    </row>
    <row r="45" spans="1:12" ht="15">
      <c r="B45" s="1" t="s">
        <v>35</v>
      </c>
      <c r="C45" s="49"/>
      <c r="D45" s="49"/>
      <c r="E45" s="49"/>
      <c r="F45" s="49">
        <v>122120.64</v>
      </c>
      <c r="G45" s="49"/>
      <c r="H45" s="49"/>
      <c r="I45" s="49"/>
      <c r="J45" s="49"/>
      <c r="K45" s="49">
        <v>122120.64</v>
      </c>
      <c r="L45"/>
    </row>
    <row r="46" spans="1:12" ht="15">
      <c r="B46" s="1" t="s">
        <v>1118</v>
      </c>
      <c r="C46" s="49"/>
      <c r="D46" s="49"/>
      <c r="E46" s="49"/>
      <c r="F46" s="49">
        <v>61451.040000000008</v>
      </c>
      <c r="G46" s="49">
        <v>2822.3999999999996</v>
      </c>
      <c r="H46" s="49">
        <v>5426.4</v>
      </c>
      <c r="I46" s="49">
        <v>19989.984000000004</v>
      </c>
      <c r="J46" s="49">
        <v>46772.1</v>
      </c>
      <c r="K46" s="49">
        <v>136461.92400000003</v>
      </c>
      <c r="L46"/>
    </row>
    <row r="47" spans="1:12" ht="15">
      <c r="B47" s="1" t="s">
        <v>166</v>
      </c>
      <c r="C47" s="49"/>
      <c r="D47" s="49"/>
      <c r="E47" s="49"/>
      <c r="F47" s="49">
        <v>354675.84</v>
      </c>
      <c r="G47" s="49"/>
      <c r="H47" s="49"/>
      <c r="I47" s="49"/>
      <c r="J47" s="49">
        <v>269351.40000000002</v>
      </c>
      <c r="K47" s="49">
        <v>624027.24</v>
      </c>
      <c r="L47"/>
    </row>
    <row r="48" spans="1:12" ht="15">
      <c r="B48" s="1" t="s">
        <v>178</v>
      </c>
      <c r="C48" s="49"/>
      <c r="D48" s="49"/>
      <c r="E48" s="49"/>
      <c r="F48" s="49">
        <v>23154.240000000002</v>
      </c>
      <c r="G48" s="49"/>
      <c r="H48" s="49"/>
      <c r="I48" s="49"/>
      <c r="J48" s="49">
        <v>224624.4</v>
      </c>
      <c r="K48" s="49">
        <v>247778.63999999998</v>
      </c>
      <c r="L48"/>
    </row>
    <row r="49" spans="1:12" ht="15">
      <c r="B49" s="1" t="s">
        <v>69</v>
      </c>
      <c r="C49" s="49"/>
      <c r="D49" s="49"/>
      <c r="E49" s="49"/>
      <c r="F49" s="49">
        <v>194567.03999999998</v>
      </c>
      <c r="G49" s="49"/>
      <c r="H49" s="49"/>
      <c r="I49" s="49"/>
      <c r="J49" s="49">
        <v>260355</v>
      </c>
      <c r="K49" s="49">
        <v>454922.04</v>
      </c>
      <c r="L49"/>
    </row>
    <row r="50" spans="1:12" ht="15">
      <c r="B50" s="1" t="s">
        <v>4</v>
      </c>
      <c r="C50" s="49"/>
      <c r="D50" s="49"/>
      <c r="E50" s="49"/>
      <c r="F50" s="49">
        <v>31921.919999999998</v>
      </c>
      <c r="G50" s="49"/>
      <c r="H50" s="49"/>
      <c r="I50" s="49"/>
      <c r="J50" s="49">
        <v>3980.55</v>
      </c>
      <c r="K50" s="49">
        <v>35902.47</v>
      </c>
      <c r="L50"/>
    </row>
    <row r="51" spans="1:12" ht="15">
      <c r="B51" s="1" t="s">
        <v>16</v>
      </c>
      <c r="C51" s="49"/>
      <c r="D51" s="49"/>
      <c r="E51" s="49"/>
      <c r="F51" s="49">
        <v>1200</v>
      </c>
      <c r="G51" s="49"/>
      <c r="H51" s="49"/>
      <c r="I51" s="49"/>
      <c r="J51" s="49"/>
      <c r="K51" s="49">
        <v>1200</v>
      </c>
      <c r="L51"/>
    </row>
    <row r="52" spans="1:12" ht="15">
      <c r="B52" s="1" t="s">
        <v>1117</v>
      </c>
      <c r="C52" s="49"/>
      <c r="D52" s="49"/>
      <c r="E52" s="49"/>
      <c r="F52" s="49">
        <v>8016</v>
      </c>
      <c r="G52" s="49"/>
      <c r="H52" s="49"/>
      <c r="I52" s="49"/>
      <c r="J52" s="49"/>
      <c r="K52" s="49">
        <v>8016</v>
      </c>
      <c r="L52"/>
    </row>
    <row r="53" spans="1:12" ht="15">
      <c r="B53" s="1" t="s">
        <v>15</v>
      </c>
      <c r="C53" s="49"/>
      <c r="D53" s="49"/>
      <c r="E53" s="49"/>
      <c r="F53" s="49">
        <v>38400</v>
      </c>
      <c r="G53" s="49"/>
      <c r="H53" s="49">
        <v>4800</v>
      </c>
      <c r="I53" s="49"/>
      <c r="J53" s="49">
        <v>15300</v>
      </c>
      <c r="K53" s="49">
        <v>58500</v>
      </c>
      <c r="L53"/>
    </row>
    <row r="54" spans="1:12" ht="15">
      <c r="B54" s="1" t="s">
        <v>1224</v>
      </c>
      <c r="C54" s="49"/>
      <c r="D54" s="49"/>
      <c r="E54" s="49"/>
      <c r="F54" s="49">
        <v>8400</v>
      </c>
      <c r="G54" s="49"/>
      <c r="H54" s="49"/>
      <c r="I54" s="49"/>
      <c r="J54" s="49"/>
      <c r="K54" s="49">
        <v>8400</v>
      </c>
      <c r="L54"/>
    </row>
    <row r="55" spans="1:12" ht="15">
      <c r="B55" s="1" t="s">
        <v>1225</v>
      </c>
      <c r="C55" s="49"/>
      <c r="D55" s="49"/>
      <c r="E55" s="49"/>
      <c r="F55" s="49">
        <v>0</v>
      </c>
      <c r="G55" s="49"/>
      <c r="H55" s="49"/>
      <c r="I55" s="49"/>
      <c r="J55" s="49"/>
      <c r="K55" s="49">
        <v>0</v>
      </c>
      <c r="L55"/>
    </row>
    <row r="56" spans="1:12" ht="15">
      <c r="B56" s="1" t="s">
        <v>2795</v>
      </c>
      <c r="C56" s="49"/>
      <c r="D56" s="49"/>
      <c r="E56" s="49"/>
      <c r="F56" s="49"/>
      <c r="G56" s="49"/>
      <c r="H56" s="49"/>
      <c r="I56" s="49">
        <v>265581.21600000001</v>
      </c>
      <c r="J56" s="49"/>
      <c r="K56" s="49">
        <v>265581.21600000001</v>
      </c>
      <c r="L56"/>
    </row>
    <row r="57" spans="1:12" ht="15">
      <c r="A57" s="27" t="s">
        <v>1123</v>
      </c>
      <c r="B57" s="27"/>
      <c r="C57" s="348"/>
      <c r="D57" s="348"/>
      <c r="E57" s="348"/>
      <c r="F57" s="348">
        <v>964962.72000000009</v>
      </c>
      <c r="G57" s="348">
        <v>43142.400000000001</v>
      </c>
      <c r="H57" s="348">
        <v>82946.399999999994</v>
      </c>
      <c r="I57" s="348">
        <v>285571.20000000001</v>
      </c>
      <c r="J57" s="348">
        <v>851238.45000000007</v>
      </c>
      <c r="K57" s="348">
        <v>2227861.17</v>
      </c>
      <c r="L57"/>
    </row>
    <row r="58" spans="1:12" ht="15">
      <c r="A58" s="1" t="s">
        <v>1409</v>
      </c>
      <c r="B58" s="1" t="s">
        <v>9</v>
      </c>
      <c r="C58" s="49"/>
      <c r="D58" s="49"/>
      <c r="E58" s="49"/>
      <c r="F58" s="49"/>
      <c r="G58" s="49"/>
      <c r="H58" s="49"/>
      <c r="I58" s="49">
        <v>9600</v>
      </c>
      <c r="J58" s="49"/>
      <c r="K58" s="49">
        <v>9600</v>
      </c>
      <c r="L58"/>
    </row>
    <row r="59" spans="1:12" ht="15">
      <c r="B59" s="1" t="s">
        <v>11</v>
      </c>
      <c r="C59" s="49"/>
      <c r="D59" s="49"/>
      <c r="E59" s="49"/>
      <c r="F59" s="49">
        <v>8640</v>
      </c>
      <c r="G59" s="49">
        <v>4320</v>
      </c>
      <c r="H59" s="49"/>
      <c r="I59" s="49">
        <v>4320</v>
      </c>
      <c r="J59" s="49"/>
      <c r="K59" s="49">
        <v>17280</v>
      </c>
      <c r="L59"/>
    </row>
    <row r="60" spans="1:12" ht="15">
      <c r="B60" s="1" t="s">
        <v>1795</v>
      </c>
      <c r="C60" s="49"/>
      <c r="D60" s="49"/>
      <c r="E60" s="49"/>
      <c r="F60" s="49"/>
      <c r="G60" s="49"/>
      <c r="H60" s="49"/>
      <c r="I60" s="49">
        <v>82351.679999999993</v>
      </c>
      <c r="J60" s="49"/>
      <c r="K60" s="49">
        <v>82351.679999999993</v>
      </c>
      <c r="L60"/>
    </row>
    <row r="61" spans="1:12" ht="15">
      <c r="B61" s="1" t="s">
        <v>1811</v>
      </c>
      <c r="C61" s="49"/>
      <c r="D61" s="49"/>
      <c r="E61" s="49"/>
      <c r="F61" s="49"/>
      <c r="G61" s="49"/>
      <c r="H61" s="49"/>
      <c r="I61" s="49">
        <v>159216</v>
      </c>
      <c r="J61" s="49"/>
      <c r="K61" s="49">
        <v>159216</v>
      </c>
      <c r="L61"/>
    </row>
    <row r="62" spans="1:12" ht="15">
      <c r="B62" s="1" t="s">
        <v>1812</v>
      </c>
      <c r="C62" s="49"/>
      <c r="D62" s="49"/>
      <c r="E62" s="49"/>
      <c r="F62" s="49"/>
      <c r="G62" s="49"/>
      <c r="H62" s="49"/>
      <c r="I62" s="49">
        <v>35952</v>
      </c>
      <c r="J62" s="49"/>
      <c r="K62" s="49">
        <v>35952</v>
      </c>
      <c r="L62"/>
    </row>
    <row r="63" spans="1:12" ht="15">
      <c r="B63" s="1" t="s">
        <v>1118</v>
      </c>
      <c r="C63" s="49"/>
      <c r="D63" s="49"/>
      <c r="E63" s="49"/>
      <c r="F63" s="49">
        <v>5782.5599999999995</v>
      </c>
      <c r="G63" s="49">
        <v>1010.8799999999999</v>
      </c>
      <c r="H63" s="49"/>
      <c r="I63" s="49">
        <v>8639.1167999999998</v>
      </c>
      <c r="J63" s="49">
        <v>874.65</v>
      </c>
      <c r="K63" s="49">
        <v>16307.206799999998</v>
      </c>
      <c r="L63"/>
    </row>
    <row r="64" spans="1:12" ht="15">
      <c r="B64" s="1" t="s">
        <v>1412</v>
      </c>
      <c r="C64" s="49"/>
      <c r="D64" s="49"/>
      <c r="E64" s="49"/>
      <c r="F64" s="49">
        <v>62400</v>
      </c>
      <c r="G64" s="49"/>
      <c r="H64" s="49"/>
      <c r="I64" s="49"/>
      <c r="J64" s="49"/>
      <c r="K64" s="49">
        <v>62400</v>
      </c>
      <c r="L64"/>
    </row>
    <row r="65" spans="1:12" ht="15">
      <c r="B65" s="1" t="s">
        <v>69</v>
      </c>
      <c r="C65" s="49"/>
      <c r="D65" s="49"/>
      <c r="E65" s="49"/>
      <c r="F65" s="49">
        <v>1200</v>
      </c>
      <c r="G65" s="49"/>
      <c r="H65" s="49"/>
      <c r="I65" s="49"/>
      <c r="J65" s="49">
        <v>12495</v>
      </c>
      <c r="K65" s="49">
        <v>13695</v>
      </c>
      <c r="L65"/>
    </row>
    <row r="66" spans="1:12" ht="15">
      <c r="B66" s="1" t="s">
        <v>4</v>
      </c>
      <c r="C66" s="49"/>
      <c r="D66" s="49"/>
      <c r="E66" s="49"/>
      <c r="F66" s="49">
        <v>4608</v>
      </c>
      <c r="G66" s="49">
        <v>2304</v>
      </c>
      <c r="H66" s="49"/>
      <c r="I66" s="49">
        <v>2880</v>
      </c>
      <c r="J66" s="49"/>
      <c r="K66" s="49">
        <v>9792</v>
      </c>
      <c r="L66"/>
    </row>
    <row r="67" spans="1:12" ht="15">
      <c r="B67" s="1" t="s">
        <v>1410</v>
      </c>
      <c r="C67" s="49"/>
      <c r="D67" s="49"/>
      <c r="E67" s="49"/>
      <c r="F67" s="49">
        <v>960</v>
      </c>
      <c r="G67" s="49">
        <v>480</v>
      </c>
      <c r="H67" s="49"/>
      <c r="I67" s="49"/>
      <c r="J67" s="49"/>
      <c r="K67" s="49">
        <v>1440</v>
      </c>
      <c r="L67"/>
    </row>
    <row r="68" spans="1:12" ht="15">
      <c r="B68" s="1" t="s">
        <v>15</v>
      </c>
      <c r="C68" s="49"/>
      <c r="D68" s="49"/>
      <c r="E68" s="49"/>
      <c r="F68" s="49">
        <v>4800</v>
      </c>
      <c r="G68" s="49">
        <v>7344</v>
      </c>
      <c r="H68" s="49"/>
      <c r="I68" s="49"/>
      <c r="J68" s="49"/>
      <c r="K68" s="49">
        <v>12144</v>
      </c>
      <c r="L68"/>
    </row>
    <row r="69" spans="1:12" ht="15">
      <c r="B69" s="1" t="s">
        <v>2793</v>
      </c>
      <c r="C69" s="49"/>
      <c r="D69" s="49"/>
      <c r="E69" s="49"/>
      <c r="F69" s="49"/>
      <c r="G69" s="49"/>
      <c r="H69" s="49"/>
      <c r="I69" s="49">
        <v>22162.867200000001</v>
      </c>
      <c r="J69" s="49"/>
      <c r="K69" s="49">
        <v>22162.867200000001</v>
      </c>
      <c r="L69"/>
    </row>
    <row r="70" spans="1:12" ht="15">
      <c r="B70" s="1" t="s">
        <v>2794</v>
      </c>
      <c r="C70" s="49"/>
      <c r="D70" s="49"/>
      <c r="E70" s="49"/>
      <c r="F70" s="49"/>
      <c r="G70" s="49"/>
      <c r="H70" s="49"/>
      <c r="I70" s="49">
        <v>687.45600000000002</v>
      </c>
      <c r="J70" s="49"/>
      <c r="K70" s="49">
        <v>687.45600000000002</v>
      </c>
      <c r="L70"/>
    </row>
    <row r="71" spans="1:12" ht="15">
      <c r="A71" s="27" t="s">
        <v>1416</v>
      </c>
      <c r="B71" s="27"/>
      <c r="C71" s="348"/>
      <c r="D71" s="348"/>
      <c r="E71" s="348"/>
      <c r="F71" s="348">
        <v>88390.56</v>
      </c>
      <c r="G71" s="348">
        <v>15458.880000000001</v>
      </c>
      <c r="H71" s="348"/>
      <c r="I71" s="348">
        <v>325809.12</v>
      </c>
      <c r="J71" s="348">
        <v>13369.65</v>
      </c>
      <c r="K71" s="348">
        <v>443028.20999999996</v>
      </c>
      <c r="L71"/>
    </row>
    <row r="72" spans="1:12" ht="15">
      <c r="A72" s="1" t="s">
        <v>18</v>
      </c>
      <c r="C72" s="49">
        <v>33617</v>
      </c>
      <c r="D72" s="49">
        <v>235679</v>
      </c>
      <c r="E72" s="49">
        <v>649252</v>
      </c>
      <c r="F72" s="49">
        <v>1053353.2800000003</v>
      </c>
      <c r="G72" s="49">
        <v>58601.279999999999</v>
      </c>
      <c r="H72" s="49">
        <v>82946.399999999994</v>
      </c>
      <c r="I72" s="49">
        <v>611380.31999999995</v>
      </c>
      <c r="J72" s="49">
        <v>864608.10000000009</v>
      </c>
      <c r="K72" s="49">
        <v>3589437.3800000004</v>
      </c>
      <c r="L72"/>
    </row>
    <row r="73" spans="1:12" ht="15">
      <c r="A73"/>
      <c r="B73"/>
      <c r="C73"/>
      <c r="D73"/>
      <c r="E73"/>
      <c r="F73"/>
      <c r="G73"/>
      <c r="H73"/>
      <c r="I73"/>
      <c r="J73"/>
      <c r="K73"/>
      <c r="L73"/>
    </row>
    <row r="74" spans="1:12" ht="15">
      <c r="A74"/>
      <c r="B74"/>
      <c r="C74"/>
      <c r="D74"/>
      <c r="E74"/>
      <c r="F74"/>
      <c r="G74"/>
      <c r="H74"/>
      <c r="I74"/>
      <c r="J74"/>
      <c r="K74"/>
      <c r="L74"/>
    </row>
    <row r="75" spans="1:12" ht="12.75"/>
    <row r="76" spans="1:12" ht="12.75"/>
    <row r="77" spans="1:12" ht="12.75"/>
    <row r="78" spans="1:12" ht="12.75"/>
    <row r="79" spans="1:12" ht="12.75"/>
    <row r="80" spans="1:12" ht="12.75"/>
  </sheetData>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I40"/>
  <sheetViews>
    <sheetView zoomScale="85" zoomScaleNormal="85" workbookViewId="0">
      <selection activeCell="D9" sqref="D9"/>
    </sheetView>
  </sheetViews>
  <sheetFormatPr defaultRowHeight="12.75"/>
  <cols>
    <col min="1" max="1" width="15.7109375" style="1" bestFit="1" customWidth="1"/>
    <col min="2" max="2" width="40.85546875" style="1" bestFit="1" customWidth="1"/>
    <col min="3" max="7" width="9.28515625" style="1" bestFit="1" customWidth="1"/>
    <col min="8" max="9" width="11.7109375" style="1" bestFit="1" customWidth="1"/>
    <col min="10" max="16384" width="9.140625" style="1"/>
  </cols>
  <sheetData>
    <row r="5" spans="1:9" ht="15">
      <c r="A5" s="48" t="s">
        <v>17</v>
      </c>
      <c r="C5" s="48" t="s">
        <v>44</v>
      </c>
      <c r="I5"/>
    </row>
    <row r="6" spans="1:9" ht="15">
      <c r="A6" s="48" t="s">
        <v>1408</v>
      </c>
      <c r="B6" s="48" t="s">
        <v>1</v>
      </c>
      <c r="C6" s="1">
        <v>2014</v>
      </c>
      <c r="D6" s="1">
        <v>2015</v>
      </c>
      <c r="E6" s="1">
        <v>2017</v>
      </c>
      <c r="F6" s="1">
        <v>2018</v>
      </c>
      <c r="G6" s="1">
        <v>2019</v>
      </c>
      <c r="H6" s="1" t="s">
        <v>18</v>
      </c>
      <c r="I6"/>
    </row>
    <row r="7" spans="1:9" ht="15">
      <c r="A7" s="1" t="s">
        <v>1122</v>
      </c>
      <c r="B7" s="345" t="s">
        <v>9</v>
      </c>
      <c r="C7" s="344">
        <v>537</v>
      </c>
      <c r="D7" s="344"/>
      <c r="E7" s="344"/>
      <c r="F7" s="344"/>
      <c r="G7" s="344">
        <v>260</v>
      </c>
      <c r="H7" s="344">
        <v>797</v>
      </c>
      <c r="I7"/>
    </row>
    <row r="8" spans="1:9" ht="15">
      <c r="B8" s="345" t="s">
        <v>11</v>
      </c>
      <c r="C8" s="344">
        <v>950</v>
      </c>
      <c r="D8" s="344"/>
      <c r="E8" s="344">
        <v>100</v>
      </c>
      <c r="F8" s="344"/>
      <c r="G8" s="344">
        <v>300</v>
      </c>
      <c r="H8" s="344">
        <v>1350</v>
      </c>
      <c r="I8"/>
    </row>
    <row r="9" spans="1:9" ht="15">
      <c r="B9" s="345" t="s">
        <v>1265</v>
      </c>
      <c r="C9" s="344">
        <v>900</v>
      </c>
      <c r="D9" s="344">
        <v>840</v>
      </c>
      <c r="E9" s="344">
        <v>1400</v>
      </c>
      <c r="F9" s="344"/>
      <c r="G9" s="344"/>
      <c r="H9" s="344">
        <v>3140</v>
      </c>
      <c r="I9"/>
    </row>
    <row r="10" spans="1:9" ht="15">
      <c r="B10" s="345" t="s">
        <v>1114</v>
      </c>
      <c r="C10" s="344">
        <v>135</v>
      </c>
      <c r="D10" s="344"/>
      <c r="E10" s="344">
        <v>15</v>
      </c>
      <c r="F10" s="344"/>
      <c r="G10" s="344">
        <v>45</v>
      </c>
      <c r="H10" s="344">
        <v>195</v>
      </c>
      <c r="I10"/>
    </row>
    <row r="11" spans="1:9" ht="15">
      <c r="B11" s="345" t="s">
        <v>35</v>
      </c>
      <c r="C11" s="344">
        <v>2544.1800000000003</v>
      </c>
      <c r="D11" s="344"/>
      <c r="E11" s="344"/>
      <c r="F11" s="344"/>
      <c r="G11" s="344"/>
      <c r="H11" s="344">
        <v>2544.1800000000003</v>
      </c>
      <c r="I11"/>
    </row>
    <row r="12" spans="1:9" ht="15">
      <c r="B12" s="345" t="s">
        <v>1118</v>
      </c>
      <c r="C12" s="344">
        <v>1280.2299999999998</v>
      </c>
      <c r="D12" s="344">
        <v>58.8</v>
      </c>
      <c r="E12" s="344">
        <v>113.05</v>
      </c>
      <c r="F12" s="344">
        <v>416.45800000000003</v>
      </c>
      <c r="G12" s="344">
        <v>1066.7</v>
      </c>
      <c r="H12" s="344">
        <v>2935.2379999999998</v>
      </c>
      <c r="I12"/>
    </row>
    <row r="13" spans="1:9" ht="15">
      <c r="B13" s="345" t="s">
        <v>166</v>
      </c>
      <c r="C13" s="344">
        <v>7389.08</v>
      </c>
      <c r="D13" s="344"/>
      <c r="E13" s="344"/>
      <c r="F13" s="344"/>
      <c r="G13" s="344">
        <v>5281.4</v>
      </c>
      <c r="H13" s="344">
        <v>12670.48</v>
      </c>
      <c r="I13"/>
    </row>
    <row r="14" spans="1:9" ht="15">
      <c r="B14" s="345" t="s">
        <v>178</v>
      </c>
      <c r="C14" s="344">
        <v>482.38</v>
      </c>
      <c r="D14" s="344"/>
      <c r="E14" s="344"/>
      <c r="F14" s="344"/>
      <c r="G14" s="344">
        <v>4404.3999999999996</v>
      </c>
      <c r="H14" s="344">
        <v>4886.78</v>
      </c>
      <c r="I14"/>
    </row>
    <row r="15" spans="1:9" ht="15">
      <c r="B15" s="345" t="s">
        <v>69</v>
      </c>
      <c r="C15" s="344">
        <v>4053.48</v>
      </c>
      <c r="D15" s="344"/>
      <c r="E15" s="344"/>
      <c r="F15" s="344"/>
      <c r="G15" s="344">
        <v>5105</v>
      </c>
      <c r="H15" s="344">
        <v>9158.48</v>
      </c>
      <c r="I15"/>
    </row>
    <row r="16" spans="1:9" ht="15">
      <c r="B16" s="345" t="s">
        <v>4</v>
      </c>
      <c r="C16" s="344">
        <v>665.04</v>
      </c>
      <c r="D16" s="344"/>
      <c r="E16" s="344"/>
      <c r="F16" s="344"/>
      <c r="G16" s="344">
        <v>78.05</v>
      </c>
      <c r="H16" s="344">
        <v>743.08999999999992</v>
      </c>
      <c r="I16"/>
    </row>
    <row r="17" spans="1:9" ht="15">
      <c r="B17" s="345" t="s">
        <v>16</v>
      </c>
      <c r="C17" s="344">
        <v>25</v>
      </c>
      <c r="D17" s="344"/>
      <c r="E17" s="344"/>
      <c r="F17" s="344"/>
      <c r="G17" s="344"/>
      <c r="H17" s="344">
        <v>25</v>
      </c>
      <c r="I17"/>
    </row>
    <row r="18" spans="1:9" ht="15">
      <c r="B18" s="345" t="s">
        <v>1117</v>
      </c>
      <c r="C18" s="344">
        <v>167</v>
      </c>
      <c r="D18" s="344"/>
      <c r="E18" s="344"/>
      <c r="F18" s="344"/>
      <c r="G18" s="344"/>
      <c r="H18" s="344">
        <v>167</v>
      </c>
      <c r="I18"/>
    </row>
    <row r="19" spans="1:9" ht="15">
      <c r="B19" s="345" t="s">
        <v>15</v>
      </c>
      <c r="C19" s="344">
        <v>800</v>
      </c>
      <c r="D19" s="344"/>
      <c r="E19" s="344">
        <v>100</v>
      </c>
      <c r="F19" s="344"/>
      <c r="G19" s="344">
        <v>300</v>
      </c>
      <c r="H19" s="344">
        <v>1200</v>
      </c>
      <c r="I19"/>
    </row>
    <row r="20" spans="1:9" ht="15">
      <c r="B20" s="345" t="s">
        <v>1224</v>
      </c>
      <c r="C20" s="344">
        <v>175</v>
      </c>
      <c r="D20" s="344"/>
      <c r="E20" s="344"/>
      <c r="F20" s="344"/>
      <c r="G20" s="344"/>
      <c r="H20" s="344">
        <v>175</v>
      </c>
      <c r="I20"/>
    </row>
    <row r="21" spans="1:9" ht="15">
      <c r="B21" s="345" t="s">
        <v>1225</v>
      </c>
      <c r="C21" s="344">
        <v>0</v>
      </c>
      <c r="D21" s="344"/>
      <c r="E21" s="344"/>
      <c r="F21" s="344"/>
      <c r="G21" s="344"/>
      <c r="H21" s="344">
        <v>0</v>
      </c>
      <c r="I21"/>
    </row>
    <row r="22" spans="1:9" ht="15">
      <c r="B22" s="345" t="s">
        <v>2795</v>
      </c>
      <c r="C22" s="344"/>
      <c r="D22" s="344"/>
      <c r="E22" s="344"/>
      <c r="F22" s="344">
        <v>5532.9420000000009</v>
      </c>
      <c r="G22" s="344"/>
      <c r="H22" s="344">
        <v>5532.9420000000009</v>
      </c>
      <c r="I22"/>
    </row>
    <row r="23" spans="1:9" ht="15">
      <c r="A23" s="27" t="s">
        <v>1123</v>
      </c>
      <c r="B23" s="27"/>
      <c r="C23" s="28">
        <v>20103.39</v>
      </c>
      <c r="D23" s="28">
        <v>898.8</v>
      </c>
      <c r="E23" s="28">
        <v>1728.05</v>
      </c>
      <c r="F23" s="28">
        <v>5949.4000000000005</v>
      </c>
      <c r="G23" s="28">
        <v>16840.55</v>
      </c>
      <c r="H23" s="28">
        <v>45520.189999999995</v>
      </c>
      <c r="I23"/>
    </row>
    <row r="24" spans="1:9" ht="15">
      <c r="A24" s="1" t="s">
        <v>1409</v>
      </c>
      <c r="B24" s="345" t="s">
        <v>9</v>
      </c>
      <c r="C24" s="344"/>
      <c r="D24" s="344"/>
      <c r="E24" s="344"/>
      <c r="F24" s="344">
        <v>200</v>
      </c>
      <c r="G24" s="344"/>
      <c r="H24" s="344">
        <v>200</v>
      </c>
      <c r="I24"/>
    </row>
    <row r="25" spans="1:9" ht="15">
      <c r="B25" s="345" t="s">
        <v>11</v>
      </c>
      <c r="C25" s="344">
        <v>180</v>
      </c>
      <c r="D25" s="344">
        <v>90</v>
      </c>
      <c r="E25" s="344"/>
      <c r="F25" s="344">
        <v>90</v>
      </c>
      <c r="G25" s="344"/>
      <c r="H25" s="344">
        <v>360</v>
      </c>
      <c r="I25"/>
    </row>
    <row r="26" spans="1:9" ht="15">
      <c r="B26" s="345" t="s">
        <v>1795</v>
      </c>
      <c r="C26" s="344"/>
      <c r="D26" s="344"/>
      <c r="E26" s="344"/>
      <c r="F26" s="344">
        <v>1715.6599999999999</v>
      </c>
      <c r="G26" s="344"/>
      <c r="H26" s="344">
        <v>1715.6599999999999</v>
      </c>
      <c r="I26"/>
    </row>
    <row r="27" spans="1:9" ht="15">
      <c r="B27" s="345" t="s">
        <v>1811</v>
      </c>
      <c r="C27" s="344"/>
      <c r="D27" s="344"/>
      <c r="E27" s="344"/>
      <c r="F27" s="344">
        <v>3317</v>
      </c>
      <c r="G27" s="344"/>
      <c r="H27" s="344">
        <v>3317</v>
      </c>
      <c r="I27"/>
    </row>
    <row r="28" spans="1:9" ht="15">
      <c r="B28" s="345" t="s">
        <v>1812</v>
      </c>
      <c r="C28" s="344"/>
      <c r="D28" s="344"/>
      <c r="E28" s="344"/>
      <c r="F28" s="344">
        <v>749</v>
      </c>
      <c r="G28" s="344"/>
      <c r="H28" s="344">
        <v>749</v>
      </c>
      <c r="I28"/>
    </row>
    <row r="29" spans="1:9" ht="15">
      <c r="B29" s="345" t="s">
        <v>1118</v>
      </c>
      <c r="C29" s="344">
        <v>120.47</v>
      </c>
      <c r="D29" s="344">
        <v>21.06</v>
      </c>
      <c r="E29" s="344"/>
      <c r="F29" s="344">
        <v>179.98160000000001</v>
      </c>
      <c r="G29" s="344">
        <v>17.149999999999999</v>
      </c>
      <c r="H29" s="344">
        <v>338.66160000000002</v>
      </c>
      <c r="I29"/>
    </row>
    <row r="30" spans="1:9" ht="15">
      <c r="B30" s="345" t="s">
        <v>1412</v>
      </c>
      <c r="C30" s="344">
        <v>1300</v>
      </c>
      <c r="D30" s="344"/>
      <c r="E30" s="344"/>
      <c r="F30" s="344"/>
      <c r="G30" s="344"/>
      <c r="H30" s="344">
        <v>1300</v>
      </c>
      <c r="I30"/>
    </row>
    <row r="31" spans="1:9" ht="15">
      <c r="B31" s="345" t="s">
        <v>69</v>
      </c>
      <c r="C31" s="344">
        <v>25</v>
      </c>
      <c r="D31" s="344"/>
      <c r="E31" s="344"/>
      <c r="F31" s="344"/>
      <c r="G31" s="344">
        <v>245</v>
      </c>
      <c r="H31" s="344">
        <v>270</v>
      </c>
      <c r="I31"/>
    </row>
    <row r="32" spans="1:9" ht="15">
      <c r="B32" s="345" t="s">
        <v>4</v>
      </c>
      <c r="C32" s="344">
        <v>96</v>
      </c>
      <c r="D32" s="344">
        <v>48</v>
      </c>
      <c r="E32" s="344"/>
      <c r="F32" s="344">
        <v>60</v>
      </c>
      <c r="G32" s="344"/>
      <c r="H32" s="344">
        <v>204</v>
      </c>
      <c r="I32"/>
    </row>
    <row r="33" spans="1:9" ht="15">
      <c r="B33" s="345" t="s">
        <v>1410</v>
      </c>
      <c r="C33" s="344">
        <v>20</v>
      </c>
      <c r="D33" s="344">
        <v>10</v>
      </c>
      <c r="E33" s="344"/>
      <c r="F33" s="344"/>
      <c r="G33" s="344"/>
      <c r="H33" s="344">
        <v>30</v>
      </c>
      <c r="I33"/>
    </row>
    <row r="34" spans="1:9" ht="15">
      <c r="B34" s="345" t="s">
        <v>15</v>
      </c>
      <c r="C34" s="344">
        <v>100</v>
      </c>
      <c r="D34" s="344">
        <v>153</v>
      </c>
      <c r="E34" s="344"/>
      <c r="F34" s="344"/>
      <c r="G34" s="344"/>
      <c r="H34" s="344">
        <v>253</v>
      </c>
      <c r="I34"/>
    </row>
    <row r="35" spans="1:9" ht="15">
      <c r="B35" s="345" t="s">
        <v>2793</v>
      </c>
      <c r="C35" s="344"/>
      <c r="D35" s="344"/>
      <c r="E35" s="344"/>
      <c r="F35" s="344">
        <v>461.72640000000001</v>
      </c>
      <c r="G35" s="344"/>
      <c r="H35" s="344">
        <v>461.72640000000001</v>
      </c>
      <c r="I35"/>
    </row>
    <row r="36" spans="1:9" ht="15">
      <c r="B36" s="345" t="s">
        <v>2794</v>
      </c>
      <c r="C36" s="344"/>
      <c r="D36" s="344"/>
      <c r="E36" s="344"/>
      <c r="F36" s="344">
        <v>14.322000000000001</v>
      </c>
      <c r="G36" s="344"/>
      <c r="H36" s="344">
        <v>14.322000000000001</v>
      </c>
      <c r="I36"/>
    </row>
    <row r="37" spans="1:9" ht="15">
      <c r="A37" s="27" t="s">
        <v>1416</v>
      </c>
      <c r="B37" s="27"/>
      <c r="C37" s="28">
        <v>1841.47</v>
      </c>
      <c r="D37" s="28">
        <v>322.06</v>
      </c>
      <c r="E37" s="28"/>
      <c r="F37" s="28">
        <v>6787.6900000000005</v>
      </c>
      <c r="G37" s="28">
        <v>262.14999999999998</v>
      </c>
      <c r="H37" s="28">
        <v>9213.369999999999</v>
      </c>
      <c r="I37"/>
    </row>
    <row r="38" spans="1:9" ht="15">
      <c r="A38" s="346" t="s">
        <v>18</v>
      </c>
      <c r="B38" s="346"/>
      <c r="C38" s="347">
        <v>21944.86</v>
      </c>
      <c r="D38" s="347">
        <v>1220.8599999999999</v>
      </c>
      <c r="E38" s="347">
        <v>1728.05</v>
      </c>
      <c r="F38" s="347">
        <v>12737.09</v>
      </c>
      <c r="G38" s="347">
        <v>17102.7</v>
      </c>
      <c r="H38" s="347">
        <v>54733.55999999999</v>
      </c>
      <c r="I38"/>
    </row>
    <row r="39" spans="1:9" ht="15">
      <c r="A39"/>
      <c r="B39"/>
      <c r="C39"/>
      <c r="D39"/>
      <c r="E39"/>
      <c r="F39"/>
      <c r="G39"/>
      <c r="H39"/>
      <c r="I39"/>
    </row>
    <row r="40" spans="1:9" ht="15">
      <c r="A40"/>
      <c r="B40"/>
      <c r="C40"/>
      <c r="D40"/>
      <c r="E40"/>
      <c r="F40"/>
      <c r="G40"/>
      <c r="H40"/>
      <c r="I40"/>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42"/>
  <sheetViews>
    <sheetView topLeftCell="A121" zoomScale="85" zoomScaleNormal="85" workbookViewId="0">
      <selection activeCell="B11" sqref="B11"/>
    </sheetView>
  </sheetViews>
  <sheetFormatPr defaultColWidth="9.140625" defaultRowHeight="12.75"/>
  <cols>
    <col min="1" max="1" width="25.140625" style="1" bestFit="1" customWidth="1"/>
    <col min="2" max="2" width="35.5703125" style="1" bestFit="1" customWidth="1"/>
    <col min="3" max="9" width="10.28515625" style="1" bestFit="1" customWidth="1"/>
    <col min="10" max="10" width="11.7109375" style="1" customWidth="1"/>
    <col min="11" max="11" width="21" style="1" customWidth="1"/>
    <col min="12" max="12" width="27.85546875" style="1" customWidth="1"/>
    <col min="13" max="14" width="12.28515625" style="1" bestFit="1" customWidth="1"/>
    <col min="15" max="15" width="15.7109375" style="1" bestFit="1" customWidth="1"/>
    <col min="16" max="16" width="13.7109375" style="1" bestFit="1" customWidth="1"/>
    <col min="17" max="17" width="17.28515625" style="1" bestFit="1" customWidth="1"/>
    <col min="18" max="19" width="8.140625" style="1" customWidth="1"/>
    <col min="20" max="20" width="8.7109375" style="1" customWidth="1"/>
    <col min="21" max="21" width="7.42578125" style="1" customWidth="1"/>
    <col min="22" max="22" width="10.7109375" style="1" bestFit="1" customWidth="1"/>
    <col min="23" max="23" width="16.85546875" style="1" bestFit="1" customWidth="1"/>
    <col min="24" max="24" width="20.28515625" style="1" bestFit="1" customWidth="1"/>
    <col min="25" max="26" width="14.7109375" style="1" bestFit="1" customWidth="1"/>
    <col min="27" max="27" width="18.28515625" style="1" bestFit="1" customWidth="1"/>
    <col min="28" max="28" width="15.42578125" style="1" bestFit="1" customWidth="1"/>
    <col min="29" max="29" width="18.85546875" style="1" bestFit="1" customWidth="1"/>
    <col min="30" max="30" width="11.7109375" style="1" bestFit="1" customWidth="1"/>
    <col min="31" max="16384" width="9.140625" style="1"/>
  </cols>
  <sheetData>
    <row r="1" spans="1:30" ht="15">
      <c r="A1"/>
      <c r="B1"/>
    </row>
    <row r="2" spans="1:30">
      <c r="A2" s="48" t="s">
        <v>3</v>
      </c>
      <c r="B2" s="1" t="s">
        <v>81</v>
      </c>
    </row>
    <row r="3" spans="1:30" ht="15">
      <c r="A3"/>
      <c r="B3"/>
      <c r="C3"/>
      <c r="D3"/>
      <c r="E3"/>
      <c r="F3"/>
      <c r="G3"/>
      <c r="H3"/>
      <c r="I3"/>
      <c r="J3"/>
      <c r="K3"/>
      <c r="L3"/>
      <c r="M3"/>
      <c r="N3"/>
      <c r="O3"/>
      <c r="P3"/>
      <c r="Q3"/>
      <c r="R3"/>
      <c r="S3"/>
      <c r="T3"/>
      <c r="U3"/>
      <c r="V3"/>
      <c r="W3"/>
      <c r="X3"/>
      <c r="Y3"/>
      <c r="Z3"/>
      <c r="AA3"/>
      <c r="AB3"/>
      <c r="AC3"/>
      <c r="AD3"/>
    </row>
    <row r="4" spans="1:30" ht="15">
      <c r="A4" s="48" t="s">
        <v>17</v>
      </c>
      <c r="C4" s="48" t="s">
        <v>19</v>
      </c>
      <c r="K4"/>
      <c r="L4"/>
      <c r="M4"/>
      <c r="N4"/>
      <c r="O4"/>
      <c r="P4"/>
      <c r="Q4"/>
      <c r="R4"/>
      <c r="S4"/>
      <c r="T4"/>
      <c r="U4"/>
      <c r="V4"/>
      <c r="W4"/>
      <c r="X4"/>
      <c r="Y4"/>
      <c r="Z4"/>
      <c r="AA4"/>
      <c r="AB4"/>
      <c r="AC4"/>
      <c r="AD4"/>
    </row>
    <row r="5" spans="1:30" ht="15">
      <c r="A5" s="48" t="s">
        <v>1</v>
      </c>
      <c r="B5" s="48" t="s">
        <v>32</v>
      </c>
      <c r="C5" s="4" t="s">
        <v>20</v>
      </c>
      <c r="D5" s="4" t="s">
        <v>21</v>
      </c>
      <c r="E5" s="4" t="s">
        <v>22</v>
      </c>
      <c r="F5" s="4" t="s">
        <v>23</v>
      </c>
      <c r="G5" s="4" t="s">
        <v>24</v>
      </c>
      <c r="H5" s="4" t="s">
        <v>28</v>
      </c>
      <c r="I5" s="4" t="s">
        <v>29</v>
      </c>
      <c r="J5" s="4" t="s">
        <v>18</v>
      </c>
      <c r="K5"/>
      <c r="L5"/>
      <c r="M5"/>
      <c r="N5"/>
      <c r="O5"/>
      <c r="P5"/>
      <c r="Q5"/>
      <c r="R5"/>
      <c r="S5"/>
      <c r="T5"/>
      <c r="U5"/>
      <c r="V5"/>
      <c r="W5"/>
      <c r="X5"/>
      <c r="Y5"/>
      <c r="Z5"/>
      <c r="AA5"/>
      <c r="AB5"/>
      <c r="AC5"/>
      <c r="AD5"/>
    </row>
    <row r="6" spans="1:30" ht="15">
      <c r="A6" s="1" t="s">
        <v>9</v>
      </c>
      <c r="B6" s="1" t="s">
        <v>94</v>
      </c>
      <c r="C6" s="3">
        <v>9170</v>
      </c>
      <c r="D6" s="3"/>
      <c r="E6" s="3"/>
      <c r="F6" s="3"/>
      <c r="G6" s="3"/>
      <c r="H6" s="3"/>
      <c r="I6" s="3"/>
      <c r="J6" s="3">
        <v>9170</v>
      </c>
      <c r="K6"/>
      <c r="L6"/>
      <c r="M6"/>
      <c r="N6"/>
      <c r="O6"/>
      <c r="P6"/>
      <c r="Q6"/>
      <c r="R6"/>
      <c r="S6"/>
      <c r="T6"/>
      <c r="U6"/>
      <c r="V6"/>
      <c r="W6"/>
      <c r="X6"/>
      <c r="Y6"/>
      <c r="Z6"/>
      <c r="AA6"/>
      <c r="AB6"/>
      <c r="AC6"/>
      <c r="AD6"/>
    </row>
    <row r="7" spans="1:30" ht="15">
      <c r="B7" s="1" t="s">
        <v>78</v>
      </c>
      <c r="C7" s="3"/>
      <c r="D7" s="3"/>
      <c r="E7" s="3">
        <v>370</v>
      </c>
      <c r="F7" s="3"/>
      <c r="G7" s="3"/>
      <c r="H7" s="3">
        <v>370</v>
      </c>
      <c r="I7" s="3"/>
      <c r="J7" s="3">
        <v>740</v>
      </c>
      <c r="K7"/>
      <c r="L7"/>
      <c r="M7"/>
    </row>
    <row r="8" spans="1:30" ht="15">
      <c r="B8" s="1" t="s">
        <v>742</v>
      </c>
      <c r="C8" s="3">
        <v>3410</v>
      </c>
      <c r="D8" s="3"/>
      <c r="E8" s="3"/>
      <c r="F8" s="3"/>
      <c r="G8" s="3"/>
      <c r="H8" s="3">
        <v>2410</v>
      </c>
      <c r="I8" s="3"/>
      <c r="J8" s="3">
        <v>5820</v>
      </c>
      <c r="K8"/>
      <c r="L8"/>
      <c r="M8"/>
    </row>
    <row r="9" spans="1:30" ht="15">
      <c r="B9" s="1" t="s">
        <v>57</v>
      </c>
      <c r="C9" s="3"/>
      <c r="D9" s="3">
        <v>650</v>
      </c>
      <c r="E9" s="3"/>
      <c r="F9" s="3"/>
      <c r="G9" s="3"/>
      <c r="H9" s="3"/>
      <c r="I9" s="3"/>
      <c r="J9" s="3">
        <v>650</v>
      </c>
      <c r="K9"/>
      <c r="L9"/>
      <c r="M9"/>
    </row>
    <row r="10" spans="1:30" ht="15">
      <c r="A10" s="27" t="s">
        <v>811</v>
      </c>
      <c r="B10" s="27"/>
      <c r="C10" s="28">
        <v>12580</v>
      </c>
      <c r="D10" s="28">
        <v>650</v>
      </c>
      <c r="E10" s="28">
        <v>370</v>
      </c>
      <c r="F10" s="28"/>
      <c r="G10" s="28"/>
      <c r="H10" s="28">
        <v>2780</v>
      </c>
      <c r="I10" s="28"/>
      <c r="J10" s="28">
        <v>16380</v>
      </c>
      <c r="K10"/>
      <c r="L10"/>
      <c r="M10"/>
    </row>
    <row r="11" spans="1:30" ht="15">
      <c r="A11" s="1" t="s">
        <v>11</v>
      </c>
      <c r="B11" s="1" t="s">
        <v>92</v>
      </c>
      <c r="C11" s="3">
        <v>400</v>
      </c>
      <c r="D11" s="3"/>
      <c r="E11" s="3"/>
      <c r="F11" s="3"/>
      <c r="G11" s="3"/>
      <c r="H11" s="3">
        <v>400</v>
      </c>
      <c r="I11" s="3"/>
      <c r="J11" s="3">
        <v>800</v>
      </c>
      <c r="K11"/>
      <c r="L11"/>
      <c r="M11"/>
    </row>
    <row r="12" spans="1:30" ht="15">
      <c r="B12" s="1" t="s">
        <v>93</v>
      </c>
      <c r="C12" s="3">
        <v>400</v>
      </c>
      <c r="D12" s="3"/>
      <c r="E12" s="3"/>
      <c r="F12" s="3"/>
      <c r="G12" s="3"/>
      <c r="H12" s="3"/>
      <c r="I12" s="3"/>
      <c r="J12" s="3">
        <v>400</v>
      </c>
      <c r="K12"/>
      <c r="L12"/>
      <c r="M12"/>
    </row>
    <row r="13" spans="1:30" ht="15">
      <c r="B13" s="1" t="s">
        <v>505</v>
      </c>
      <c r="C13" s="3"/>
      <c r="D13" s="3"/>
      <c r="E13" s="3"/>
      <c r="F13" s="3"/>
      <c r="G13" s="3">
        <v>200</v>
      </c>
      <c r="H13" s="3"/>
      <c r="I13" s="3"/>
      <c r="J13" s="3">
        <v>200</v>
      </c>
      <c r="K13"/>
      <c r="L13"/>
      <c r="M13"/>
    </row>
    <row r="14" spans="1:30" ht="15">
      <c r="B14" s="1" t="s">
        <v>91</v>
      </c>
      <c r="C14" s="3">
        <v>400</v>
      </c>
      <c r="D14" s="3">
        <v>400</v>
      </c>
      <c r="E14" s="3"/>
      <c r="F14" s="3">
        <v>400</v>
      </c>
      <c r="G14" s="3"/>
      <c r="H14" s="3">
        <v>400</v>
      </c>
      <c r="I14" s="3"/>
      <c r="J14" s="3">
        <v>1600</v>
      </c>
      <c r="K14"/>
      <c r="L14"/>
      <c r="M14"/>
    </row>
    <row r="15" spans="1:30" ht="15">
      <c r="A15" s="27" t="s">
        <v>812</v>
      </c>
      <c r="B15" s="27"/>
      <c r="C15" s="28">
        <v>1200</v>
      </c>
      <c r="D15" s="28">
        <v>400</v>
      </c>
      <c r="E15" s="28"/>
      <c r="F15" s="28">
        <v>400</v>
      </c>
      <c r="G15" s="28">
        <v>200</v>
      </c>
      <c r="H15" s="28">
        <v>800</v>
      </c>
      <c r="I15" s="28"/>
      <c r="J15" s="28">
        <v>3000</v>
      </c>
      <c r="K15"/>
      <c r="L15"/>
      <c r="M15"/>
    </row>
    <row r="16" spans="1:30" ht="15">
      <c r="A16" s="1" t="s">
        <v>540</v>
      </c>
      <c r="B16" s="1" t="s">
        <v>203</v>
      </c>
      <c r="C16" s="3"/>
      <c r="D16" s="3"/>
      <c r="E16" s="3"/>
      <c r="F16" s="3"/>
      <c r="G16" s="3">
        <v>600</v>
      </c>
      <c r="H16" s="3"/>
      <c r="I16" s="3"/>
      <c r="J16" s="3">
        <v>600</v>
      </c>
      <c r="K16"/>
      <c r="L16"/>
      <c r="M16"/>
    </row>
    <row r="17" spans="2:12" ht="15">
      <c r="B17" s="1" t="s">
        <v>551</v>
      </c>
      <c r="C17" s="3"/>
      <c r="D17" s="3"/>
      <c r="E17" s="3"/>
      <c r="F17" s="3"/>
      <c r="G17" s="3">
        <v>3575</v>
      </c>
      <c r="H17" s="3"/>
      <c r="I17" s="3"/>
      <c r="J17" s="3">
        <v>3575</v>
      </c>
      <c r="K17"/>
      <c r="L17"/>
    </row>
    <row r="18" spans="2:12" ht="15">
      <c r="B18" s="1" t="s">
        <v>204</v>
      </c>
      <c r="C18" s="3"/>
      <c r="D18" s="3"/>
      <c r="E18" s="3"/>
      <c r="F18" s="3"/>
      <c r="G18" s="3">
        <v>45500</v>
      </c>
      <c r="H18" s="3"/>
      <c r="I18" s="3"/>
      <c r="J18" s="3">
        <v>45500</v>
      </c>
      <c r="K18"/>
      <c r="L18"/>
    </row>
    <row r="19" spans="2:12" ht="15">
      <c r="B19" s="1" t="s">
        <v>94</v>
      </c>
      <c r="C19" s="3"/>
      <c r="D19" s="3"/>
      <c r="E19" s="3"/>
      <c r="F19" s="3"/>
      <c r="G19" s="3">
        <v>11820</v>
      </c>
      <c r="H19" s="3"/>
      <c r="I19" s="3"/>
      <c r="J19" s="3">
        <v>11820</v>
      </c>
      <c r="K19"/>
      <c r="L19"/>
    </row>
    <row r="20" spans="2:12" ht="15">
      <c r="B20" s="1" t="s">
        <v>545</v>
      </c>
      <c r="C20" s="3"/>
      <c r="D20" s="3"/>
      <c r="E20" s="3"/>
      <c r="F20" s="3"/>
      <c r="G20" s="3">
        <v>620</v>
      </c>
      <c r="H20" s="3"/>
      <c r="I20" s="3"/>
      <c r="J20" s="3">
        <v>620</v>
      </c>
      <c r="K20"/>
      <c r="L20"/>
    </row>
    <row r="21" spans="2:12" ht="15">
      <c r="B21" s="1" t="s">
        <v>542</v>
      </c>
      <c r="C21" s="3"/>
      <c r="D21" s="3"/>
      <c r="E21" s="3"/>
      <c r="F21" s="3"/>
      <c r="G21" s="3">
        <v>8000</v>
      </c>
      <c r="H21" s="3"/>
      <c r="I21" s="3"/>
      <c r="J21" s="3">
        <v>8000</v>
      </c>
      <c r="K21"/>
      <c r="L21"/>
    </row>
    <row r="22" spans="2:12" ht="15">
      <c r="B22" s="1" t="s">
        <v>543</v>
      </c>
      <c r="C22" s="3"/>
      <c r="D22" s="3"/>
      <c r="E22" s="3"/>
      <c r="F22" s="3"/>
      <c r="G22" s="3">
        <v>1000</v>
      </c>
      <c r="H22" s="3"/>
      <c r="I22" s="3"/>
      <c r="J22" s="3">
        <v>1000</v>
      </c>
      <c r="K22"/>
      <c r="L22"/>
    </row>
    <row r="23" spans="2:12" ht="15">
      <c r="B23" s="1" t="s">
        <v>546</v>
      </c>
      <c r="C23" s="3"/>
      <c r="D23" s="3"/>
      <c r="E23" s="3"/>
      <c r="F23" s="3"/>
      <c r="G23" s="3">
        <v>1520</v>
      </c>
      <c r="H23" s="3"/>
      <c r="I23" s="3"/>
      <c r="J23" s="3">
        <v>1520</v>
      </c>
      <c r="K23"/>
      <c r="L23"/>
    </row>
    <row r="24" spans="2:12" ht="15">
      <c r="B24" s="1" t="s">
        <v>547</v>
      </c>
      <c r="C24" s="3"/>
      <c r="D24" s="3"/>
      <c r="E24" s="3"/>
      <c r="F24" s="3"/>
      <c r="G24" s="3">
        <v>1410</v>
      </c>
      <c r="H24" s="3"/>
      <c r="I24" s="3"/>
      <c r="J24" s="3">
        <v>1410</v>
      </c>
      <c r="K24"/>
      <c r="L24"/>
    </row>
    <row r="25" spans="2:12" ht="15">
      <c r="B25" s="1" t="s">
        <v>205</v>
      </c>
      <c r="C25" s="3"/>
      <c r="D25" s="3"/>
      <c r="E25" s="3"/>
      <c r="F25" s="3"/>
      <c r="G25" s="3">
        <v>3640</v>
      </c>
      <c r="H25" s="3"/>
      <c r="I25" s="3"/>
      <c r="J25" s="3">
        <v>3640</v>
      </c>
      <c r="K25"/>
      <c r="L25"/>
    </row>
    <row r="26" spans="2:12" ht="15">
      <c r="B26" s="1" t="s">
        <v>555</v>
      </c>
      <c r="C26" s="3"/>
      <c r="D26" s="3"/>
      <c r="E26" s="3"/>
      <c r="F26" s="3"/>
      <c r="G26" s="3">
        <v>8504</v>
      </c>
      <c r="H26" s="3"/>
      <c r="I26" s="3"/>
      <c r="J26" s="3">
        <v>8504</v>
      </c>
      <c r="K26"/>
      <c r="L26"/>
    </row>
    <row r="27" spans="2:12" ht="15">
      <c r="B27" s="1" t="s">
        <v>544</v>
      </c>
      <c r="C27" s="3"/>
      <c r="D27" s="3"/>
      <c r="E27" s="3"/>
      <c r="F27" s="3"/>
      <c r="G27" s="3">
        <v>7000</v>
      </c>
      <c r="H27" s="3"/>
      <c r="I27" s="3"/>
      <c r="J27" s="3">
        <v>7000</v>
      </c>
      <c r="K27"/>
      <c r="L27"/>
    </row>
    <row r="28" spans="2:12" ht="15">
      <c r="B28" s="1" t="s">
        <v>553</v>
      </c>
      <c r="C28" s="3"/>
      <c r="D28" s="3"/>
      <c r="E28" s="3"/>
      <c r="F28" s="3"/>
      <c r="G28" s="3">
        <v>282</v>
      </c>
      <c r="H28" s="3"/>
      <c r="I28" s="3"/>
      <c r="J28" s="3">
        <v>282</v>
      </c>
      <c r="K28"/>
      <c r="L28"/>
    </row>
    <row r="29" spans="2:12" ht="15">
      <c r="B29" s="1" t="s">
        <v>554</v>
      </c>
      <c r="C29" s="3"/>
      <c r="D29" s="3"/>
      <c r="E29" s="3"/>
      <c r="F29" s="3"/>
      <c r="G29" s="3">
        <v>9392</v>
      </c>
      <c r="H29" s="3"/>
      <c r="I29" s="3"/>
      <c r="J29" s="3">
        <v>9392</v>
      </c>
      <c r="K29"/>
      <c r="L29"/>
    </row>
    <row r="30" spans="2:12" ht="15">
      <c r="B30" s="1" t="s">
        <v>548</v>
      </c>
      <c r="C30" s="3"/>
      <c r="D30" s="3"/>
      <c r="E30" s="3"/>
      <c r="F30" s="3"/>
      <c r="G30" s="3">
        <v>27600</v>
      </c>
      <c r="H30" s="3"/>
      <c r="I30" s="3"/>
      <c r="J30" s="3">
        <v>27600</v>
      </c>
      <c r="K30"/>
      <c r="L30"/>
    </row>
    <row r="31" spans="2:12" ht="15">
      <c r="B31" s="1" t="s">
        <v>550</v>
      </c>
      <c r="C31" s="3"/>
      <c r="D31" s="3"/>
      <c r="E31" s="3"/>
      <c r="F31" s="3"/>
      <c r="G31" s="3">
        <v>14300</v>
      </c>
      <c r="H31" s="3"/>
      <c r="I31" s="3"/>
      <c r="J31" s="3">
        <v>14300</v>
      </c>
      <c r="K31"/>
      <c r="L31"/>
    </row>
    <row r="32" spans="2:12" ht="15">
      <c r="B32" s="1" t="s">
        <v>552</v>
      </c>
      <c r="C32" s="3"/>
      <c r="D32" s="3"/>
      <c r="E32" s="3"/>
      <c r="F32" s="3"/>
      <c r="G32" s="3">
        <v>4290</v>
      </c>
      <c r="H32" s="3"/>
      <c r="I32" s="3"/>
      <c r="J32" s="3">
        <v>4290</v>
      </c>
      <c r="K32"/>
      <c r="L32"/>
    </row>
    <row r="33" spans="1:12" ht="15">
      <c r="B33" s="1" t="s">
        <v>549</v>
      </c>
      <c r="C33" s="3"/>
      <c r="D33" s="3"/>
      <c r="E33" s="3"/>
      <c r="F33" s="3"/>
      <c r="G33" s="3">
        <v>18100</v>
      </c>
      <c r="H33" s="3"/>
      <c r="I33" s="3"/>
      <c r="J33" s="3">
        <v>18100</v>
      </c>
      <c r="K33"/>
      <c r="L33"/>
    </row>
    <row r="34" spans="1:12" ht="15">
      <c r="A34" s="27" t="s">
        <v>813</v>
      </c>
      <c r="B34" s="27"/>
      <c r="C34" s="28"/>
      <c r="D34" s="28"/>
      <c r="E34" s="28"/>
      <c r="F34" s="28"/>
      <c r="G34" s="28">
        <v>167153</v>
      </c>
      <c r="H34" s="28"/>
      <c r="I34" s="28"/>
      <c r="J34" s="28">
        <v>167153</v>
      </c>
      <c r="K34"/>
      <c r="L34"/>
    </row>
    <row r="35" spans="1:12" ht="15">
      <c r="A35" s="1" t="s">
        <v>83</v>
      </c>
      <c r="B35" s="1" t="s">
        <v>79</v>
      </c>
      <c r="C35" s="3"/>
      <c r="D35" s="3"/>
      <c r="E35" s="3"/>
      <c r="F35" s="3">
        <v>0</v>
      </c>
      <c r="G35" s="3"/>
      <c r="H35" s="3"/>
      <c r="I35" s="3"/>
      <c r="J35" s="3">
        <v>0</v>
      </c>
      <c r="K35"/>
      <c r="L35"/>
    </row>
    <row r="36" spans="1:12" ht="15">
      <c r="B36" s="1" t="s">
        <v>57</v>
      </c>
      <c r="C36" s="3"/>
      <c r="D36" s="3"/>
      <c r="E36" s="3"/>
      <c r="F36" s="3">
        <v>1300</v>
      </c>
      <c r="G36" s="3"/>
      <c r="H36" s="3"/>
      <c r="I36" s="3"/>
      <c r="J36" s="3">
        <v>1300</v>
      </c>
      <c r="K36"/>
      <c r="L36"/>
    </row>
    <row r="37" spans="1:12" ht="15">
      <c r="A37" s="27" t="s">
        <v>89</v>
      </c>
      <c r="B37" s="27"/>
      <c r="C37" s="28"/>
      <c r="D37" s="28"/>
      <c r="E37" s="28"/>
      <c r="F37" s="28">
        <v>1300</v>
      </c>
      <c r="G37" s="28"/>
      <c r="H37" s="28"/>
      <c r="I37" s="28"/>
      <c r="J37" s="28">
        <v>1300</v>
      </c>
      <c r="K37"/>
      <c r="L37"/>
    </row>
    <row r="38" spans="1:12" ht="15">
      <c r="A38" s="1" t="s">
        <v>166</v>
      </c>
      <c r="B38" s="1" t="s">
        <v>169</v>
      </c>
      <c r="C38" s="3"/>
      <c r="D38" s="3"/>
      <c r="E38" s="3"/>
      <c r="F38" s="3">
        <v>11</v>
      </c>
      <c r="G38" s="3"/>
      <c r="H38" s="3"/>
      <c r="I38" s="3"/>
      <c r="J38" s="3">
        <v>11</v>
      </c>
      <c r="K38"/>
      <c r="L38"/>
    </row>
    <row r="39" spans="1:12" ht="15">
      <c r="B39" s="1" t="s">
        <v>159</v>
      </c>
      <c r="C39" s="3"/>
      <c r="D39" s="3"/>
      <c r="E39" s="3"/>
      <c r="F39" s="3">
        <v>418</v>
      </c>
      <c r="G39" s="3"/>
      <c r="H39" s="3"/>
      <c r="I39" s="3"/>
      <c r="J39" s="3">
        <v>418</v>
      </c>
      <c r="K39"/>
      <c r="L39"/>
    </row>
    <row r="40" spans="1:12" ht="15">
      <c r="B40" s="1" t="s">
        <v>164</v>
      </c>
      <c r="C40" s="3"/>
      <c r="D40" s="3"/>
      <c r="E40" s="3"/>
      <c r="F40" s="3">
        <v>65</v>
      </c>
      <c r="G40" s="3"/>
      <c r="H40" s="3"/>
      <c r="I40" s="3"/>
      <c r="J40" s="3">
        <v>65</v>
      </c>
      <c r="K40"/>
      <c r="L40"/>
    </row>
    <row r="41" spans="1:12" ht="15">
      <c r="B41" s="1" t="s">
        <v>168</v>
      </c>
      <c r="C41" s="3"/>
      <c r="D41" s="3"/>
      <c r="E41" s="3"/>
      <c r="F41" s="3">
        <v>259</v>
      </c>
      <c r="G41" s="3"/>
      <c r="H41" s="3"/>
      <c r="I41" s="3"/>
      <c r="J41" s="3">
        <v>259</v>
      </c>
      <c r="K41"/>
      <c r="L41"/>
    </row>
    <row r="42" spans="1:12" ht="15">
      <c r="B42" s="1" t="s">
        <v>170</v>
      </c>
      <c r="C42" s="3"/>
      <c r="D42" s="3"/>
      <c r="E42" s="3"/>
      <c r="F42" s="3">
        <v>41</v>
      </c>
      <c r="G42" s="3"/>
      <c r="H42" s="3"/>
      <c r="I42" s="3"/>
      <c r="J42" s="3">
        <v>41</v>
      </c>
      <c r="K42"/>
      <c r="L42"/>
    </row>
    <row r="43" spans="1:12" ht="15">
      <c r="B43" s="1" t="s">
        <v>101</v>
      </c>
      <c r="C43" s="3"/>
      <c r="D43" s="3"/>
      <c r="E43" s="3"/>
      <c r="F43" s="3">
        <v>64</v>
      </c>
      <c r="G43" s="3"/>
      <c r="H43" s="3"/>
      <c r="I43" s="3"/>
      <c r="J43" s="3">
        <v>64</v>
      </c>
      <c r="K43"/>
      <c r="L43"/>
    </row>
    <row r="44" spans="1:12" ht="15">
      <c r="B44" s="1" t="s">
        <v>167</v>
      </c>
      <c r="C44" s="3"/>
      <c r="D44" s="3"/>
      <c r="E44" s="3"/>
      <c r="F44" s="3">
        <v>77</v>
      </c>
      <c r="G44" s="3"/>
      <c r="H44" s="3"/>
      <c r="I44" s="3"/>
      <c r="J44" s="3">
        <v>77</v>
      </c>
      <c r="K44"/>
      <c r="L44"/>
    </row>
    <row r="45" spans="1:12" ht="15">
      <c r="A45" s="27" t="s">
        <v>171</v>
      </c>
      <c r="B45" s="27"/>
      <c r="C45" s="28"/>
      <c r="D45" s="28"/>
      <c r="E45" s="28"/>
      <c r="F45" s="28">
        <v>935</v>
      </c>
      <c r="G45" s="28"/>
      <c r="H45" s="28"/>
      <c r="I45" s="28"/>
      <c r="J45" s="28">
        <v>935</v>
      </c>
      <c r="K45"/>
      <c r="L45"/>
    </row>
    <row r="46" spans="1:12">
      <c r="A46" s="1" t="s">
        <v>178</v>
      </c>
      <c r="B46" s="1" t="s">
        <v>183</v>
      </c>
      <c r="C46" s="3"/>
      <c r="D46" s="3"/>
      <c r="E46" s="3"/>
      <c r="F46" s="3">
        <v>2</v>
      </c>
      <c r="G46" s="3"/>
      <c r="H46" s="3"/>
      <c r="I46" s="3"/>
      <c r="J46" s="3">
        <v>2</v>
      </c>
    </row>
    <row r="47" spans="1:12">
      <c r="B47" s="1" t="s">
        <v>182</v>
      </c>
      <c r="C47" s="3"/>
      <c r="D47" s="3"/>
      <c r="E47" s="3"/>
      <c r="F47" s="3">
        <v>531</v>
      </c>
      <c r="G47" s="3"/>
      <c r="H47" s="3"/>
      <c r="I47" s="3"/>
      <c r="J47" s="3">
        <v>531</v>
      </c>
    </row>
    <row r="48" spans="1:12">
      <c r="B48" s="1" t="s">
        <v>181</v>
      </c>
      <c r="C48" s="3"/>
      <c r="D48" s="3"/>
      <c r="E48" s="3"/>
      <c r="F48" s="3">
        <v>760</v>
      </c>
      <c r="G48" s="3"/>
      <c r="H48" s="3"/>
      <c r="I48" s="3"/>
      <c r="J48" s="3">
        <v>760</v>
      </c>
    </row>
    <row r="49" spans="1:10">
      <c r="B49" s="1" t="s">
        <v>159</v>
      </c>
      <c r="C49" s="3"/>
      <c r="D49" s="3"/>
      <c r="E49" s="3"/>
      <c r="F49" s="3">
        <v>418</v>
      </c>
      <c r="G49" s="3"/>
      <c r="H49" s="3"/>
      <c r="I49" s="3"/>
      <c r="J49" s="3">
        <v>418</v>
      </c>
    </row>
    <row r="50" spans="1:10">
      <c r="B50" s="1" t="s">
        <v>33</v>
      </c>
      <c r="C50" s="3"/>
      <c r="D50" s="3"/>
      <c r="E50" s="3"/>
      <c r="F50" s="3">
        <v>210</v>
      </c>
      <c r="G50" s="3"/>
      <c r="H50" s="3"/>
      <c r="I50" s="3"/>
      <c r="J50" s="3">
        <v>210</v>
      </c>
    </row>
    <row r="51" spans="1:10">
      <c r="B51" s="1" t="s">
        <v>184</v>
      </c>
      <c r="C51" s="3"/>
      <c r="D51" s="3"/>
      <c r="E51" s="3"/>
      <c r="F51" s="3">
        <v>86</v>
      </c>
      <c r="G51" s="3"/>
      <c r="H51" s="3"/>
      <c r="I51" s="3"/>
      <c r="J51" s="3">
        <v>86</v>
      </c>
    </row>
    <row r="52" spans="1:10">
      <c r="B52" s="1" t="s">
        <v>168</v>
      </c>
      <c r="C52" s="3"/>
      <c r="D52" s="3"/>
      <c r="E52" s="3"/>
      <c r="F52" s="3">
        <v>259</v>
      </c>
      <c r="G52" s="3"/>
      <c r="H52" s="3"/>
      <c r="I52" s="3"/>
      <c r="J52" s="3">
        <v>259</v>
      </c>
    </row>
    <row r="53" spans="1:10">
      <c r="B53" s="1" t="s">
        <v>170</v>
      </c>
      <c r="C53" s="3"/>
      <c r="D53" s="3"/>
      <c r="E53" s="3"/>
      <c r="F53" s="3">
        <v>1215</v>
      </c>
      <c r="G53" s="3"/>
      <c r="H53" s="3"/>
      <c r="I53" s="3"/>
      <c r="J53" s="3">
        <v>1215</v>
      </c>
    </row>
    <row r="54" spans="1:10">
      <c r="B54" s="1" t="s">
        <v>101</v>
      </c>
      <c r="C54" s="3"/>
      <c r="D54" s="3"/>
      <c r="E54" s="3"/>
      <c r="F54" s="3">
        <v>50</v>
      </c>
      <c r="G54" s="3"/>
      <c r="H54" s="3"/>
      <c r="I54" s="3"/>
      <c r="J54" s="3">
        <v>50</v>
      </c>
    </row>
    <row r="55" spans="1:10">
      <c r="B55" s="1" t="s">
        <v>104</v>
      </c>
      <c r="C55" s="3"/>
      <c r="D55" s="3"/>
      <c r="E55" s="3"/>
      <c r="F55" s="3">
        <v>10</v>
      </c>
      <c r="G55" s="3"/>
      <c r="H55" s="3"/>
      <c r="I55" s="3"/>
      <c r="J55" s="3">
        <v>10</v>
      </c>
    </row>
    <row r="56" spans="1:10">
      <c r="A56" s="27" t="s">
        <v>187</v>
      </c>
      <c r="B56" s="27"/>
      <c r="C56" s="28"/>
      <c r="D56" s="28"/>
      <c r="E56" s="28"/>
      <c r="F56" s="28">
        <v>3541</v>
      </c>
      <c r="G56" s="28"/>
      <c r="H56" s="28"/>
      <c r="I56" s="28"/>
      <c r="J56" s="28">
        <v>3541</v>
      </c>
    </row>
    <row r="57" spans="1:10">
      <c r="A57" s="1" t="s">
        <v>69</v>
      </c>
      <c r="B57" s="1" t="s">
        <v>103</v>
      </c>
      <c r="C57" s="3"/>
      <c r="D57" s="3"/>
      <c r="E57" s="3">
        <v>40100</v>
      </c>
      <c r="F57" s="3">
        <v>8020</v>
      </c>
      <c r="G57" s="3"/>
      <c r="H57" s="3"/>
      <c r="I57" s="3"/>
      <c r="J57" s="3">
        <v>48120</v>
      </c>
    </row>
    <row r="58" spans="1:10">
      <c r="B58" s="1" t="s">
        <v>161</v>
      </c>
      <c r="C58" s="3"/>
      <c r="D58" s="3"/>
      <c r="E58" s="3"/>
      <c r="F58" s="3">
        <v>1500</v>
      </c>
      <c r="G58" s="3"/>
      <c r="H58" s="3"/>
      <c r="I58" s="3"/>
      <c r="J58" s="3">
        <v>1500</v>
      </c>
    </row>
    <row r="59" spans="1:10">
      <c r="B59" s="1" t="s">
        <v>100</v>
      </c>
      <c r="C59" s="3"/>
      <c r="D59" s="3"/>
      <c r="E59" s="3">
        <v>2040</v>
      </c>
      <c r="F59" s="3">
        <v>2040</v>
      </c>
      <c r="G59" s="3"/>
      <c r="H59" s="3"/>
      <c r="I59" s="3"/>
      <c r="J59" s="3">
        <v>4080</v>
      </c>
    </row>
    <row r="60" spans="1:10">
      <c r="B60" s="1" t="s">
        <v>110</v>
      </c>
      <c r="C60" s="3"/>
      <c r="D60" s="3"/>
      <c r="E60" s="3"/>
      <c r="F60" s="3">
        <v>151</v>
      </c>
      <c r="G60" s="3"/>
      <c r="H60" s="3"/>
      <c r="I60" s="3"/>
      <c r="J60" s="3">
        <v>151</v>
      </c>
    </row>
    <row r="61" spans="1:10">
      <c r="B61" s="1" t="s">
        <v>102</v>
      </c>
      <c r="C61" s="3"/>
      <c r="D61" s="3"/>
      <c r="E61" s="3"/>
      <c r="F61" s="3">
        <v>3300</v>
      </c>
      <c r="G61" s="3"/>
      <c r="H61" s="3"/>
      <c r="I61" s="3"/>
      <c r="J61" s="3">
        <v>3300</v>
      </c>
    </row>
    <row r="62" spans="1:10">
      <c r="B62" s="1" t="s">
        <v>101</v>
      </c>
      <c r="C62" s="3"/>
      <c r="D62" s="3"/>
      <c r="E62" s="3">
        <v>15</v>
      </c>
      <c r="F62" s="3">
        <v>39</v>
      </c>
      <c r="G62" s="3"/>
      <c r="H62" s="3"/>
      <c r="I62" s="3"/>
      <c r="J62" s="3">
        <v>54</v>
      </c>
    </row>
    <row r="63" spans="1:10">
      <c r="A63" s="27" t="s">
        <v>82</v>
      </c>
      <c r="B63" s="27"/>
      <c r="C63" s="28"/>
      <c r="D63" s="28"/>
      <c r="E63" s="28">
        <v>42155</v>
      </c>
      <c r="F63" s="28">
        <v>15050</v>
      </c>
      <c r="G63" s="28"/>
      <c r="H63" s="28"/>
      <c r="I63" s="28"/>
      <c r="J63" s="28">
        <v>57205</v>
      </c>
    </row>
    <row r="64" spans="1:10">
      <c r="A64" s="1" t="s">
        <v>84</v>
      </c>
      <c r="B64" s="1" t="s">
        <v>88</v>
      </c>
      <c r="C64" s="3"/>
      <c r="D64" s="3">
        <v>115000</v>
      </c>
      <c r="E64" s="3"/>
      <c r="F64" s="3"/>
      <c r="G64" s="3"/>
      <c r="H64" s="3"/>
      <c r="I64" s="3"/>
      <c r="J64" s="3">
        <v>115000</v>
      </c>
    </row>
    <row r="65" spans="1:10">
      <c r="A65" s="27" t="s">
        <v>90</v>
      </c>
      <c r="B65" s="27"/>
      <c r="C65" s="28"/>
      <c r="D65" s="28">
        <v>115000</v>
      </c>
      <c r="E65" s="28"/>
      <c r="F65" s="28"/>
      <c r="G65" s="28"/>
      <c r="H65" s="28"/>
      <c r="I65" s="28"/>
      <c r="J65" s="28">
        <v>115000</v>
      </c>
    </row>
    <row r="66" spans="1:10">
      <c r="A66" s="1" t="s">
        <v>162</v>
      </c>
      <c r="B66" s="1" t="s">
        <v>208</v>
      </c>
      <c r="C66" s="3"/>
      <c r="D66" s="3"/>
      <c r="E66" s="3"/>
      <c r="F66" s="3">
        <v>444</v>
      </c>
      <c r="G66" s="3">
        <v>443</v>
      </c>
      <c r="H66" s="3"/>
      <c r="I66" s="3"/>
      <c r="J66" s="3">
        <v>887</v>
      </c>
    </row>
    <row r="67" spans="1:10">
      <c r="B67" s="1" t="s">
        <v>500</v>
      </c>
      <c r="C67" s="3"/>
      <c r="D67" s="3"/>
      <c r="E67" s="3"/>
      <c r="F67" s="3"/>
      <c r="G67" s="3">
        <v>10</v>
      </c>
      <c r="H67" s="3"/>
      <c r="I67" s="3"/>
      <c r="J67" s="3">
        <v>10</v>
      </c>
    </row>
    <row r="68" spans="1:10">
      <c r="B68" s="1" t="s">
        <v>165</v>
      </c>
      <c r="C68" s="3"/>
      <c r="D68" s="3"/>
      <c r="E68" s="3"/>
      <c r="F68" s="3">
        <v>56</v>
      </c>
      <c r="G68" s="3"/>
      <c r="H68" s="3"/>
      <c r="I68" s="3"/>
      <c r="J68" s="3">
        <v>56</v>
      </c>
    </row>
    <row r="69" spans="1:10">
      <c r="B69" s="1" t="s">
        <v>499</v>
      </c>
      <c r="C69" s="3"/>
      <c r="D69" s="3"/>
      <c r="E69" s="3"/>
      <c r="F69" s="3"/>
      <c r="G69" s="3">
        <v>1000</v>
      </c>
      <c r="H69" s="3"/>
      <c r="I69" s="3"/>
      <c r="J69" s="3">
        <v>1000</v>
      </c>
    </row>
    <row r="70" spans="1:10">
      <c r="B70" s="1" t="s">
        <v>501</v>
      </c>
      <c r="C70" s="3"/>
      <c r="D70" s="3"/>
      <c r="E70" s="3"/>
      <c r="F70" s="3"/>
      <c r="G70" s="3">
        <v>65</v>
      </c>
      <c r="H70" s="3"/>
      <c r="I70" s="3"/>
      <c r="J70" s="3">
        <v>65</v>
      </c>
    </row>
    <row r="71" spans="1:10">
      <c r="B71" s="1" t="s">
        <v>164</v>
      </c>
      <c r="C71" s="3"/>
      <c r="D71" s="3"/>
      <c r="E71" s="3"/>
      <c r="F71" s="3">
        <v>65</v>
      </c>
      <c r="G71" s="3"/>
      <c r="H71" s="3"/>
      <c r="I71" s="3"/>
      <c r="J71" s="3">
        <v>65</v>
      </c>
    </row>
    <row r="72" spans="1:10">
      <c r="B72" s="1" t="s">
        <v>163</v>
      </c>
      <c r="C72" s="3"/>
      <c r="D72" s="3"/>
      <c r="E72" s="3"/>
      <c r="F72" s="3">
        <v>19</v>
      </c>
      <c r="G72" s="3"/>
      <c r="H72" s="3"/>
      <c r="I72" s="3"/>
      <c r="J72" s="3">
        <v>19</v>
      </c>
    </row>
    <row r="73" spans="1:10">
      <c r="B73" s="1" t="s">
        <v>101</v>
      </c>
      <c r="C73" s="3"/>
      <c r="D73" s="3"/>
      <c r="E73" s="3"/>
      <c r="F73" s="3">
        <v>31</v>
      </c>
      <c r="G73" s="3"/>
      <c r="H73" s="3"/>
      <c r="I73" s="3"/>
      <c r="J73" s="3">
        <v>31</v>
      </c>
    </row>
    <row r="74" spans="1:10">
      <c r="B74" s="1" t="s">
        <v>209</v>
      </c>
      <c r="C74" s="3"/>
      <c r="D74" s="3"/>
      <c r="E74" s="3"/>
      <c r="F74" s="3">
        <v>56</v>
      </c>
      <c r="G74" s="3"/>
      <c r="H74" s="3"/>
      <c r="I74" s="3"/>
      <c r="J74" s="3">
        <v>56</v>
      </c>
    </row>
    <row r="75" spans="1:10">
      <c r="A75" s="27" t="s">
        <v>814</v>
      </c>
      <c r="B75" s="27"/>
      <c r="C75" s="28"/>
      <c r="D75" s="28"/>
      <c r="E75" s="28"/>
      <c r="F75" s="28">
        <v>671</v>
      </c>
      <c r="G75" s="28">
        <v>1518</v>
      </c>
      <c r="H75" s="28"/>
      <c r="I75" s="28"/>
      <c r="J75" s="28">
        <v>2189</v>
      </c>
    </row>
    <row r="76" spans="1:10">
      <c r="A76" s="1" t="s">
        <v>801</v>
      </c>
      <c r="B76" s="1" t="s">
        <v>502</v>
      </c>
      <c r="C76" s="3"/>
      <c r="D76" s="3"/>
      <c r="E76" s="3"/>
      <c r="F76" s="3"/>
      <c r="G76" s="3"/>
      <c r="H76" s="3"/>
      <c r="I76" s="3">
        <v>850</v>
      </c>
      <c r="J76" s="3">
        <v>850</v>
      </c>
    </row>
    <row r="77" spans="1:10">
      <c r="B77" s="1" t="s">
        <v>79</v>
      </c>
      <c r="C77" s="3"/>
      <c r="D77" s="3"/>
      <c r="E77" s="3"/>
      <c r="F77" s="3"/>
      <c r="G77" s="3"/>
      <c r="H77" s="3">
        <v>0</v>
      </c>
      <c r="I77" s="3"/>
      <c r="J77" s="3">
        <v>0</v>
      </c>
    </row>
    <row r="78" spans="1:10">
      <c r="B78" s="1" t="s">
        <v>57</v>
      </c>
      <c r="C78" s="3"/>
      <c r="D78" s="3"/>
      <c r="E78" s="3"/>
      <c r="F78" s="3"/>
      <c r="G78" s="3"/>
      <c r="H78" s="3">
        <v>650</v>
      </c>
      <c r="I78" s="3"/>
      <c r="J78" s="3">
        <v>650</v>
      </c>
    </row>
    <row r="79" spans="1:10">
      <c r="A79" s="27" t="s">
        <v>815</v>
      </c>
      <c r="B79" s="27"/>
      <c r="C79" s="28"/>
      <c r="D79" s="28"/>
      <c r="E79" s="28"/>
      <c r="F79" s="28"/>
      <c r="G79" s="28"/>
      <c r="H79" s="28">
        <v>650</v>
      </c>
      <c r="I79" s="28">
        <v>850</v>
      </c>
      <c r="J79" s="28">
        <v>1500</v>
      </c>
    </row>
    <row r="80" spans="1:10">
      <c r="A80" s="1" t="s">
        <v>832</v>
      </c>
      <c r="B80" s="1" t="s">
        <v>169</v>
      </c>
      <c r="C80" s="3"/>
      <c r="D80" s="3"/>
      <c r="E80" s="3"/>
      <c r="F80" s="3"/>
      <c r="G80" s="3"/>
      <c r="H80" s="3">
        <v>11</v>
      </c>
      <c r="I80" s="3"/>
      <c r="J80" s="3">
        <v>11</v>
      </c>
    </row>
    <row r="81" spans="1:10">
      <c r="B81" s="1" t="s">
        <v>159</v>
      </c>
      <c r="C81" s="3"/>
      <c r="D81" s="3"/>
      <c r="E81" s="3"/>
      <c r="F81" s="3"/>
      <c r="G81" s="3"/>
      <c r="H81" s="3">
        <v>627</v>
      </c>
      <c r="I81" s="3"/>
      <c r="J81" s="3">
        <v>627</v>
      </c>
    </row>
    <row r="82" spans="1:10">
      <c r="B82" s="1" t="s">
        <v>164</v>
      </c>
      <c r="C82" s="3"/>
      <c r="D82" s="3"/>
      <c r="E82" s="3"/>
      <c r="F82" s="3"/>
      <c r="G82" s="3"/>
      <c r="H82" s="3">
        <v>58</v>
      </c>
      <c r="I82" s="3"/>
      <c r="J82" s="3">
        <v>58</v>
      </c>
    </row>
    <row r="83" spans="1:10">
      <c r="B83" s="1" t="s">
        <v>168</v>
      </c>
      <c r="C83" s="3"/>
      <c r="D83" s="3"/>
      <c r="E83" s="3"/>
      <c r="F83" s="3"/>
      <c r="G83" s="3"/>
      <c r="H83" s="3">
        <v>282</v>
      </c>
      <c r="I83" s="3"/>
      <c r="J83" s="3">
        <v>282</v>
      </c>
    </row>
    <row r="84" spans="1:10">
      <c r="B84" s="1" t="s">
        <v>170</v>
      </c>
      <c r="C84" s="3"/>
      <c r="D84" s="3"/>
      <c r="E84" s="3"/>
      <c r="F84" s="3"/>
      <c r="G84" s="3"/>
      <c r="H84" s="3">
        <v>40</v>
      </c>
      <c r="I84" s="3"/>
      <c r="J84" s="3">
        <v>40</v>
      </c>
    </row>
    <row r="85" spans="1:10">
      <c r="B85" s="1" t="s">
        <v>101</v>
      </c>
      <c r="C85" s="3"/>
      <c r="D85" s="3"/>
      <c r="E85" s="3"/>
      <c r="F85" s="3"/>
      <c r="G85" s="3"/>
      <c r="H85" s="3">
        <v>80</v>
      </c>
      <c r="I85" s="3"/>
      <c r="J85" s="3">
        <v>80</v>
      </c>
    </row>
    <row r="86" spans="1:10">
      <c r="B86" s="1" t="s">
        <v>167</v>
      </c>
      <c r="C86" s="3"/>
      <c r="D86" s="3"/>
      <c r="E86" s="3"/>
      <c r="F86" s="3"/>
      <c r="G86" s="3"/>
      <c r="H86" s="3">
        <v>77</v>
      </c>
      <c r="I86" s="3"/>
      <c r="J86" s="3">
        <v>77</v>
      </c>
    </row>
    <row r="87" spans="1:10">
      <c r="A87" s="27" t="s">
        <v>833</v>
      </c>
      <c r="B87" s="27"/>
      <c r="C87" s="28"/>
      <c r="D87" s="28"/>
      <c r="E87" s="28"/>
      <c r="F87" s="28"/>
      <c r="G87" s="28"/>
      <c r="H87" s="28">
        <v>1175</v>
      </c>
      <c r="I87" s="28"/>
      <c r="J87" s="28">
        <v>1175</v>
      </c>
    </row>
    <row r="88" spans="1:10">
      <c r="A88" s="1" t="s">
        <v>845</v>
      </c>
      <c r="B88" s="1" t="s">
        <v>183</v>
      </c>
      <c r="C88" s="3"/>
      <c r="D88" s="3"/>
      <c r="E88" s="3"/>
      <c r="F88" s="3"/>
      <c r="G88" s="3"/>
      <c r="H88" s="3">
        <v>2</v>
      </c>
      <c r="I88" s="3"/>
      <c r="J88" s="3">
        <v>2</v>
      </c>
    </row>
    <row r="89" spans="1:10">
      <c r="B89" s="1" t="s">
        <v>182</v>
      </c>
      <c r="C89" s="3"/>
      <c r="D89" s="3"/>
      <c r="E89" s="3"/>
      <c r="F89" s="3"/>
      <c r="G89" s="3"/>
      <c r="H89" s="3">
        <v>531</v>
      </c>
      <c r="I89" s="3"/>
      <c r="J89" s="3">
        <v>531</v>
      </c>
    </row>
    <row r="90" spans="1:10">
      <c r="B90" s="1" t="s">
        <v>159</v>
      </c>
      <c r="C90" s="3"/>
      <c r="D90" s="3"/>
      <c r="E90" s="3"/>
      <c r="F90" s="3"/>
      <c r="G90" s="3"/>
      <c r="H90" s="3">
        <v>418</v>
      </c>
      <c r="I90" s="3"/>
      <c r="J90" s="3">
        <v>418</v>
      </c>
    </row>
    <row r="91" spans="1:10">
      <c r="B91" s="1" t="s">
        <v>184</v>
      </c>
      <c r="C91" s="3"/>
      <c r="D91" s="3"/>
      <c r="E91" s="3"/>
      <c r="F91" s="3"/>
      <c r="G91" s="3"/>
      <c r="H91" s="3">
        <v>94</v>
      </c>
      <c r="I91" s="3"/>
      <c r="J91" s="3">
        <v>94</v>
      </c>
    </row>
    <row r="92" spans="1:10">
      <c r="B92" s="1" t="s">
        <v>101</v>
      </c>
      <c r="C92" s="3"/>
      <c r="D92" s="3"/>
      <c r="E92" s="3"/>
      <c r="F92" s="3"/>
      <c r="G92" s="3"/>
      <c r="H92" s="3">
        <v>33</v>
      </c>
      <c r="I92" s="3"/>
      <c r="J92" s="3">
        <v>33</v>
      </c>
    </row>
    <row r="93" spans="1:10">
      <c r="B93" s="1" t="s">
        <v>104</v>
      </c>
      <c r="C93" s="3"/>
      <c r="D93" s="3"/>
      <c r="E93" s="3"/>
      <c r="F93" s="3"/>
      <c r="G93" s="3"/>
      <c r="H93" s="3">
        <v>10</v>
      </c>
      <c r="I93" s="3"/>
      <c r="J93" s="3">
        <v>10</v>
      </c>
    </row>
    <row r="94" spans="1:10">
      <c r="A94" s="27" t="s">
        <v>846</v>
      </c>
      <c r="B94" s="27"/>
      <c r="C94" s="28"/>
      <c r="D94" s="28"/>
      <c r="E94" s="28"/>
      <c r="F94" s="28"/>
      <c r="G94" s="28"/>
      <c r="H94" s="28">
        <v>1088</v>
      </c>
      <c r="I94" s="28"/>
      <c r="J94" s="28">
        <v>1088</v>
      </c>
    </row>
    <row r="95" spans="1:10">
      <c r="A95" s="1" t="s">
        <v>835</v>
      </c>
      <c r="B95" s="1" t="s">
        <v>831</v>
      </c>
      <c r="C95" s="3"/>
      <c r="D95" s="3"/>
      <c r="E95" s="3"/>
      <c r="F95" s="3"/>
      <c r="G95" s="3"/>
      <c r="H95" s="3">
        <v>30000</v>
      </c>
      <c r="I95" s="3"/>
      <c r="J95" s="3">
        <v>30000</v>
      </c>
    </row>
    <row r="96" spans="1:10">
      <c r="A96" s="27" t="s">
        <v>836</v>
      </c>
      <c r="B96" s="27"/>
      <c r="C96" s="28"/>
      <c r="D96" s="28"/>
      <c r="E96" s="28"/>
      <c r="F96" s="28"/>
      <c r="G96" s="28"/>
      <c r="H96" s="28">
        <v>30000</v>
      </c>
      <c r="I96" s="28"/>
      <c r="J96" s="28">
        <v>30000</v>
      </c>
    </row>
    <row r="97" spans="1:10">
      <c r="A97" s="1" t="s">
        <v>753</v>
      </c>
      <c r="B97" s="1" t="s">
        <v>161</v>
      </c>
      <c r="C97" s="3"/>
      <c r="D97" s="3"/>
      <c r="E97" s="3"/>
      <c r="F97" s="3"/>
      <c r="G97" s="3"/>
      <c r="H97" s="3">
        <v>1500</v>
      </c>
      <c r="I97" s="3"/>
      <c r="J97" s="3">
        <v>1500</v>
      </c>
    </row>
    <row r="98" spans="1:10">
      <c r="B98" s="1" t="s">
        <v>100</v>
      </c>
      <c r="C98" s="3"/>
      <c r="D98" s="3"/>
      <c r="E98" s="3"/>
      <c r="F98" s="3"/>
      <c r="G98" s="3"/>
      <c r="H98" s="3">
        <v>4080</v>
      </c>
      <c r="I98" s="3"/>
      <c r="J98" s="3">
        <v>4080</v>
      </c>
    </row>
    <row r="99" spans="1:10">
      <c r="B99" s="1" t="s">
        <v>102</v>
      </c>
      <c r="C99" s="3"/>
      <c r="D99" s="3"/>
      <c r="E99" s="3"/>
      <c r="F99" s="3"/>
      <c r="G99" s="3"/>
      <c r="H99" s="3">
        <v>3300</v>
      </c>
      <c r="I99" s="3"/>
      <c r="J99" s="3">
        <v>3300</v>
      </c>
    </row>
    <row r="100" spans="1:10">
      <c r="B100" s="1" t="s">
        <v>750</v>
      </c>
      <c r="C100" s="3"/>
      <c r="D100" s="3"/>
      <c r="E100" s="3"/>
      <c r="F100" s="3"/>
      <c r="G100" s="3"/>
      <c r="H100" s="3">
        <v>53076</v>
      </c>
      <c r="I100" s="3"/>
      <c r="J100" s="3">
        <v>53076</v>
      </c>
    </row>
    <row r="101" spans="1:10">
      <c r="B101" s="1" t="s">
        <v>101</v>
      </c>
      <c r="C101" s="3"/>
      <c r="D101" s="3"/>
      <c r="E101" s="3"/>
      <c r="F101" s="3"/>
      <c r="G101" s="3"/>
      <c r="H101" s="3">
        <v>53</v>
      </c>
      <c r="I101" s="3"/>
      <c r="J101" s="3">
        <v>53</v>
      </c>
    </row>
    <row r="102" spans="1:10">
      <c r="A102" s="27" t="s">
        <v>816</v>
      </c>
      <c r="B102" s="27"/>
      <c r="C102" s="28"/>
      <c r="D102" s="28"/>
      <c r="E102" s="28"/>
      <c r="F102" s="28"/>
      <c r="G102" s="28"/>
      <c r="H102" s="28">
        <v>62009</v>
      </c>
      <c r="I102" s="28"/>
      <c r="J102" s="28">
        <v>62009</v>
      </c>
    </row>
    <row r="103" spans="1:10">
      <c r="A103" s="1" t="s">
        <v>752</v>
      </c>
      <c r="B103" s="1" t="s">
        <v>88</v>
      </c>
      <c r="C103" s="3"/>
      <c r="D103" s="3"/>
      <c r="E103" s="3"/>
      <c r="F103" s="3"/>
      <c r="G103" s="3"/>
      <c r="H103" s="3">
        <v>95000</v>
      </c>
      <c r="I103" s="3"/>
      <c r="J103" s="3">
        <v>95000</v>
      </c>
    </row>
    <row r="104" spans="1:10">
      <c r="A104" s="27" t="s">
        <v>817</v>
      </c>
      <c r="B104" s="27"/>
      <c r="C104" s="28"/>
      <c r="D104" s="28"/>
      <c r="E104" s="28"/>
      <c r="F104" s="28"/>
      <c r="G104" s="28"/>
      <c r="H104" s="28">
        <v>95000</v>
      </c>
      <c r="I104" s="28"/>
      <c r="J104" s="28">
        <v>95000</v>
      </c>
    </row>
    <row r="105" spans="1:10">
      <c r="A105" s="1" t="s">
        <v>492</v>
      </c>
      <c r="B105" s="1" t="s">
        <v>502</v>
      </c>
      <c r="C105" s="3"/>
      <c r="D105" s="3"/>
      <c r="E105" s="3"/>
      <c r="F105" s="3">
        <v>3150</v>
      </c>
      <c r="G105" s="3">
        <v>2050</v>
      </c>
      <c r="H105" s="3"/>
      <c r="I105" s="3"/>
      <c r="J105" s="3">
        <v>5200</v>
      </c>
    </row>
    <row r="106" spans="1:10">
      <c r="B106" s="1" t="s">
        <v>504</v>
      </c>
      <c r="C106" s="3"/>
      <c r="D106" s="3"/>
      <c r="E106" s="3"/>
      <c r="F106" s="3"/>
      <c r="G106" s="3">
        <v>90</v>
      </c>
      <c r="H106" s="3"/>
      <c r="I106" s="3"/>
      <c r="J106" s="3">
        <v>90</v>
      </c>
    </row>
    <row r="107" spans="1:10">
      <c r="B107" s="1" t="s">
        <v>503</v>
      </c>
      <c r="C107" s="3"/>
      <c r="D107" s="3"/>
      <c r="E107" s="3"/>
      <c r="F107" s="3"/>
      <c r="G107" s="3">
        <v>60</v>
      </c>
      <c r="H107" s="3"/>
      <c r="I107" s="3"/>
      <c r="J107" s="3">
        <v>60</v>
      </c>
    </row>
    <row r="108" spans="1:10">
      <c r="A108" s="27" t="s">
        <v>818</v>
      </c>
      <c r="B108" s="27"/>
      <c r="C108" s="28"/>
      <c r="D108" s="28"/>
      <c r="E108" s="28"/>
      <c r="F108" s="28">
        <v>3150</v>
      </c>
      <c r="G108" s="28">
        <v>2200</v>
      </c>
      <c r="H108" s="28"/>
      <c r="I108" s="28"/>
      <c r="J108" s="28">
        <v>5350</v>
      </c>
    </row>
    <row r="109" spans="1:10">
      <c r="A109" s="1" t="s">
        <v>493</v>
      </c>
      <c r="B109" s="1" t="s">
        <v>159</v>
      </c>
      <c r="C109" s="3"/>
      <c r="D109" s="3"/>
      <c r="E109" s="3"/>
      <c r="F109" s="3">
        <v>523</v>
      </c>
      <c r="G109" s="3"/>
      <c r="H109" s="3"/>
      <c r="I109" s="3"/>
      <c r="J109" s="3">
        <v>523</v>
      </c>
    </row>
    <row r="110" spans="1:10">
      <c r="B110" s="1" t="s">
        <v>184</v>
      </c>
      <c r="C110" s="3"/>
      <c r="D110" s="3"/>
      <c r="E110" s="3"/>
      <c r="F110" s="3">
        <v>342</v>
      </c>
      <c r="G110" s="3"/>
      <c r="H110" s="3"/>
      <c r="I110" s="3"/>
      <c r="J110" s="3">
        <v>342</v>
      </c>
    </row>
    <row r="111" spans="1:10">
      <c r="B111" s="1" t="s">
        <v>168</v>
      </c>
      <c r="C111" s="3"/>
      <c r="D111" s="3"/>
      <c r="E111" s="3"/>
      <c r="F111" s="3">
        <v>1811</v>
      </c>
      <c r="G111" s="3"/>
      <c r="H111" s="3"/>
      <c r="I111" s="3"/>
      <c r="J111" s="3">
        <v>1811</v>
      </c>
    </row>
    <row r="112" spans="1:10">
      <c r="B112" s="1" t="s">
        <v>170</v>
      </c>
      <c r="C112" s="3"/>
      <c r="D112" s="3"/>
      <c r="E112" s="3"/>
      <c r="F112" s="3">
        <v>4860</v>
      </c>
      <c r="G112" s="3"/>
      <c r="H112" s="3"/>
      <c r="I112" s="3"/>
      <c r="J112" s="3">
        <v>4860</v>
      </c>
    </row>
    <row r="113" spans="1:10">
      <c r="B113" s="1" t="s">
        <v>101</v>
      </c>
      <c r="C113" s="3"/>
      <c r="D113" s="3"/>
      <c r="E113" s="3"/>
      <c r="F113" s="3">
        <v>41</v>
      </c>
      <c r="G113" s="3"/>
      <c r="H113" s="3"/>
      <c r="I113" s="3"/>
      <c r="J113" s="3">
        <v>41</v>
      </c>
    </row>
    <row r="114" spans="1:10">
      <c r="A114" s="27" t="s">
        <v>819</v>
      </c>
      <c r="B114" s="27"/>
      <c r="C114" s="28"/>
      <c r="D114" s="28"/>
      <c r="E114" s="28"/>
      <c r="F114" s="28">
        <v>7577</v>
      </c>
      <c r="G114" s="28"/>
      <c r="H114" s="28"/>
      <c r="I114" s="28"/>
      <c r="J114" s="28">
        <v>7577</v>
      </c>
    </row>
    <row r="115" spans="1:10">
      <c r="A115" s="1" t="s">
        <v>496</v>
      </c>
      <c r="B115" s="1" t="s">
        <v>498</v>
      </c>
      <c r="C115" s="3"/>
      <c r="D115" s="3"/>
      <c r="E115" s="3"/>
      <c r="F115" s="3"/>
      <c r="G115" s="3">
        <v>1140</v>
      </c>
      <c r="H115" s="3"/>
      <c r="I115" s="3"/>
      <c r="J115" s="3">
        <v>1140</v>
      </c>
    </row>
    <row r="116" spans="1:10">
      <c r="B116" s="1" t="s">
        <v>497</v>
      </c>
      <c r="C116" s="3"/>
      <c r="D116" s="3"/>
      <c r="E116" s="3"/>
      <c r="F116" s="3"/>
      <c r="G116" s="3">
        <v>900</v>
      </c>
      <c r="H116" s="3"/>
      <c r="I116" s="3"/>
      <c r="J116" s="3">
        <v>900</v>
      </c>
    </row>
    <row r="117" spans="1:10">
      <c r="A117" s="27" t="s">
        <v>820</v>
      </c>
      <c r="B117" s="27"/>
      <c r="C117" s="28"/>
      <c r="D117" s="28"/>
      <c r="E117" s="28"/>
      <c r="F117" s="28"/>
      <c r="G117" s="28">
        <v>2040</v>
      </c>
      <c r="H117" s="28"/>
      <c r="I117" s="28"/>
      <c r="J117" s="28">
        <v>2040</v>
      </c>
    </row>
    <row r="118" spans="1:10">
      <c r="A118" s="1" t="s">
        <v>4</v>
      </c>
      <c r="B118" s="1" t="s">
        <v>99</v>
      </c>
      <c r="C118" s="3"/>
      <c r="D118" s="3">
        <v>63</v>
      </c>
      <c r="E118" s="3"/>
      <c r="F118" s="3"/>
      <c r="G118" s="3"/>
      <c r="H118" s="3"/>
      <c r="I118" s="3"/>
      <c r="J118" s="3">
        <v>63</v>
      </c>
    </row>
    <row r="119" spans="1:10">
      <c r="B119" s="1" t="s">
        <v>98</v>
      </c>
      <c r="C119" s="3">
        <v>35</v>
      </c>
      <c r="D119" s="3"/>
      <c r="E119" s="3"/>
      <c r="F119" s="3"/>
      <c r="G119" s="3"/>
      <c r="H119" s="3"/>
      <c r="I119" s="3"/>
      <c r="J119" s="3">
        <v>35</v>
      </c>
    </row>
    <row r="120" spans="1:10">
      <c r="B120" s="1" t="s">
        <v>106</v>
      </c>
      <c r="C120" s="3"/>
      <c r="D120" s="3">
        <v>382</v>
      </c>
      <c r="E120" s="3">
        <v>1912</v>
      </c>
      <c r="F120" s="3"/>
      <c r="G120" s="3"/>
      <c r="H120" s="3"/>
      <c r="I120" s="3"/>
      <c r="J120" s="3">
        <v>2294</v>
      </c>
    </row>
    <row r="121" spans="1:10">
      <c r="B121" s="1" t="s">
        <v>105</v>
      </c>
      <c r="C121" s="3"/>
      <c r="D121" s="3">
        <v>7</v>
      </c>
      <c r="E121" s="3"/>
      <c r="F121" s="3"/>
      <c r="G121" s="3"/>
      <c r="H121" s="3">
        <v>10</v>
      </c>
      <c r="I121" s="3"/>
      <c r="J121" s="3">
        <v>17</v>
      </c>
    </row>
    <row r="122" spans="1:10">
      <c r="B122" s="1" t="s">
        <v>516</v>
      </c>
      <c r="C122" s="3"/>
      <c r="D122" s="3"/>
      <c r="E122" s="3"/>
      <c r="F122" s="3"/>
      <c r="G122" s="3">
        <v>14</v>
      </c>
      <c r="H122" s="3"/>
      <c r="I122" s="3"/>
      <c r="J122" s="3">
        <v>14</v>
      </c>
    </row>
    <row r="123" spans="1:10">
      <c r="B123" s="1" t="s">
        <v>109</v>
      </c>
      <c r="C123" s="3"/>
      <c r="D123" s="3">
        <v>130</v>
      </c>
      <c r="E123" s="3"/>
      <c r="F123" s="3"/>
      <c r="G123" s="3"/>
      <c r="H123" s="3"/>
      <c r="I123" s="3"/>
      <c r="J123" s="3">
        <v>130</v>
      </c>
    </row>
    <row r="124" spans="1:10">
      <c r="B124" s="1" t="s">
        <v>107</v>
      </c>
      <c r="C124" s="3"/>
      <c r="D124" s="3">
        <v>800</v>
      </c>
      <c r="E124" s="3">
        <v>1600</v>
      </c>
      <c r="F124" s="3"/>
      <c r="G124" s="3"/>
      <c r="H124" s="3"/>
      <c r="I124" s="3"/>
      <c r="J124" s="3">
        <v>2400</v>
      </c>
    </row>
    <row r="125" spans="1:10">
      <c r="B125" s="1" t="s">
        <v>108</v>
      </c>
      <c r="C125" s="3"/>
      <c r="D125" s="3">
        <v>55</v>
      </c>
      <c r="E125" s="3"/>
      <c r="F125" s="3"/>
      <c r="G125" s="3"/>
      <c r="H125" s="3"/>
      <c r="I125" s="3"/>
      <c r="J125" s="3">
        <v>55</v>
      </c>
    </row>
    <row r="126" spans="1:10">
      <c r="B126" s="1" t="s">
        <v>517</v>
      </c>
      <c r="C126" s="3"/>
      <c r="D126" s="3"/>
      <c r="E126" s="3"/>
      <c r="F126" s="3"/>
      <c r="G126" s="3">
        <v>3</v>
      </c>
      <c r="H126" s="3"/>
      <c r="I126" s="3"/>
      <c r="J126" s="3">
        <v>3</v>
      </c>
    </row>
    <row r="127" spans="1:10">
      <c r="B127" s="1" t="s">
        <v>744</v>
      </c>
      <c r="C127" s="3"/>
      <c r="D127" s="3"/>
      <c r="E127" s="3"/>
      <c r="F127" s="3"/>
      <c r="G127" s="3"/>
      <c r="H127" s="3">
        <v>42</v>
      </c>
      <c r="I127" s="3"/>
      <c r="J127" s="3">
        <v>42</v>
      </c>
    </row>
    <row r="128" spans="1:10">
      <c r="B128" s="1" t="s">
        <v>104</v>
      </c>
      <c r="C128" s="3"/>
      <c r="D128" s="3">
        <v>9</v>
      </c>
      <c r="E128" s="3">
        <v>9</v>
      </c>
      <c r="F128" s="3"/>
      <c r="G128" s="3"/>
      <c r="H128" s="3">
        <v>3</v>
      </c>
      <c r="I128" s="3"/>
      <c r="J128" s="3">
        <v>21</v>
      </c>
    </row>
    <row r="129" spans="1:10">
      <c r="A129" s="27" t="s">
        <v>821</v>
      </c>
      <c r="B129" s="27"/>
      <c r="C129" s="28">
        <v>35</v>
      </c>
      <c r="D129" s="28">
        <v>1446</v>
      </c>
      <c r="E129" s="28">
        <v>3521</v>
      </c>
      <c r="F129" s="28"/>
      <c r="G129" s="28">
        <v>17</v>
      </c>
      <c r="H129" s="28">
        <v>55</v>
      </c>
      <c r="I129" s="28"/>
      <c r="J129" s="28">
        <v>5074</v>
      </c>
    </row>
    <row r="130" spans="1:10">
      <c r="A130" s="1" t="s">
        <v>7</v>
      </c>
      <c r="B130" s="1" t="s">
        <v>52</v>
      </c>
      <c r="C130" s="3"/>
      <c r="D130" s="3">
        <v>9066</v>
      </c>
      <c r="E130" s="3"/>
      <c r="F130" s="3"/>
      <c r="G130" s="3"/>
      <c r="H130" s="3"/>
      <c r="I130" s="3"/>
      <c r="J130" s="3">
        <v>9066</v>
      </c>
    </row>
    <row r="131" spans="1:10">
      <c r="B131" s="1" t="s">
        <v>8</v>
      </c>
      <c r="C131" s="3">
        <v>28403</v>
      </c>
      <c r="D131" s="3"/>
      <c r="E131" s="3"/>
      <c r="F131" s="3"/>
      <c r="G131" s="3"/>
      <c r="H131" s="3"/>
      <c r="I131" s="3"/>
      <c r="J131" s="3">
        <v>28403</v>
      </c>
    </row>
    <row r="132" spans="1:10">
      <c r="B132" s="1" t="s">
        <v>172</v>
      </c>
      <c r="C132" s="3"/>
      <c r="D132" s="3"/>
      <c r="E132" s="3"/>
      <c r="F132" s="3">
        <v>23207</v>
      </c>
      <c r="G132" s="3"/>
      <c r="H132" s="3"/>
      <c r="I132" s="3"/>
      <c r="J132" s="3">
        <v>23207</v>
      </c>
    </row>
    <row r="133" spans="1:10">
      <c r="A133" s="27" t="s">
        <v>822</v>
      </c>
      <c r="B133" s="27"/>
      <c r="C133" s="28">
        <v>28403</v>
      </c>
      <c r="D133" s="28">
        <v>9066</v>
      </c>
      <c r="E133" s="28"/>
      <c r="F133" s="28">
        <v>23207</v>
      </c>
      <c r="G133" s="28"/>
      <c r="H133" s="28"/>
      <c r="I133" s="28"/>
      <c r="J133" s="28">
        <v>60676</v>
      </c>
    </row>
    <row r="134" spans="1:10">
      <c r="A134" s="1" t="s">
        <v>16</v>
      </c>
      <c r="B134" s="1" t="s">
        <v>88</v>
      </c>
      <c r="C134" s="3">
        <v>100</v>
      </c>
      <c r="D134" s="3"/>
      <c r="E134" s="3"/>
      <c r="F134" s="3"/>
      <c r="G134" s="3"/>
      <c r="H134" s="3"/>
      <c r="I134" s="3"/>
      <c r="J134" s="3">
        <v>100</v>
      </c>
    </row>
    <row r="135" spans="1:10">
      <c r="A135" s="27" t="s">
        <v>823</v>
      </c>
      <c r="B135" s="27"/>
      <c r="C135" s="28">
        <v>100</v>
      </c>
      <c r="D135" s="28"/>
      <c r="E135" s="28"/>
      <c r="F135" s="28"/>
      <c r="G135" s="28"/>
      <c r="H135" s="28"/>
      <c r="I135" s="28"/>
      <c r="J135" s="28">
        <v>100</v>
      </c>
    </row>
    <row r="136" spans="1:10">
      <c r="A136" s="1" t="s">
        <v>14</v>
      </c>
      <c r="B136" s="1" t="s">
        <v>96</v>
      </c>
      <c r="C136" s="3">
        <v>2660</v>
      </c>
      <c r="D136" s="3"/>
      <c r="E136" s="3"/>
      <c r="F136" s="3"/>
      <c r="G136" s="3"/>
      <c r="H136" s="3">
        <v>0</v>
      </c>
      <c r="I136" s="3"/>
      <c r="J136" s="3">
        <v>2660</v>
      </c>
    </row>
    <row r="137" spans="1:10">
      <c r="B137" s="1" t="s">
        <v>14</v>
      </c>
      <c r="C137" s="3"/>
      <c r="D137" s="3"/>
      <c r="E137" s="3"/>
      <c r="F137" s="3"/>
      <c r="G137" s="3"/>
      <c r="H137" s="3">
        <v>250</v>
      </c>
      <c r="I137" s="3"/>
      <c r="J137" s="3">
        <v>250</v>
      </c>
    </row>
    <row r="138" spans="1:10">
      <c r="B138" s="1" t="s">
        <v>95</v>
      </c>
      <c r="C138" s="3"/>
      <c r="D138" s="3">
        <v>3300</v>
      </c>
      <c r="E138" s="3"/>
      <c r="F138" s="3"/>
      <c r="G138" s="3"/>
      <c r="H138" s="3">
        <v>3960</v>
      </c>
      <c r="I138" s="3"/>
      <c r="J138" s="3">
        <v>7260</v>
      </c>
    </row>
    <row r="139" spans="1:10">
      <c r="A139" s="27" t="s">
        <v>824</v>
      </c>
      <c r="B139" s="27"/>
      <c r="C139" s="28">
        <v>2660</v>
      </c>
      <c r="D139" s="28">
        <v>3300</v>
      </c>
      <c r="E139" s="28"/>
      <c r="F139" s="28"/>
      <c r="G139" s="28"/>
      <c r="H139" s="28">
        <v>4210</v>
      </c>
      <c r="I139" s="28"/>
      <c r="J139" s="28">
        <v>10170</v>
      </c>
    </row>
    <row r="140" spans="1:10">
      <c r="A140" s="1" t="s">
        <v>15</v>
      </c>
      <c r="B140" s="1" t="s">
        <v>88</v>
      </c>
      <c r="C140" s="3">
        <v>790</v>
      </c>
      <c r="D140" s="3"/>
      <c r="E140" s="3"/>
      <c r="F140" s="3"/>
      <c r="G140" s="3"/>
      <c r="H140" s="3"/>
      <c r="I140" s="3"/>
      <c r="J140" s="3">
        <v>790</v>
      </c>
    </row>
    <row r="141" spans="1:10">
      <c r="A141" s="27" t="s">
        <v>825</v>
      </c>
      <c r="B141" s="27"/>
      <c r="C141" s="28">
        <v>790</v>
      </c>
      <c r="D141" s="28"/>
      <c r="E141" s="28"/>
      <c r="F141" s="28"/>
      <c r="G141" s="28"/>
      <c r="H141" s="28"/>
      <c r="I141" s="28"/>
      <c r="J141" s="28">
        <v>790</v>
      </c>
    </row>
    <row r="142" spans="1:10">
      <c r="A142" s="1" t="s">
        <v>18</v>
      </c>
      <c r="C142" s="3">
        <v>45768</v>
      </c>
      <c r="D142" s="3">
        <v>129862</v>
      </c>
      <c r="E142" s="3">
        <v>46046</v>
      </c>
      <c r="F142" s="3">
        <v>55831</v>
      </c>
      <c r="G142" s="3">
        <v>173128</v>
      </c>
      <c r="H142" s="3">
        <v>197767</v>
      </c>
      <c r="I142" s="3">
        <v>850</v>
      </c>
      <c r="J142" s="3">
        <v>649252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5"/>
  <sheetViews>
    <sheetView zoomScale="85" zoomScaleNormal="85" workbookViewId="0">
      <pane ySplit="1" topLeftCell="A101" activePane="bottomLeft" state="frozen"/>
      <selection pane="bottomLeft" activeCell="C89" sqref="C89"/>
    </sheetView>
  </sheetViews>
  <sheetFormatPr defaultColWidth="9.140625" defaultRowHeight="12.75"/>
  <cols>
    <col min="1" max="1" width="9.85546875" style="2" bestFit="1" customWidth="1"/>
    <col min="2" max="2" width="7" style="4" bestFit="1" customWidth="1"/>
    <col min="3" max="3" width="22" style="1" customWidth="1"/>
    <col min="4" max="4" width="12.5703125" style="1" bestFit="1" customWidth="1"/>
    <col min="5" max="5" width="13.5703125" style="1" bestFit="1" customWidth="1"/>
    <col min="6" max="6" width="10.7109375" style="3" bestFit="1" customWidth="1"/>
    <col min="7" max="7" width="34.42578125" style="1" bestFit="1" customWidth="1"/>
    <col min="8" max="8" width="25.140625" style="1" bestFit="1" customWidth="1"/>
    <col min="9" max="9" width="17.28515625" style="1" bestFit="1" customWidth="1"/>
    <col min="10" max="13" width="9.140625" style="1"/>
    <col min="14" max="15" width="9.140625" style="1" hidden="1" customWidth="1"/>
    <col min="16" max="16384" width="9.140625" style="1"/>
  </cols>
  <sheetData>
    <row r="1" spans="1:15">
      <c r="A1" s="8" t="s">
        <v>0</v>
      </c>
      <c r="B1" s="9" t="s">
        <v>19</v>
      </c>
      <c r="C1" s="7" t="s">
        <v>1</v>
      </c>
      <c r="D1" s="7" t="s">
        <v>3</v>
      </c>
      <c r="E1" s="7" t="s">
        <v>10</v>
      </c>
      <c r="F1" s="10" t="s">
        <v>2</v>
      </c>
      <c r="G1" s="7" t="s">
        <v>32</v>
      </c>
      <c r="H1" s="7" t="s">
        <v>61</v>
      </c>
      <c r="I1" s="7" t="s">
        <v>97</v>
      </c>
      <c r="N1" s="1">
        <v>1</v>
      </c>
      <c r="O1" s="1" t="s">
        <v>20</v>
      </c>
    </row>
    <row r="2" spans="1:15">
      <c r="A2" s="2">
        <v>41278</v>
      </c>
      <c r="B2" s="4" t="str">
        <f>VLOOKUP(MONTH(A2),$N$1:$O$12,2,0)</f>
        <v>Jan</v>
      </c>
      <c r="C2" s="1" t="s">
        <v>11</v>
      </c>
      <c r="D2" s="1" t="s">
        <v>13</v>
      </c>
      <c r="E2" s="1" t="s">
        <v>6</v>
      </c>
      <c r="F2" s="3">
        <v>400</v>
      </c>
      <c r="G2" s="1" t="s">
        <v>92</v>
      </c>
      <c r="N2" s="1">
        <v>2</v>
      </c>
      <c r="O2" s="1" t="s">
        <v>21</v>
      </c>
    </row>
    <row r="3" spans="1:15">
      <c r="A3" s="2">
        <v>41293</v>
      </c>
      <c r="B3" s="4" t="str">
        <f t="shared" ref="B3:B20" si="0">VLOOKUP(MONTH(A3),$N$1:$O$12,2,0)</f>
        <v>Jan</v>
      </c>
      <c r="C3" s="1" t="s">
        <v>9</v>
      </c>
      <c r="D3" s="1" t="s">
        <v>13</v>
      </c>
      <c r="E3" s="1" t="s">
        <v>6</v>
      </c>
      <c r="F3" s="3">
        <v>9170</v>
      </c>
      <c r="G3" s="1" t="s">
        <v>94</v>
      </c>
      <c r="K3" s="1">
        <v>1138207</v>
      </c>
      <c r="L3" s="1" t="s">
        <v>1124</v>
      </c>
      <c r="N3" s="1">
        <v>3</v>
      </c>
      <c r="O3" s="1" t="s">
        <v>22</v>
      </c>
    </row>
    <row r="4" spans="1:15">
      <c r="A4" s="2">
        <v>41295</v>
      </c>
      <c r="B4" s="4" t="str">
        <f t="shared" si="0"/>
        <v>Jan</v>
      </c>
      <c r="C4" s="1" t="s">
        <v>4</v>
      </c>
      <c r="D4" s="1" t="s">
        <v>13</v>
      </c>
      <c r="E4" s="1" t="s">
        <v>5</v>
      </c>
      <c r="F4" s="3">
        <v>35</v>
      </c>
      <c r="G4" s="1" t="s">
        <v>98</v>
      </c>
      <c r="I4" s="1">
        <v>2</v>
      </c>
      <c r="K4" s="1">
        <v>1537422</v>
      </c>
      <c r="L4" s="1" t="s">
        <v>1125</v>
      </c>
      <c r="N4" s="1">
        <v>4</v>
      </c>
      <c r="O4" s="1" t="s">
        <v>23</v>
      </c>
    </row>
    <row r="5" spans="1:15">
      <c r="A5" s="2">
        <v>41295</v>
      </c>
      <c r="B5" s="4" t="str">
        <f t="shared" si="0"/>
        <v>Jan</v>
      </c>
      <c r="C5" s="1" t="s">
        <v>16</v>
      </c>
      <c r="D5" s="1" t="s">
        <v>12</v>
      </c>
      <c r="E5" s="1" t="s">
        <v>5</v>
      </c>
      <c r="F5" s="3">
        <v>100</v>
      </c>
      <c r="N5" s="1">
        <v>5</v>
      </c>
      <c r="O5" s="1" t="s">
        <v>24</v>
      </c>
    </row>
    <row r="6" spans="1:15">
      <c r="A6" s="2">
        <v>41295</v>
      </c>
      <c r="B6" s="4" t="str">
        <f t="shared" si="0"/>
        <v>Jan</v>
      </c>
      <c r="C6" s="1" t="s">
        <v>14</v>
      </c>
      <c r="D6" s="1" t="s">
        <v>12</v>
      </c>
      <c r="E6" s="1" t="s">
        <v>6</v>
      </c>
      <c r="F6" s="3">
        <v>2660</v>
      </c>
      <c r="G6" s="1" t="s">
        <v>96</v>
      </c>
      <c r="N6" s="1">
        <v>6</v>
      </c>
      <c r="O6" s="1" t="s">
        <v>25</v>
      </c>
    </row>
    <row r="7" spans="1:15">
      <c r="A7" s="2">
        <v>41295</v>
      </c>
      <c r="B7" s="4" t="str">
        <f t="shared" si="0"/>
        <v>Jan</v>
      </c>
      <c r="C7" s="1" t="s">
        <v>11</v>
      </c>
      <c r="D7" s="1" t="s">
        <v>13</v>
      </c>
      <c r="E7" s="1" t="s">
        <v>6</v>
      </c>
      <c r="F7" s="3">
        <v>400</v>
      </c>
      <c r="G7" s="1" t="s">
        <v>93</v>
      </c>
      <c r="N7" s="1">
        <v>7</v>
      </c>
      <c r="O7" s="1" t="s">
        <v>26</v>
      </c>
    </row>
    <row r="8" spans="1:15">
      <c r="A8" s="2">
        <v>41295</v>
      </c>
      <c r="B8" s="4" t="str">
        <f t="shared" si="0"/>
        <v>Jan</v>
      </c>
      <c r="C8" s="1" t="s">
        <v>15</v>
      </c>
      <c r="D8" s="1" t="s">
        <v>13</v>
      </c>
      <c r="E8" s="1" t="s">
        <v>6</v>
      </c>
      <c r="F8" s="3">
        <v>790</v>
      </c>
      <c r="N8" s="1">
        <v>8</v>
      </c>
      <c r="O8" s="1" t="s">
        <v>27</v>
      </c>
    </row>
    <row r="9" spans="1:15">
      <c r="A9" s="2">
        <v>41299</v>
      </c>
      <c r="B9" s="4" t="str">
        <f t="shared" si="0"/>
        <v>Jan</v>
      </c>
      <c r="C9" s="1" t="s">
        <v>7</v>
      </c>
      <c r="D9" s="1" t="s">
        <v>13</v>
      </c>
      <c r="E9" s="1" t="s">
        <v>6</v>
      </c>
      <c r="F9" s="3">
        <v>28403</v>
      </c>
      <c r="G9" s="1" t="s">
        <v>8</v>
      </c>
      <c r="N9" s="1">
        <v>9</v>
      </c>
      <c r="O9" s="1" t="s">
        <v>28</v>
      </c>
    </row>
    <row r="10" spans="1:15">
      <c r="A10" s="2">
        <v>41299</v>
      </c>
      <c r="B10" s="4" t="str">
        <f t="shared" si="0"/>
        <v>Jan</v>
      </c>
      <c r="C10" s="1" t="s">
        <v>9</v>
      </c>
      <c r="D10" s="1" t="s">
        <v>12</v>
      </c>
      <c r="E10" s="1" t="s">
        <v>6</v>
      </c>
      <c r="F10" s="3">
        <v>3410</v>
      </c>
      <c r="G10" s="1" t="s">
        <v>742</v>
      </c>
      <c r="N10" s="1">
        <v>10</v>
      </c>
      <c r="O10" s="1" t="s">
        <v>29</v>
      </c>
    </row>
    <row r="11" spans="1:15">
      <c r="A11" s="2">
        <v>41299</v>
      </c>
      <c r="B11" s="4" t="str">
        <f t="shared" si="0"/>
        <v>Jan</v>
      </c>
      <c r="C11" s="1" t="s">
        <v>11</v>
      </c>
      <c r="D11" s="1" t="s">
        <v>12</v>
      </c>
      <c r="E11" s="1" t="s">
        <v>6</v>
      </c>
      <c r="F11" s="3">
        <v>400</v>
      </c>
      <c r="G11" s="1" t="s">
        <v>91</v>
      </c>
      <c r="N11" s="1">
        <v>11</v>
      </c>
      <c r="O11" s="1" t="s">
        <v>30</v>
      </c>
    </row>
    <row r="12" spans="1:15">
      <c r="A12" s="2">
        <v>41306</v>
      </c>
      <c r="B12" s="4" t="str">
        <f t="shared" si="0"/>
        <v>Feb</v>
      </c>
      <c r="C12" s="1" t="s">
        <v>4</v>
      </c>
      <c r="D12" s="1" t="s">
        <v>13</v>
      </c>
      <c r="E12" s="1" t="s">
        <v>5</v>
      </c>
      <c r="F12" s="3">
        <v>55</v>
      </c>
      <c r="G12" s="1" t="s">
        <v>108</v>
      </c>
      <c r="I12" s="1">
        <v>9</v>
      </c>
      <c r="N12" s="1">
        <v>12</v>
      </c>
      <c r="O12" s="1" t="s">
        <v>31</v>
      </c>
    </row>
    <row r="13" spans="1:15">
      <c r="A13" s="2">
        <v>41306</v>
      </c>
      <c r="B13" s="4" t="str">
        <f t="shared" si="0"/>
        <v>Feb</v>
      </c>
      <c r="C13" s="1" t="s">
        <v>4</v>
      </c>
      <c r="D13" s="1" t="s">
        <v>12</v>
      </c>
      <c r="E13" s="1" t="s">
        <v>6</v>
      </c>
      <c r="F13" s="3">
        <v>400</v>
      </c>
      <c r="G13" s="1" t="s">
        <v>107</v>
      </c>
      <c r="I13" s="1">
        <v>20</v>
      </c>
    </row>
    <row r="14" spans="1:15">
      <c r="A14" s="2">
        <v>41306</v>
      </c>
      <c r="B14" s="4" t="str">
        <f t="shared" ref="B14" si="1">VLOOKUP(MONTH(A14),$N$1:$O$12,2,0)</f>
        <v>Feb</v>
      </c>
      <c r="C14" s="1" t="s">
        <v>4</v>
      </c>
      <c r="D14" s="1" t="s">
        <v>12</v>
      </c>
      <c r="E14" s="1" t="s">
        <v>6</v>
      </c>
      <c r="F14" s="3">
        <v>6</v>
      </c>
      <c r="G14" s="1" t="s">
        <v>104</v>
      </c>
      <c r="I14" s="1">
        <v>10</v>
      </c>
    </row>
    <row r="15" spans="1:15">
      <c r="A15" s="2">
        <v>41320</v>
      </c>
      <c r="B15" s="4" t="str">
        <f t="shared" si="0"/>
        <v>Feb</v>
      </c>
      <c r="C15" s="1" t="s">
        <v>4</v>
      </c>
      <c r="D15" s="1" t="s">
        <v>13</v>
      </c>
      <c r="E15" s="1" t="s">
        <v>5</v>
      </c>
      <c r="F15" s="3">
        <v>63</v>
      </c>
      <c r="G15" s="1" t="s">
        <v>99</v>
      </c>
      <c r="I15" s="1">
        <v>2</v>
      </c>
    </row>
    <row r="16" spans="1:15">
      <c r="A16" s="2">
        <v>41320</v>
      </c>
      <c r="B16" s="4" t="str">
        <f t="shared" ref="B16" si="2">VLOOKUP(MONTH(A16),$N$1:$O$12,2,0)</f>
        <v>Feb</v>
      </c>
      <c r="C16" s="1" t="s">
        <v>4</v>
      </c>
      <c r="D16" s="1" t="s">
        <v>13</v>
      </c>
      <c r="E16" s="1" t="s">
        <v>5</v>
      </c>
      <c r="F16" s="3">
        <v>7</v>
      </c>
      <c r="G16" s="1" t="s">
        <v>105</v>
      </c>
      <c r="I16" s="1">
        <v>10</v>
      </c>
    </row>
    <row r="17" spans="1:9">
      <c r="A17" s="2">
        <v>41320</v>
      </c>
      <c r="B17" s="4" t="str">
        <f t="shared" si="0"/>
        <v>Feb</v>
      </c>
      <c r="C17" s="1" t="s">
        <v>84</v>
      </c>
      <c r="D17" s="1" t="s">
        <v>12</v>
      </c>
      <c r="E17" s="1" t="s">
        <v>6</v>
      </c>
      <c r="F17" s="3">
        <v>115000</v>
      </c>
    </row>
    <row r="18" spans="1:9">
      <c r="A18" s="2">
        <v>41328</v>
      </c>
      <c r="B18" s="4" t="str">
        <f t="shared" si="0"/>
        <v>Feb</v>
      </c>
      <c r="C18" s="1" t="s">
        <v>14</v>
      </c>
      <c r="D18" s="1" t="s">
        <v>12</v>
      </c>
      <c r="E18" s="1" t="s">
        <v>6</v>
      </c>
      <c r="F18" s="3">
        <v>3300</v>
      </c>
      <c r="G18" s="1" t="s">
        <v>95</v>
      </c>
    </row>
    <row r="19" spans="1:9">
      <c r="A19" s="2">
        <v>41329</v>
      </c>
      <c r="B19" s="4" t="str">
        <f t="shared" si="0"/>
        <v>Feb</v>
      </c>
      <c r="C19" s="1" t="s">
        <v>9</v>
      </c>
      <c r="D19" s="1" t="s">
        <v>13</v>
      </c>
      <c r="E19" s="1" t="s">
        <v>6</v>
      </c>
      <c r="F19" s="3">
        <v>650</v>
      </c>
      <c r="G19" s="1" t="s">
        <v>57</v>
      </c>
    </row>
    <row r="20" spans="1:9">
      <c r="A20" s="2">
        <v>41330</v>
      </c>
      <c r="B20" s="4" t="str">
        <f t="shared" si="0"/>
        <v>Feb</v>
      </c>
      <c r="C20" s="1" t="s">
        <v>11</v>
      </c>
      <c r="D20" s="1" t="s">
        <v>12</v>
      </c>
      <c r="E20" s="1" t="s">
        <v>6</v>
      </c>
      <c r="F20" s="3">
        <v>400</v>
      </c>
      <c r="G20" s="1" t="s">
        <v>91</v>
      </c>
    </row>
    <row r="21" spans="1:9">
      <c r="A21" s="2">
        <v>41330</v>
      </c>
      <c r="B21" s="4" t="str">
        <f t="shared" ref="B21:B26" si="3">VLOOKUP(MONTH(A21),$N$1:$O$12,2,0)</f>
        <v>Feb</v>
      </c>
      <c r="C21" s="1" t="s">
        <v>4</v>
      </c>
      <c r="D21" s="1" t="s">
        <v>12</v>
      </c>
      <c r="E21" s="1" t="s">
        <v>6</v>
      </c>
      <c r="F21" s="3">
        <v>3</v>
      </c>
      <c r="G21" s="1" t="s">
        <v>104</v>
      </c>
      <c r="I21" s="1">
        <v>5</v>
      </c>
    </row>
    <row r="22" spans="1:9">
      <c r="A22" s="2">
        <v>41330</v>
      </c>
      <c r="B22" s="4" t="str">
        <f t="shared" ref="B22:B23" si="4">VLOOKUP(MONTH(A22),$N$1:$O$12,2,0)</f>
        <v>Feb</v>
      </c>
      <c r="C22" s="1" t="s">
        <v>4</v>
      </c>
      <c r="D22" s="1" t="s">
        <v>12</v>
      </c>
      <c r="E22" s="1" t="s">
        <v>6</v>
      </c>
      <c r="F22" s="3">
        <v>400</v>
      </c>
      <c r="G22" s="1" t="s">
        <v>107</v>
      </c>
      <c r="I22" s="1">
        <v>20</v>
      </c>
    </row>
    <row r="23" spans="1:9">
      <c r="A23" s="2">
        <v>41330</v>
      </c>
      <c r="B23" s="4" t="str">
        <f t="shared" si="4"/>
        <v>Feb</v>
      </c>
      <c r="C23" s="1" t="s">
        <v>4</v>
      </c>
      <c r="D23" s="1" t="s">
        <v>12</v>
      </c>
      <c r="E23" s="1" t="s">
        <v>6</v>
      </c>
      <c r="F23" s="3">
        <v>382</v>
      </c>
      <c r="G23" s="1" t="s">
        <v>106</v>
      </c>
      <c r="I23" s="1">
        <v>10</v>
      </c>
    </row>
    <row r="24" spans="1:9">
      <c r="A24" s="2">
        <v>41331</v>
      </c>
      <c r="B24" s="4" t="str">
        <f t="shared" si="3"/>
        <v>Feb</v>
      </c>
      <c r="C24" s="1" t="s">
        <v>7</v>
      </c>
      <c r="D24" s="1" t="s">
        <v>13</v>
      </c>
      <c r="E24" s="1" t="s">
        <v>6</v>
      </c>
      <c r="F24" s="3">
        <v>9066</v>
      </c>
      <c r="G24" s="1" t="s">
        <v>52</v>
      </c>
    </row>
    <row r="25" spans="1:9">
      <c r="A25" s="2">
        <v>41331</v>
      </c>
      <c r="B25" s="4" t="str">
        <f t="shared" si="3"/>
        <v>Feb</v>
      </c>
      <c r="C25" s="1" t="s">
        <v>4</v>
      </c>
      <c r="D25" s="1" t="s">
        <v>13</v>
      </c>
      <c r="E25" s="1" t="s">
        <v>6</v>
      </c>
      <c r="F25" s="3">
        <v>130</v>
      </c>
      <c r="G25" s="1" t="s">
        <v>109</v>
      </c>
      <c r="I25" s="1">
        <v>21</v>
      </c>
    </row>
    <row r="26" spans="1:9">
      <c r="A26" s="2">
        <v>41339</v>
      </c>
      <c r="B26" s="4" t="str">
        <f t="shared" si="3"/>
        <v>Mar</v>
      </c>
      <c r="C26" s="1" t="s">
        <v>4</v>
      </c>
      <c r="D26" s="1" t="s">
        <v>12</v>
      </c>
      <c r="E26" s="1" t="s">
        <v>6</v>
      </c>
      <c r="F26" s="3">
        <v>400</v>
      </c>
      <c r="G26" s="1" t="s">
        <v>107</v>
      </c>
      <c r="H26" s="1" t="s">
        <v>60</v>
      </c>
      <c r="I26" s="1">
        <v>20</v>
      </c>
    </row>
    <row r="27" spans="1:9">
      <c r="A27" s="2">
        <v>41339</v>
      </c>
      <c r="B27" s="4" t="str">
        <f t="shared" ref="B27" si="5">VLOOKUP(MONTH(A27),$N$1:$O$12,2,0)</f>
        <v>Mar</v>
      </c>
      <c r="C27" s="1" t="s">
        <v>4</v>
      </c>
      <c r="D27" s="1" t="s">
        <v>12</v>
      </c>
      <c r="E27" s="1" t="s">
        <v>6</v>
      </c>
      <c r="F27" s="3">
        <v>764</v>
      </c>
      <c r="G27" s="1" t="s">
        <v>106</v>
      </c>
      <c r="H27" s="1" t="s">
        <v>60</v>
      </c>
      <c r="I27" s="1">
        <v>20</v>
      </c>
    </row>
    <row r="28" spans="1:9">
      <c r="A28" s="2">
        <v>41355</v>
      </c>
      <c r="B28" s="4" t="str">
        <f t="shared" ref="B28" si="6">VLOOKUP(MONTH(A28),$N$1:$O$12,2,0)</f>
        <v>Mar</v>
      </c>
      <c r="C28" s="1" t="s">
        <v>4</v>
      </c>
      <c r="D28" s="1" t="s">
        <v>12</v>
      </c>
      <c r="E28" s="1" t="s">
        <v>6</v>
      </c>
      <c r="F28" s="3">
        <v>1148</v>
      </c>
      <c r="G28" s="1" t="s">
        <v>106</v>
      </c>
      <c r="H28" s="1" t="s">
        <v>62</v>
      </c>
      <c r="I28" s="1">
        <v>30</v>
      </c>
    </row>
    <row r="29" spans="1:9">
      <c r="A29" s="2">
        <v>41355</v>
      </c>
      <c r="B29" s="4" t="str">
        <f t="shared" ref="B29:B30" si="7">VLOOKUP(MONTH(A29),$N$1:$O$12,2,0)</f>
        <v>Mar</v>
      </c>
      <c r="C29" s="1" t="s">
        <v>4</v>
      </c>
      <c r="D29" s="1" t="s">
        <v>12</v>
      </c>
      <c r="E29" s="1" t="s">
        <v>6</v>
      </c>
      <c r="F29" s="3">
        <v>1200</v>
      </c>
      <c r="G29" s="1" t="s">
        <v>107</v>
      </c>
      <c r="H29" s="1" t="s">
        <v>62</v>
      </c>
      <c r="I29" s="1">
        <v>60</v>
      </c>
    </row>
    <row r="30" spans="1:9">
      <c r="A30" s="2">
        <v>41355</v>
      </c>
      <c r="B30" s="4" t="str">
        <f t="shared" si="7"/>
        <v>Mar</v>
      </c>
      <c r="C30" s="1" t="s">
        <v>4</v>
      </c>
      <c r="D30" s="1" t="s">
        <v>12</v>
      </c>
      <c r="E30" s="1" t="s">
        <v>6</v>
      </c>
      <c r="F30" s="3">
        <v>9</v>
      </c>
      <c r="G30" s="1" t="s">
        <v>104</v>
      </c>
      <c r="H30" s="1" t="s">
        <v>62</v>
      </c>
      <c r="I30" s="1">
        <v>15</v>
      </c>
    </row>
    <row r="31" spans="1:9">
      <c r="A31" s="2">
        <v>41359</v>
      </c>
      <c r="B31" s="4" t="str">
        <f t="shared" ref="B31:B33" si="8">VLOOKUP(MONTH(A31),$N$1:$O$12,2,0)</f>
        <v>Mar</v>
      </c>
      <c r="C31" s="1" t="s">
        <v>69</v>
      </c>
      <c r="D31" s="1" t="s">
        <v>13</v>
      </c>
      <c r="E31" s="1" t="s">
        <v>6</v>
      </c>
      <c r="F31" s="3">
        <v>32080</v>
      </c>
      <c r="G31" s="1" t="s">
        <v>103</v>
      </c>
      <c r="H31" s="1" t="s">
        <v>68</v>
      </c>
      <c r="I31" s="1">
        <v>4</v>
      </c>
    </row>
    <row r="32" spans="1:9">
      <c r="A32" s="2">
        <v>41363</v>
      </c>
      <c r="B32" s="4" t="str">
        <f t="shared" si="8"/>
        <v>Mar</v>
      </c>
      <c r="C32" s="1" t="s">
        <v>9</v>
      </c>
      <c r="D32" s="1" t="s">
        <v>12</v>
      </c>
      <c r="E32" s="1" t="s">
        <v>6</v>
      </c>
      <c r="F32" s="3">
        <v>370</v>
      </c>
      <c r="G32" s="1" t="s">
        <v>78</v>
      </c>
      <c r="H32" s="1" t="s">
        <v>80</v>
      </c>
    </row>
    <row r="33" spans="1:9">
      <c r="A33" s="2">
        <v>41364</v>
      </c>
      <c r="B33" s="4" t="str">
        <f t="shared" si="8"/>
        <v>Mar</v>
      </c>
      <c r="C33" s="1" t="s">
        <v>69</v>
      </c>
      <c r="D33" s="1" t="s">
        <v>13</v>
      </c>
      <c r="E33" s="1" t="s">
        <v>6</v>
      </c>
      <c r="F33" s="3">
        <v>8020</v>
      </c>
      <c r="G33" s="1" t="s">
        <v>103</v>
      </c>
      <c r="I33" s="1">
        <v>1</v>
      </c>
    </row>
    <row r="34" spans="1:9">
      <c r="A34" s="2">
        <v>41364</v>
      </c>
      <c r="B34" s="4" t="str">
        <f t="shared" ref="B34" si="9">VLOOKUP(MONTH(A34),$N$1:$O$12,2,0)</f>
        <v>Mar</v>
      </c>
      <c r="C34" s="1" t="s">
        <v>69</v>
      </c>
      <c r="D34" s="1" t="s">
        <v>13</v>
      </c>
      <c r="E34" s="1" t="s">
        <v>6</v>
      </c>
      <c r="F34" s="3">
        <v>2040</v>
      </c>
      <c r="G34" s="1" t="s">
        <v>100</v>
      </c>
      <c r="I34" s="1">
        <v>2</v>
      </c>
    </row>
    <row r="35" spans="1:9">
      <c r="A35" s="2">
        <v>41364</v>
      </c>
      <c r="B35" s="4" t="str">
        <f t="shared" ref="B35:B36" si="10">VLOOKUP(MONTH(A35),$N$1:$O$12,2,0)</f>
        <v>Mar</v>
      </c>
      <c r="C35" s="1" t="s">
        <v>69</v>
      </c>
      <c r="D35" s="1" t="s">
        <v>13</v>
      </c>
      <c r="E35" s="1" t="s">
        <v>6</v>
      </c>
      <c r="F35" s="3">
        <v>15</v>
      </c>
      <c r="G35" s="1" t="s">
        <v>101</v>
      </c>
      <c r="I35" s="1">
        <v>2</v>
      </c>
    </row>
    <row r="36" spans="1:9">
      <c r="A36" s="2">
        <v>41365</v>
      </c>
      <c r="B36" s="4" t="str">
        <f t="shared" si="10"/>
        <v>Apr</v>
      </c>
      <c r="C36" s="1" t="s">
        <v>83</v>
      </c>
      <c r="D36" s="1" t="s">
        <v>13</v>
      </c>
      <c r="E36" s="1" t="s">
        <v>6</v>
      </c>
      <c r="F36" s="3">
        <v>0</v>
      </c>
      <c r="G36" s="1" t="s">
        <v>79</v>
      </c>
    </row>
    <row r="37" spans="1:9">
      <c r="A37" s="2">
        <v>41365</v>
      </c>
      <c r="B37" s="4" t="str">
        <f t="shared" ref="B37" si="11">VLOOKUP(MONTH(A37),$N$1:$O$12,2,0)</f>
        <v>Apr</v>
      </c>
      <c r="C37" s="1" t="s">
        <v>83</v>
      </c>
      <c r="D37" s="1" t="s">
        <v>13</v>
      </c>
      <c r="E37" s="1" t="s">
        <v>6</v>
      </c>
      <c r="F37" s="3">
        <v>650</v>
      </c>
      <c r="G37" s="1" t="s">
        <v>57</v>
      </c>
    </row>
    <row r="38" spans="1:9">
      <c r="A38" s="2">
        <v>41365</v>
      </c>
      <c r="B38" s="4" t="str">
        <f t="shared" ref="B38" si="12">VLOOKUP(MONTH(A38),$N$1:$O$12,2,0)</f>
        <v>Apr</v>
      </c>
      <c r="C38" s="1" t="s">
        <v>69</v>
      </c>
      <c r="D38" s="1" t="s">
        <v>13</v>
      </c>
      <c r="E38" s="1" t="s">
        <v>6</v>
      </c>
      <c r="F38" s="3">
        <v>8020</v>
      </c>
      <c r="G38" s="1" t="s">
        <v>103</v>
      </c>
      <c r="I38" s="1">
        <v>1</v>
      </c>
    </row>
    <row r="39" spans="1:9">
      <c r="A39" s="2">
        <v>41365</v>
      </c>
      <c r="B39" s="4" t="str">
        <f t="shared" ref="B39" si="13">VLOOKUP(MONTH(A39),$N$1:$O$12,2,0)</f>
        <v>Apr</v>
      </c>
      <c r="C39" s="1" t="s">
        <v>69</v>
      </c>
      <c r="D39" s="1" t="s">
        <v>13</v>
      </c>
      <c r="E39" s="1" t="s">
        <v>6</v>
      </c>
      <c r="F39" s="3">
        <v>2040</v>
      </c>
      <c r="G39" s="1" t="s">
        <v>100</v>
      </c>
      <c r="I39" s="1">
        <v>2</v>
      </c>
    </row>
    <row r="40" spans="1:9">
      <c r="A40" s="2">
        <v>41365</v>
      </c>
      <c r="B40" s="4" t="str">
        <f t="shared" ref="B40" si="14">VLOOKUP(MONTH(A40),$N$1:$O$12,2,0)</f>
        <v>Apr</v>
      </c>
      <c r="C40" s="1" t="s">
        <v>69</v>
      </c>
      <c r="D40" s="1" t="s">
        <v>13</v>
      </c>
      <c r="E40" s="1" t="s">
        <v>6</v>
      </c>
      <c r="F40" s="3">
        <v>2200</v>
      </c>
      <c r="G40" s="1" t="s">
        <v>102</v>
      </c>
      <c r="I40" s="1">
        <v>2</v>
      </c>
    </row>
    <row r="41" spans="1:9">
      <c r="A41" s="2">
        <v>41365</v>
      </c>
      <c r="B41" s="4" t="str">
        <f t="shared" ref="B41" si="15">VLOOKUP(MONTH(A41),$N$1:$O$12,2,0)</f>
        <v>Apr</v>
      </c>
      <c r="C41" s="1" t="s">
        <v>69</v>
      </c>
      <c r="D41" s="1" t="s">
        <v>13</v>
      </c>
      <c r="E41" s="1" t="s">
        <v>6</v>
      </c>
      <c r="F41" s="3">
        <v>16.5</v>
      </c>
      <c r="G41" s="1" t="s">
        <v>101</v>
      </c>
      <c r="I41" s="1">
        <v>2</v>
      </c>
    </row>
    <row r="42" spans="1:9">
      <c r="A42" s="2">
        <v>41365</v>
      </c>
      <c r="B42" s="4" t="str">
        <f t="shared" ref="B42:B50" si="16">VLOOKUP(MONTH(A42),$N$1:$O$12,2,0)</f>
        <v>Apr</v>
      </c>
      <c r="C42" s="1" t="s">
        <v>69</v>
      </c>
      <c r="D42" s="1" t="s">
        <v>13</v>
      </c>
      <c r="E42" s="1" t="s">
        <v>6</v>
      </c>
      <c r="F42" s="3">
        <v>14.5</v>
      </c>
      <c r="G42" s="1" t="s">
        <v>101</v>
      </c>
      <c r="I42" s="1">
        <v>2</v>
      </c>
    </row>
    <row r="43" spans="1:9">
      <c r="A43" s="2">
        <v>41366</v>
      </c>
      <c r="B43" s="4" t="str">
        <f t="shared" si="16"/>
        <v>Apr</v>
      </c>
      <c r="C43" s="1" t="s">
        <v>11</v>
      </c>
      <c r="D43" s="1" t="s">
        <v>12</v>
      </c>
      <c r="E43" s="1" t="s">
        <v>6</v>
      </c>
      <c r="F43" s="3">
        <v>400</v>
      </c>
      <c r="G43" s="1" t="s">
        <v>91</v>
      </c>
    </row>
    <row r="44" spans="1:9">
      <c r="A44" s="2">
        <v>41366</v>
      </c>
      <c r="B44" s="4" t="str">
        <f t="shared" ref="B44" si="17">VLOOKUP(MONTH(A44),$N$1:$O$12,2,0)</f>
        <v>Apr</v>
      </c>
      <c r="C44" s="1" t="s">
        <v>69</v>
      </c>
      <c r="D44" s="1" t="s">
        <v>12</v>
      </c>
      <c r="E44" s="1" t="s">
        <v>5</v>
      </c>
      <c r="F44" s="3">
        <v>151</v>
      </c>
      <c r="G44" s="1" t="s">
        <v>110</v>
      </c>
      <c r="I44" s="1">
        <v>8</v>
      </c>
    </row>
    <row r="45" spans="1:9">
      <c r="A45" s="2">
        <v>41367</v>
      </c>
      <c r="B45" s="4" t="str">
        <f t="shared" si="16"/>
        <v>Apr</v>
      </c>
      <c r="C45" s="1" t="s">
        <v>83</v>
      </c>
      <c r="D45" s="1" t="s">
        <v>13</v>
      </c>
      <c r="E45" s="1" t="s">
        <v>6</v>
      </c>
      <c r="F45" s="3">
        <v>0</v>
      </c>
      <c r="G45" s="1" t="s">
        <v>79</v>
      </c>
    </row>
    <row r="46" spans="1:9">
      <c r="A46" s="2">
        <v>41367</v>
      </c>
      <c r="B46" s="4" t="str">
        <f t="shared" si="16"/>
        <v>Apr</v>
      </c>
      <c r="C46" s="1" t="s">
        <v>83</v>
      </c>
      <c r="D46" s="1" t="s">
        <v>13</v>
      </c>
      <c r="E46" s="1" t="s">
        <v>6</v>
      </c>
      <c r="F46" s="3">
        <v>650</v>
      </c>
      <c r="G46" s="1" t="s">
        <v>57</v>
      </c>
    </row>
    <row r="47" spans="1:9">
      <c r="A47" s="2">
        <v>41367</v>
      </c>
      <c r="B47" s="4" t="str">
        <f t="shared" si="16"/>
        <v>Apr</v>
      </c>
      <c r="C47" s="1" t="s">
        <v>69</v>
      </c>
      <c r="D47" s="1" t="s">
        <v>13</v>
      </c>
      <c r="E47" s="1" t="s">
        <v>6</v>
      </c>
      <c r="F47" s="3">
        <v>1500</v>
      </c>
      <c r="G47" s="1" t="s">
        <v>161</v>
      </c>
      <c r="I47" s="1">
        <v>1</v>
      </c>
    </row>
    <row r="48" spans="1:9">
      <c r="A48" s="2">
        <v>41367</v>
      </c>
      <c r="B48" s="4" t="str">
        <f t="shared" ref="B48" si="18">VLOOKUP(MONTH(A48),$N$1:$O$12,2,0)</f>
        <v>Apr</v>
      </c>
      <c r="C48" s="1" t="s">
        <v>69</v>
      </c>
      <c r="D48" s="1" t="s">
        <v>13</v>
      </c>
      <c r="E48" s="1" t="s">
        <v>6</v>
      </c>
      <c r="F48" s="3">
        <v>1100</v>
      </c>
      <c r="G48" s="1" t="s">
        <v>102</v>
      </c>
      <c r="I48" s="1">
        <v>1</v>
      </c>
    </row>
    <row r="49" spans="1:9">
      <c r="A49" s="2">
        <v>41367</v>
      </c>
      <c r="B49" s="4" t="str">
        <f t="shared" ref="B49" si="19">VLOOKUP(MONTH(A49),$N$1:$O$12,2,0)</f>
        <v>Apr</v>
      </c>
      <c r="C49" s="1" t="s">
        <v>69</v>
      </c>
      <c r="D49" s="1" t="s">
        <v>13</v>
      </c>
      <c r="E49" s="1" t="s">
        <v>6</v>
      </c>
      <c r="F49" s="3">
        <v>8</v>
      </c>
      <c r="G49" s="1" t="s">
        <v>101</v>
      </c>
      <c r="I49" s="1">
        <v>1</v>
      </c>
    </row>
    <row r="50" spans="1:9">
      <c r="A50" s="2">
        <v>41369</v>
      </c>
      <c r="B50" s="4" t="str">
        <f t="shared" si="16"/>
        <v>Apr</v>
      </c>
      <c r="C50" s="1" t="s">
        <v>162</v>
      </c>
      <c r="D50" s="1" t="s">
        <v>12</v>
      </c>
      <c r="E50" s="1" t="s">
        <v>5</v>
      </c>
      <c r="F50" s="3">
        <v>65</v>
      </c>
      <c r="G50" s="1" t="s">
        <v>164</v>
      </c>
      <c r="I50" s="1">
        <v>1</v>
      </c>
    </row>
    <row r="51" spans="1:9">
      <c r="A51" s="2">
        <v>41369</v>
      </c>
      <c r="B51" s="4" t="str">
        <f t="shared" ref="B51" si="20">VLOOKUP(MONTH(A51),$N$1:$O$12,2,0)</f>
        <v>Apr</v>
      </c>
      <c r="C51" s="1" t="s">
        <v>162</v>
      </c>
      <c r="D51" s="1" t="s">
        <v>12</v>
      </c>
      <c r="E51" s="1" t="s">
        <v>5</v>
      </c>
      <c r="F51" s="3">
        <v>31</v>
      </c>
      <c r="G51" s="1" t="s">
        <v>101</v>
      </c>
      <c r="I51" s="1">
        <v>3</v>
      </c>
    </row>
    <row r="52" spans="1:9">
      <c r="A52" s="2">
        <v>41369</v>
      </c>
      <c r="B52" s="4" t="str">
        <f t="shared" ref="B52" si="21">VLOOKUP(MONTH(A52),$N$1:$O$12,2,0)</f>
        <v>Apr</v>
      </c>
      <c r="C52" s="1" t="s">
        <v>162</v>
      </c>
      <c r="D52" s="1" t="s">
        <v>12</v>
      </c>
      <c r="E52" s="1" t="s">
        <v>5</v>
      </c>
      <c r="F52" s="3">
        <v>56</v>
      </c>
      <c r="G52" s="1" t="s">
        <v>165</v>
      </c>
      <c r="I52" s="1">
        <v>6</v>
      </c>
    </row>
    <row r="53" spans="1:9">
      <c r="A53" s="2">
        <v>41369</v>
      </c>
      <c r="B53" s="4" t="str">
        <f t="shared" ref="B53:B57" si="22">VLOOKUP(MONTH(A53),$N$1:$O$12,2,0)</f>
        <v>Apr</v>
      </c>
      <c r="C53" s="1" t="s">
        <v>162</v>
      </c>
      <c r="D53" s="1" t="s">
        <v>12</v>
      </c>
      <c r="E53" s="1" t="s">
        <v>5</v>
      </c>
      <c r="F53" s="3">
        <v>19</v>
      </c>
      <c r="G53" s="1" t="s">
        <v>163</v>
      </c>
      <c r="I53" s="1">
        <v>9</v>
      </c>
    </row>
    <row r="54" spans="1:9">
      <c r="A54" s="2">
        <v>41369</v>
      </c>
      <c r="B54" s="4" t="str">
        <f t="shared" si="22"/>
        <v>Apr</v>
      </c>
      <c r="C54" s="1" t="s">
        <v>7</v>
      </c>
      <c r="D54" s="1" t="s">
        <v>12</v>
      </c>
      <c r="E54" s="1" t="s">
        <v>5</v>
      </c>
      <c r="F54" s="3">
        <v>23207</v>
      </c>
      <c r="G54" s="1" t="s">
        <v>172</v>
      </c>
    </row>
    <row r="55" spans="1:9">
      <c r="A55" s="2">
        <v>41369</v>
      </c>
      <c r="B55" s="4" t="str">
        <f t="shared" si="22"/>
        <v>Apr</v>
      </c>
      <c r="C55" s="1" t="s">
        <v>166</v>
      </c>
      <c r="D55" s="1" t="s">
        <v>13</v>
      </c>
      <c r="E55" s="1" t="s">
        <v>5</v>
      </c>
      <c r="F55" s="3">
        <v>65</v>
      </c>
      <c r="G55" s="1" t="s">
        <v>164</v>
      </c>
      <c r="I55" s="1">
        <v>1</v>
      </c>
    </row>
    <row r="56" spans="1:9">
      <c r="A56" s="2">
        <v>41369</v>
      </c>
      <c r="B56" s="4" t="str">
        <f t="shared" si="22"/>
        <v>Apr</v>
      </c>
      <c r="C56" s="1" t="s">
        <v>166</v>
      </c>
      <c r="D56" s="1" t="s">
        <v>13</v>
      </c>
      <c r="E56" s="1" t="s">
        <v>5</v>
      </c>
      <c r="F56" s="3">
        <v>31</v>
      </c>
      <c r="G56" s="1" t="s">
        <v>101</v>
      </c>
      <c r="I56" s="1">
        <v>3</v>
      </c>
    </row>
    <row r="57" spans="1:9">
      <c r="A57" s="2">
        <v>41369</v>
      </c>
      <c r="B57" s="4" t="str">
        <f t="shared" si="22"/>
        <v>Apr</v>
      </c>
      <c r="C57" s="1" t="s">
        <v>166</v>
      </c>
      <c r="D57" s="1" t="s">
        <v>13</v>
      </c>
      <c r="E57" s="1" t="s">
        <v>5</v>
      </c>
      <c r="F57" s="3">
        <v>77</v>
      </c>
      <c r="G57" s="3" t="s">
        <v>167</v>
      </c>
      <c r="I57" s="1">
        <v>1</v>
      </c>
    </row>
    <row r="58" spans="1:9">
      <c r="A58" s="2">
        <v>41369</v>
      </c>
      <c r="B58" s="4" t="str">
        <f t="shared" ref="B58:B63" si="23">VLOOKUP(MONTH(A58),$N$1:$O$12,2,0)</f>
        <v>Apr</v>
      </c>
      <c r="C58" s="1" t="s">
        <v>166</v>
      </c>
      <c r="D58" s="1" t="s">
        <v>13</v>
      </c>
      <c r="E58" s="1" t="s">
        <v>5</v>
      </c>
      <c r="F58" s="3">
        <v>418</v>
      </c>
      <c r="G58" s="1" t="s">
        <v>159</v>
      </c>
      <c r="I58" s="1">
        <v>4</v>
      </c>
    </row>
    <row r="59" spans="1:9">
      <c r="A59" s="2">
        <v>41369</v>
      </c>
      <c r="B59" s="4" t="str">
        <f t="shared" si="23"/>
        <v>Apr</v>
      </c>
      <c r="C59" s="1" t="s">
        <v>166</v>
      </c>
      <c r="D59" s="1" t="s">
        <v>13</v>
      </c>
      <c r="E59" s="1" t="s">
        <v>5</v>
      </c>
      <c r="F59" s="3">
        <v>33</v>
      </c>
      <c r="G59" s="1" t="s">
        <v>101</v>
      </c>
      <c r="I59" s="1">
        <v>4</v>
      </c>
    </row>
    <row r="60" spans="1:9">
      <c r="A60" s="2">
        <v>41369</v>
      </c>
      <c r="B60" s="4" t="str">
        <f t="shared" si="23"/>
        <v>Apr</v>
      </c>
      <c r="C60" s="1" t="s">
        <v>166</v>
      </c>
      <c r="D60" s="1" t="s">
        <v>13</v>
      </c>
      <c r="E60" s="1" t="s">
        <v>5</v>
      </c>
      <c r="F60" s="3">
        <v>259</v>
      </c>
      <c r="G60" s="1" t="s">
        <v>168</v>
      </c>
      <c r="I60" s="1">
        <v>28</v>
      </c>
    </row>
    <row r="61" spans="1:9">
      <c r="A61" s="2">
        <v>41369</v>
      </c>
      <c r="B61" s="4" t="str">
        <f t="shared" si="23"/>
        <v>Apr</v>
      </c>
      <c r="C61" s="1" t="s">
        <v>166</v>
      </c>
      <c r="D61" s="1" t="s">
        <v>13</v>
      </c>
      <c r="E61" s="1" t="s">
        <v>5</v>
      </c>
      <c r="F61" s="3">
        <v>11</v>
      </c>
      <c r="G61" s="1" t="s">
        <v>169</v>
      </c>
      <c r="I61" s="1">
        <v>5</v>
      </c>
    </row>
    <row r="62" spans="1:9">
      <c r="A62" s="2">
        <v>41369</v>
      </c>
      <c r="B62" s="4" t="str">
        <f t="shared" si="23"/>
        <v>Apr</v>
      </c>
      <c r="C62" s="1" t="s">
        <v>166</v>
      </c>
      <c r="D62" s="1" t="s">
        <v>13</v>
      </c>
      <c r="E62" s="1" t="s">
        <v>5</v>
      </c>
      <c r="F62" s="3">
        <v>41</v>
      </c>
      <c r="G62" s="1" t="s">
        <v>170</v>
      </c>
      <c r="I62" s="1">
        <v>1</v>
      </c>
    </row>
    <row r="63" spans="1:9">
      <c r="A63" s="2">
        <v>41372</v>
      </c>
      <c r="B63" s="4" t="str">
        <f t="shared" si="23"/>
        <v>Apr</v>
      </c>
      <c r="C63" s="1" t="s">
        <v>178</v>
      </c>
      <c r="D63" s="1" t="s">
        <v>13</v>
      </c>
      <c r="E63" s="1" t="s">
        <v>6</v>
      </c>
      <c r="F63" s="3">
        <v>418</v>
      </c>
      <c r="G63" s="1" t="s">
        <v>159</v>
      </c>
      <c r="I63" s="1">
        <v>4</v>
      </c>
    </row>
    <row r="64" spans="1:9">
      <c r="A64" s="2">
        <v>41372</v>
      </c>
      <c r="B64" s="4" t="str">
        <f t="shared" ref="B64:B71" si="24">VLOOKUP(MONTH(A64),$N$1:$O$12,2,0)</f>
        <v>Apr</v>
      </c>
      <c r="C64" s="1" t="s">
        <v>178</v>
      </c>
      <c r="D64" s="1" t="s">
        <v>13</v>
      </c>
      <c r="E64" s="1" t="s">
        <v>6</v>
      </c>
      <c r="F64" s="3">
        <v>33</v>
      </c>
      <c r="G64" s="1" t="s">
        <v>101</v>
      </c>
      <c r="I64" s="1">
        <v>4</v>
      </c>
    </row>
    <row r="65" spans="1:10">
      <c r="A65" s="2">
        <v>41372</v>
      </c>
      <c r="B65" s="4" t="str">
        <f t="shared" si="24"/>
        <v>Apr</v>
      </c>
      <c r="C65" s="1" t="s">
        <v>178</v>
      </c>
      <c r="D65" s="1" t="s">
        <v>13</v>
      </c>
      <c r="E65" s="1" t="s">
        <v>6</v>
      </c>
      <c r="F65" s="3">
        <v>380</v>
      </c>
      <c r="G65" s="1" t="s">
        <v>181</v>
      </c>
      <c r="I65" s="1">
        <v>1</v>
      </c>
    </row>
    <row r="66" spans="1:10">
      <c r="A66" s="2">
        <v>41372</v>
      </c>
      <c r="B66" s="4" t="str">
        <f t="shared" si="24"/>
        <v>Apr</v>
      </c>
      <c r="C66" s="1" t="s">
        <v>178</v>
      </c>
      <c r="D66" s="1" t="s">
        <v>13</v>
      </c>
      <c r="E66" s="1" t="s">
        <v>6</v>
      </c>
      <c r="F66" s="3">
        <v>1215</v>
      </c>
      <c r="G66" s="1" t="s">
        <v>170</v>
      </c>
      <c r="I66" s="1">
        <v>30</v>
      </c>
      <c r="J66" s="1" t="s">
        <v>215</v>
      </c>
    </row>
    <row r="67" spans="1:10">
      <c r="A67" s="2">
        <v>41372</v>
      </c>
      <c r="B67" s="4" t="str">
        <f t="shared" si="24"/>
        <v>Apr</v>
      </c>
      <c r="C67" s="1" t="s">
        <v>178</v>
      </c>
      <c r="D67" s="1" t="s">
        <v>13</v>
      </c>
      <c r="E67" s="1" t="s">
        <v>6</v>
      </c>
      <c r="F67" s="3">
        <v>531</v>
      </c>
      <c r="G67" s="1" t="s">
        <v>182</v>
      </c>
      <c r="I67" s="1">
        <v>15</v>
      </c>
      <c r="J67" s="1" t="s">
        <v>215</v>
      </c>
    </row>
    <row r="68" spans="1:10">
      <c r="A68" s="2">
        <v>41372</v>
      </c>
      <c r="B68" s="4" t="str">
        <f t="shared" si="24"/>
        <v>Apr</v>
      </c>
      <c r="C68" s="1" t="s">
        <v>178</v>
      </c>
      <c r="D68" s="1" t="s">
        <v>13</v>
      </c>
      <c r="E68" s="1" t="s">
        <v>6</v>
      </c>
      <c r="F68" s="3">
        <v>10</v>
      </c>
      <c r="G68" s="1" t="s">
        <v>104</v>
      </c>
      <c r="I68" s="1">
        <v>10</v>
      </c>
      <c r="J68" s="1" t="s">
        <v>216</v>
      </c>
    </row>
    <row r="69" spans="1:10">
      <c r="A69" s="2">
        <v>41372</v>
      </c>
      <c r="B69" s="4" t="str">
        <f t="shared" si="24"/>
        <v>Apr</v>
      </c>
      <c r="C69" s="1" t="s">
        <v>178</v>
      </c>
      <c r="D69" s="1" t="s">
        <v>13</v>
      </c>
      <c r="E69" s="1" t="s">
        <v>6</v>
      </c>
      <c r="F69" s="3">
        <v>2</v>
      </c>
      <c r="G69" s="1" t="s">
        <v>183</v>
      </c>
      <c r="H69" s="1" t="s">
        <v>185</v>
      </c>
      <c r="I69" s="1">
        <v>10</v>
      </c>
      <c r="J69" s="1" t="s">
        <v>216</v>
      </c>
    </row>
    <row r="70" spans="1:10">
      <c r="A70" s="2">
        <v>41372</v>
      </c>
      <c r="B70" s="4" t="str">
        <f t="shared" si="24"/>
        <v>Apr</v>
      </c>
      <c r="C70" s="1" t="s">
        <v>178</v>
      </c>
      <c r="D70" s="1" t="s">
        <v>13</v>
      </c>
      <c r="E70" s="1" t="s">
        <v>6</v>
      </c>
      <c r="F70" s="3">
        <v>86</v>
      </c>
      <c r="G70" s="1" t="s">
        <v>184</v>
      </c>
      <c r="H70" s="1" t="s">
        <v>186</v>
      </c>
      <c r="I70" s="1">
        <v>15</v>
      </c>
      <c r="J70" s="1" t="s">
        <v>215</v>
      </c>
    </row>
    <row r="71" spans="1:10">
      <c r="A71" s="2">
        <v>41375</v>
      </c>
      <c r="B71" s="4" t="str">
        <f t="shared" si="24"/>
        <v>Apr</v>
      </c>
      <c r="C71" s="1" t="s">
        <v>178</v>
      </c>
      <c r="D71" s="1" t="s">
        <v>13</v>
      </c>
      <c r="E71" s="1" t="s">
        <v>6</v>
      </c>
      <c r="F71" s="3">
        <v>380</v>
      </c>
      <c r="G71" s="1" t="s">
        <v>181</v>
      </c>
      <c r="I71" s="1">
        <v>1</v>
      </c>
    </row>
    <row r="72" spans="1:10">
      <c r="A72" s="2">
        <v>41375</v>
      </c>
      <c r="B72" s="4" t="str">
        <f t="shared" ref="B72:B76" si="25">VLOOKUP(MONTH(A72),$N$1:$O$12,2,0)</f>
        <v>Apr</v>
      </c>
      <c r="C72" s="1" t="s">
        <v>178</v>
      </c>
      <c r="D72" s="1" t="s">
        <v>13</v>
      </c>
      <c r="E72" s="1" t="s">
        <v>6</v>
      </c>
      <c r="F72" s="3">
        <v>17</v>
      </c>
      <c r="G72" s="1" t="s">
        <v>101</v>
      </c>
      <c r="I72" s="1">
        <v>2</v>
      </c>
    </row>
    <row r="73" spans="1:10">
      <c r="A73" s="2">
        <v>41375</v>
      </c>
      <c r="B73" s="4" t="str">
        <f t="shared" ref="B73" si="26">VLOOKUP(MONTH(A73),$N$1:$O$12,2,0)</f>
        <v>Apr</v>
      </c>
      <c r="C73" s="1" t="s">
        <v>178</v>
      </c>
      <c r="D73" s="1" t="s">
        <v>13</v>
      </c>
      <c r="E73" s="1" t="s">
        <v>5</v>
      </c>
      <c r="F73" s="3">
        <v>140</v>
      </c>
      <c r="G73" s="1" t="s">
        <v>33</v>
      </c>
    </row>
    <row r="74" spans="1:10">
      <c r="A74" s="2">
        <v>41378</v>
      </c>
      <c r="B74" s="4" t="str">
        <f t="shared" ref="B74" si="27">VLOOKUP(MONTH(A74),$N$1:$O$12,2,0)</f>
        <v>Apr</v>
      </c>
      <c r="C74" s="1" t="s">
        <v>178</v>
      </c>
      <c r="D74" s="1" t="s">
        <v>13</v>
      </c>
      <c r="E74" s="1" t="s">
        <v>5</v>
      </c>
      <c r="F74" s="3">
        <v>70</v>
      </c>
      <c r="G74" s="1" t="s">
        <v>33</v>
      </c>
    </row>
    <row r="75" spans="1:10">
      <c r="A75" s="2">
        <v>41378</v>
      </c>
      <c r="B75" s="4" t="str">
        <f t="shared" si="25"/>
        <v>Apr</v>
      </c>
      <c r="C75" s="1" t="s">
        <v>178</v>
      </c>
      <c r="D75" s="1" t="s">
        <v>13</v>
      </c>
      <c r="E75" s="1" t="s">
        <v>5</v>
      </c>
      <c r="F75" s="3">
        <v>259</v>
      </c>
      <c r="G75" s="1" t="s">
        <v>168</v>
      </c>
      <c r="I75" s="1">
        <v>28</v>
      </c>
    </row>
    <row r="76" spans="1:10">
      <c r="A76" s="2">
        <v>41379</v>
      </c>
      <c r="B76" s="4" t="str">
        <f t="shared" si="25"/>
        <v>Apr</v>
      </c>
      <c r="C76" s="1" t="s">
        <v>162</v>
      </c>
      <c r="D76" s="1" t="s">
        <v>12</v>
      </c>
      <c r="E76" s="1" t="s">
        <v>5</v>
      </c>
      <c r="F76" s="3">
        <v>444</v>
      </c>
      <c r="G76" s="1" t="s">
        <v>208</v>
      </c>
      <c r="I76" s="1">
        <v>10</v>
      </c>
    </row>
    <row r="77" spans="1:10">
      <c r="A77" s="2">
        <v>41379</v>
      </c>
      <c r="B77" s="4" t="str">
        <f t="shared" ref="B77:B101" si="28">VLOOKUP(MONTH(A77),$N$1:$O$12,2,0)</f>
        <v>Apr</v>
      </c>
      <c r="C77" s="1" t="s">
        <v>162</v>
      </c>
      <c r="D77" s="1" t="s">
        <v>12</v>
      </c>
      <c r="E77" s="1" t="s">
        <v>5</v>
      </c>
      <c r="F77" s="3">
        <v>56</v>
      </c>
      <c r="G77" s="1" t="s">
        <v>209</v>
      </c>
      <c r="I77" s="1">
        <v>10</v>
      </c>
    </row>
    <row r="78" spans="1:10">
      <c r="A78" s="2">
        <v>41386</v>
      </c>
      <c r="B78" s="4" t="str">
        <f t="shared" si="28"/>
        <v>Apr</v>
      </c>
      <c r="C78" s="1" t="s">
        <v>492</v>
      </c>
      <c r="D78" s="1" t="s">
        <v>13</v>
      </c>
      <c r="E78" s="1" t="s">
        <v>6</v>
      </c>
      <c r="F78" s="3">
        <v>850</v>
      </c>
      <c r="G78" s="1" t="s">
        <v>502</v>
      </c>
      <c r="J78" s="1" t="s">
        <v>55</v>
      </c>
    </row>
    <row r="79" spans="1:10">
      <c r="A79" s="2">
        <v>41386</v>
      </c>
      <c r="B79" s="4" t="str">
        <f t="shared" si="28"/>
        <v>Apr</v>
      </c>
      <c r="C79" s="1" t="s">
        <v>493</v>
      </c>
      <c r="D79" s="1" t="s">
        <v>13</v>
      </c>
      <c r="E79" s="1" t="s">
        <v>6</v>
      </c>
      <c r="F79" s="3">
        <v>523</v>
      </c>
      <c r="G79" s="1" t="s">
        <v>159</v>
      </c>
      <c r="I79" s="1">
        <v>5</v>
      </c>
    </row>
    <row r="80" spans="1:10">
      <c r="A80" s="2">
        <v>41386</v>
      </c>
      <c r="B80" s="4" t="str">
        <f t="shared" si="28"/>
        <v>Apr</v>
      </c>
      <c r="C80" s="1" t="s">
        <v>493</v>
      </c>
      <c r="D80" s="1" t="s">
        <v>13</v>
      </c>
      <c r="E80" s="1" t="s">
        <v>6</v>
      </c>
      <c r="F80" s="3">
        <v>41</v>
      </c>
      <c r="G80" s="1" t="s">
        <v>101</v>
      </c>
      <c r="I80" s="1">
        <v>5</v>
      </c>
    </row>
    <row r="81" spans="1:10">
      <c r="A81" s="2">
        <v>41386</v>
      </c>
      <c r="B81" s="4" t="str">
        <f t="shared" si="28"/>
        <v>Apr</v>
      </c>
      <c r="C81" s="1" t="s">
        <v>493</v>
      </c>
      <c r="D81" s="1" t="s">
        <v>13</v>
      </c>
      <c r="E81" s="1" t="s">
        <v>6</v>
      </c>
      <c r="F81" s="3">
        <v>4860</v>
      </c>
      <c r="G81" s="1" t="s">
        <v>170</v>
      </c>
      <c r="I81" s="1">
        <v>120</v>
      </c>
    </row>
    <row r="82" spans="1:10">
      <c r="A82" s="2">
        <v>41386</v>
      </c>
      <c r="B82" s="4" t="str">
        <f t="shared" si="28"/>
        <v>Apr</v>
      </c>
      <c r="C82" s="1" t="s">
        <v>493</v>
      </c>
      <c r="D82" s="1" t="s">
        <v>13</v>
      </c>
      <c r="E82" s="1" t="s">
        <v>6</v>
      </c>
      <c r="F82" s="3">
        <v>1811</v>
      </c>
      <c r="G82" s="1" t="s">
        <v>168</v>
      </c>
      <c r="I82" s="1">
        <v>7</v>
      </c>
    </row>
    <row r="83" spans="1:10">
      <c r="A83" s="2">
        <v>41386</v>
      </c>
      <c r="B83" s="4" t="str">
        <f t="shared" si="28"/>
        <v>Apr</v>
      </c>
      <c r="C83" s="1" t="s">
        <v>493</v>
      </c>
      <c r="D83" s="1" t="s">
        <v>13</v>
      </c>
      <c r="E83" s="1" t="s">
        <v>6</v>
      </c>
      <c r="F83" s="3">
        <v>57</v>
      </c>
      <c r="G83" s="1" t="s">
        <v>184</v>
      </c>
      <c r="I83" s="1">
        <v>10</v>
      </c>
    </row>
    <row r="84" spans="1:10">
      <c r="A84" s="2">
        <v>41386</v>
      </c>
      <c r="B84" s="4" t="str">
        <f t="shared" si="28"/>
        <v>Apr</v>
      </c>
      <c r="C84" s="1" t="s">
        <v>493</v>
      </c>
      <c r="D84" s="1" t="s">
        <v>13</v>
      </c>
      <c r="E84" s="1" t="s">
        <v>6</v>
      </c>
      <c r="F84" s="3">
        <v>285</v>
      </c>
      <c r="G84" s="1" t="s">
        <v>184</v>
      </c>
      <c r="I84" s="1">
        <v>50</v>
      </c>
    </row>
    <row r="85" spans="1:10">
      <c r="A85" s="2">
        <v>41388</v>
      </c>
      <c r="B85" s="4" t="str">
        <f t="shared" si="28"/>
        <v>Apr</v>
      </c>
      <c r="C85" s="1" t="s">
        <v>492</v>
      </c>
      <c r="D85" s="1" t="s">
        <v>13</v>
      </c>
      <c r="E85" s="1" t="s">
        <v>6</v>
      </c>
      <c r="F85" s="3">
        <v>850</v>
      </c>
      <c r="G85" s="1" t="s">
        <v>502</v>
      </c>
      <c r="J85" s="1" t="s">
        <v>55</v>
      </c>
    </row>
    <row r="86" spans="1:10">
      <c r="A86" s="2">
        <v>41391</v>
      </c>
      <c r="B86" s="4" t="str">
        <f t="shared" si="28"/>
        <v>Apr</v>
      </c>
      <c r="C86" s="1" t="s">
        <v>492</v>
      </c>
      <c r="D86" s="1" t="s">
        <v>13</v>
      </c>
      <c r="E86" s="1" t="s">
        <v>6</v>
      </c>
      <c r="F86" s="3">
        <v>600</v>
      </c>
      <c r="G86" s="1" t="s">
        <v>502</v>
      </c>
      <c r="J86" s="1" t="s">
        <v>494</v>
      </c>
    </row>
    <row r="87" spans="1:10">
      <c r="A87" s="2">
        <v>41391</v>
      </c>
      <c r="B87" s="4" t="str">
        <f t="shared" si="28"/>
        <v>Apr</v>
      </c>
      <c r="C87" s="1" t="s">
        <v>492</v>
      </c>
      <c r="D87" s="1" t="s">
        <v>13</v>
      </c>
      <c r="E87" s="1" t="s">
        <v>6</v>
      </c>
      <c r="F87" s="3">
        <v>850</v>
      </c>
      <c r="G87" s="1" t="s">
        <v>502</v>
      </c>
      <c r="J87" s="1" t="s">
        <v>495</v>
      </c>
    </row>
    <row r="88" spans="1:10">
      <c r="A88" s="2">
        <v>41395</v>
      </c>
      <c r="B88" s="4" t="str">
        <f t="shared" si="28"/>
        <v>May</v>
      </c>
      <c r="C88" s="1" t="s">
        <v>492</v>
      </c>
      <c r="D88" s="1" t="s">
        <v>13</v>
      </c>
      <c r="E88" s="1" t="s">
        <v>6</v>
      </c>
      <c r="F88" s="3">
        <v>600</v>
      </c>
      <c r="G88" s="1" t="s">
        <v>502</v>
      </c>
      <c r="J88" s="1" t="s">
        <v>494</v>
      </c>
    </row>
    <row r="89" spans="1:10">
      <c r="A89" s="2">
        <v>41395</v>
      </c>
      <c r="B89" s="4" t="str">
        <f t="shared" si="28"/>
        <v>May</v>
      </c>
      <c r="C89" s="1" t="s">
        <v>496</v>
      </c>
      <c r="D89" s="1" t="s">
        <v>13</v>
      </c>
      <c r="E89" s="1" t="s">
        <v>6</v>
      </c>
      <c r="F89" s="3">
        <v>900</v>
      </c>
      <c r="G89" s="1" t="s">
        <v>497</v>
      </c>
    </row>
    <row r="90" spans="1:10">
      <c r="A90" s="2">
        <v>41398</v>
      </c>
      <c r="B90" s="4" t="str">
        <f t="shared" si="28"/>
        <v>May</v>
      </c>
      <c r="C90" s="1" t="s">
        <v>162</v>
      </c>
      <c r="D90" s="1" t="s">
        <v>12</v>
      </c>
      <c r="E90" s="1" t="s">
        <v>6</v>
      </c>
      <c r="F90" s="3">
        <v>443</v>
      </c>
      <c r="G90" s="1" t="s">
        <v>208</v>
      </c>
      <c r="I90" s="1">
        <v>10</v>
      </c>
    </row>
    <row r="91" spans="1:10">
      <c r="A91" s="2">
        <v>41401</v>
      </c>
      <c r="B91" s="4" t="str">
        <f t="shared" si="28"/>
        <v>May</v>
      </c>
      <c r="C91" s="1" t="s">
        <v>492</v>
      </c>
      <c r="D91" s="1" t="s">
        <v>13</v>
      </c>
      <c r="E91" s="1" t="s">
        <v>6</v>
      </c>
      <c r="F91" s="3">
        <v>850</v>
      </c>
      <c r="G91" s="1" t="s">
        <v>502</v>
      </c>
      <c r="J91" s="1" t="s">
        <v>55</v>
      </c>
    </row>
    <row r="92" spans="1:10">
      <c r="A92" s="2">
        <v>41401</v>
      </c>
      <c r="B92" s="4" t="str">
        <f t="shared" si="28"/>
        <v>May</v>
      </c>
      <c r="C92" s="1" t="s">
        <v>496</v>
      </c>
      <c r="D92" s="1" t="s">
        <v>13</v>
      </c>
      <c r="E92" s="1" t="s">
        <v>6</v>
      </c>
      <c r="F92" s="3">
        <v>1140</v>
      </c>
      <c r="G92" s="1" t="s">
        <v>498</v>
      </c>
    </row>
    <row r="93" spans="1:10">
      <c r="A93" s="2">
        <v>41403</v>
      </c>
      <c r="B93" s="4" t="str">
        <f t="shared" si="28"/>
        <v>May</v>
      </c>
      <c r="C93" s="1" t="s">
        <v>162</v>
      </c>
      <c r="D93" s="1" t="s">
        <v>12</v>
      </c>
      <c r="E93" s="1" t="s">
        <v>6</v>
      </c>
      <c r="F93" s="3">
        <v>1000</v>
      </c>
      <c r="G93" s="1" t="s">
        <v>499</v>
      </c>
    </row>
    <row r="94" spans="1:10">
      <c r="A94" s="2">
        <v>41403</v>
      </c>
      <c r="B94" s="4" t="str">
        <f t="shared" si="28"/>
        <v>May</v>
      </c>
      <c r="C94" s="1" t="s">
        <v>162</v>
      </c>
      <c r="D94" s="1" t="s">
        <v>12</v>
      </c>
      <c r="E94" s="1" t="s">
        <v>6</v>
      </c>
      <c r="F94" s="3">
        <v>10</v>
      </c>
      <c r="G94" s="1" t="s">
        <v>500</v>
      </c>
      <c r="I94" s="1">
        <v>15</v>
      </c>
    </row>
    <row r="95" spans="1:10">
      <c r="A95" s="2">
        <v>41403</v>
      </c>
      <c r="B95" s="4" t="str">
        <f t="shared" ref="B95" si="29">VLOOKUP(MONTH(A95),$N$1:$O$12,2,0)</f>
        <v>May</v>
      </c>
      <c r="C95" s="1" t="s">
        <v>162</v>
      </c>
      <c r="D95" s="1" t="s">
        <v>12</v>
      </c>
      <c r="E95" s="1" t="s">
        <v>6</v>
      </c>
      <c r="F95" s="3">
        <v>65</v>
      </c>
      <c r="G95" s="1" t="s">
        <v>501</v>
      </c>
      <c r="I95" s="1">
        <v>5</v>
      </c>
    </row>
    <row r="96" spans="1:10">
      <c r="A96" s="2">
        <v>41404</v>
      </c>
      <c r="B96" s="4" t="str">
        <f t="shared" si="28"/>
        <v>May</v>
      </c>
      <c r="C96" s="1" t="s">
        <v>492</v>
      </c>
      <c r="D96" s="1" t="s">
        <v>13</v>
      </c>
      <c r="E96" s="1" t="s">
        <v>6</v>
      </c>
      <c r="F96" s="3">
        <v>600</v>
      </c>
      <c r="G96" s="1" t="s">
        <v>502</v>
      </c>
      <c r="J96" s="1" t="s">
        <v>494</v>
      </c>
    </row>
    <row r="97" spans="1:10">
      <c r="A97" s="2">
        <v>41404</v>
      </c>
      <c r="B97" s="4" t="str">
        <f t="shared" si="28"/>
        <v>May</v>
      </c>
      <c r="C97" s="1" t="s">
        <v>492</v>
      </c>
      <c r="D97" s="1" t="s">
        <v>13</v>
      </c>
      <c r="E97" s="1" t="s">
        <v>6</v>
      </c>
      <c r="F97" s="3">
        <v>60</v>
      </c>
      <c r="G97" s="1" t="s">
        <v>503</v>
      </c>
      <c r="J97" s="1" t="s">
        <v>494</v>
      </c>
    </row>
    <row r="98" spans="1:10">
      <c r="A98" s="2">
        <v>41404</v>
      </c>
      <c r="B98" s="4" t="str">
        <f t="shared" si="28"/>
        <v>May</v>
      </c>
      <c r="C98" s="1" t="s">
        <v>492</v>
      </c>
      <c r="D98" s="1" t="s">
        <v>13</v>
      </c>
      <c r="E98" s="1" t="s">
        <v>6</v>
      </c>
      <c r="F98" s="3">
        <v>90</v>
      </c>
      <c r="G98" s="1" t="s">
        <v>504</v>
      </c>
      <c r="J98" s="1" t="s">
        <v>494</v>
      </c>
    </row>
    <row r="99" spans="1:10">
      <c r="A99" s="2">
        <v>41411</v>
      </c>
      <c r="B99" s="4" t="str">
        <f t="shared" si="28"/>
        <v>May</v>
      </c>
      <c r="C99" s="1" t="s">
        <v>4</v>
      </c>
      <c r="D99" s="1" t="s">
        <v>12</v>
      </c>
      <c r="E99" s="1" t="s">
        <v>6</v>
      </c>
      <c r="F99" s="3">
        <v>14</v>
      </c>
      <c r="G99" s="1" t="s">
        <v>516</v>
      </c>
      <c r="I99" s="1">
        <v>4</v>
      </c>
    </row>
    <row r="100" spans="1:10">
      <c r="A100" s="2">
        <v>41411</v>
      </c>
      <c r="B100" s="4" t="str">
        <f t="shared" si="28"/>
        <v>May</v>
      </c>
      <c r="C100" s="1" t="s">
        <v>4</v>
      </c>
      <c r="D100" s="1" t="s">
        <v>12</v>
      </c>
      <c r="E100" s="1" t="s">
        <v>6</v>
      </c>
      <c r="F100" s="3">
        <v>3</v>
      </c>
      <c r="G100" s="1" t="s">
        <v>517</v>
      </c>
      <c r="I100" s="1">
        <v>2</v>
      </c>
    </row>
    <row r="101" spans="1:10">
      <c r="A101" s="2">
        <v>41412</v>
      </c>
      <c r="B101" s="4" t="str">
        <f t="shared" si="28"/>
        <v>May</v>
      </c>
      <c r="C101" s="1" t="s">
        <v>540</v>
      </c>
      <c r="D101" s="1" t="s">
        <v>13</v>
      </c>
      <c r="E101" s="1" t="s">
        <v>6</v>
      </c>
      <c r="F101" s="3">
        <v>600</v>
      </c>
      <c r="G101" s="1" t="s">
        <v>203</v>
      </c>
      <c r="H101" s="1" t="s">
        <v>541</v>
      </c>
    </row>
    <row r="102" spans="1:10">
      <c r="A102" s="2">
        <v>41412</v>
      </c>
      <c r="B102" s="4" t="str">
        <f t="shared" ref="B102:B118" si="30">VLOOKUP(MONTH(A102),$N$1:$O$12,2,0)</f>
        <v>May</v>
      </c>
      <c r="C102" s="1" t="s">
        <v>540</v>
      </c>
      <c r="D102" s="1" t="s">
        <v>13</v>
      </c>
      <c r="E102" s="1" t="s">
        <v>6</v>
      </c>
      <c r="F102" s="3">
        <v>45500</v>
      </c>
      <c r="G102" s="1" t="s">
        <v>204</v>
      </c>
      <c r="H102" s="1" t="s">
        <v>541</v>
      </c>
    </row>
    <row r="103" spans="1:10">
      <c r="A103" s="2">
        <v>41412</v>
      </c>
      <c r="B103" s="4" t="str">
        <f t="shared" si="30"/>
        <v>May</v>
      </c>
      <c r="C103" s="1" t="s">
        <v>540</v>
      </c>
      <c r="D103" s="1" t="s">
        <v>13</v>
      </c>
      <c r="E103" s="1" t="s">
        <v>6</v>
      </c>
      <c r="F103" s="3">
        <v>3640</v>
      </c>
      <c r="G103" s="1" t="s">
        <v>205</v>
      </c>
      <c r="H103" s="1" t="s">
        <v>541</v>
      </c>
    </row>
    <row r="104" spans="1:10">
      <c r="A104" s="2">
        <v>41412</v>
      </c>
      <c r="B104" s="4" t="str">
        <f t="shared" si="30"/>
        <v>May</v>
      </c>
      <c r="C104" s="1" t="s">
        <v>540</v>
      </c>
      <c r="D104" s="1" t="s">
        <v>13</v>
      </c>
      <c r="E104" s="1" t="s">
        <v>6</v>
      </c>
      <c r="F104" s="3">
        <v>8000</v>
      </c>
      <c r="G104" s="1" t="s">
        <v>542</v>
      </c>
      <c r="H104" s="1" t="s">
        <v>541</v>
      </c>
    </row>
    <row r="105" spans="1:10">
      <c r="A105" s="2">
        <v>41412</v>
      </c>
      <c r="B105" s="4" t="str">
        <f t="shared" si="30"/>
        <v>May</v>
      </c>
      <c r="C105" s="1" t="s">
        <v>540</v>
      </c>
      <c r="D105" s="1" t="s">
        <v>13</v>
      </c>
      <c r="E105" s="1" t="s">
        <v>6</v>
      </c>
      <c r="F105" s="3">
        <v>1000</v>
      </c>
      <c r="G105" s="1" t="s">
        <v>543</v>
      </c>
      <c r="H105" s="1" t="s">
        <v>541</v>
      </c>
    </row>
    <row r="106" spans="1:10">
      <c r="A106" s="2">
        <v>41412</v>
      </c>
      <c r="B106" s="4" t="str">
        <f t="shared" si="30"/>
        <v>May</v>
      </c>
      <c r="C106" s="1" t="s">
        <v>540</v>
      </c>
      <c r="D106" s="1" t="s">
        <v>13</v>
      </c>
      <c r="E106" s="1" t="s">
        <v>6</v>
      </c>
      <c r="F106" s="3">
        <v>7000</v>
      </c>
      <c r="G106" s="1" t="s">
        <v>544</v>
      </c>
      <c r="H106" s="1" t="s">
        <v>541</v>
      </c>
    </row>
    <row r="107" spans="1:10">
      <c r="A107" s="2">
        <v>41412</v>
      </c>
      <c r="B107" s="4" t="str">
        <f t="shared" si="30"/>
        <v>May</v>
      </c>
      <c r="C107" s="1" t="s">
        <v>540</v>
      </c>
      <c r="D107" s="1" t="s">
        <v>13</v>
      </c>
      <c r="E107" s="1" t="s">
        <v>6</v>
      </c>
      <c r="F107" s="3">
        <v>11820</v>
      </c>
      <c r="G107" s="1" t="s">
        <v>94</v>
      </c>
      <c r="H107" s="1" t="s">
        <v>541</v>
      </c>
    </row>
    <row r="108" spans="1:10">
      <c r="A108" s="2">
        <v>41412</v>
      </c>
      <c r="B108" s="4" t="str">
        <f t="shared" si="30"/>
        <v>May</v>
      </c>
      <c r="C108" s="1" t="s">
        <v>540</v>
      </c>
      <c r="D108" s="1" t="s">
        <v>13</v>
      </c>
      <c r="E108" s="1" t="s">
        <v>6</v>
      </c>
      <c r="F108" s="3">
        <v>620</v>
      </c>
      <c r="G108" s="1" t="s">
        <v>545</v>
      </c>
      <c r="H108" s="1" t="s">
        <v>541</v>
      </c>
    </row>
    <row r="109" spans="1:10">
      <c r="A109" s="2">
        <v>41412</v>
      </c>
      <c r="B109" s="4" t="str">
        <f t="shared" si="30"/>
        <v>May</v>
      </c>
      <c r="C109" s="1" t="s">
        <v>540</v>
      </c>
      <c r="D109" s="1" t="s">
        <v>13</v>
      </c>
      <c r="E109" s="1" t="s">
        <v>6</v>
      </c>
      <c r="F109" s="3">
        <v>1520</v>
      </c>
      <c r="G109" s="1" t="s">
        <v>546</v>
      </c>
      <c r="H109" s="1" t="s">
        <v>541</v>
      </c>
    </row>
    <row r="110" spans="1:10">
      <c r="A110" s="2">
        <v>41412</v>
      </c>
      <c r="B110" s="4" t="str">
        <f t="shared" si="30"/>
        <v>May</v>
      </c>
      <c r="C110" s="1" t="s">
        <v>540</v>
      </c>
      <c r="D110" s="1" t="s">
        <v>13</v>
      </c>
      <c r="E110" s="1" t="s">
        <v>6</v>
      </c>
      <c r="F110" s="3">
        <v>1410</v>
      </c>
      <c r="G110" s="1" t="s">
        <v>547</v>
      </c>
      <c r="H110" s="1" t="s">
        <v>541</v>
      </c>
    </row>
    <row r="111" spans="1:10">
      <c r="A111" s="2">
        <v>41412</v>
      </c>
      <c r="B111" s="4" t="str">
        <f t="shared" si="30"/>
        <v>May</v>
      </c>
      <c r="C111" s="1" t="s">
        <v>540</v>
      </c>
      <c r="D111" s="1" t="s">
        <v>13</v>
      </c>
      <c r="E111" s="1" t="s">
        <v>6</v>
      </c>
      <c r="F111" s="3">
        <v>27600</v>
      </c>
      <c r="G111" s="1" t="s">
        <v>548</v>
      </c>
      <c r="H111" s="1" t="s">
        <v>541</v>
      </c>
    </row>
    <row r="112" spans="1:10">
      <c r="A112" s="2">
        <v>41412</v>
      </c>
      <c r="B112" s="4" t="str">
        <f t="shared" si="30"/>
        <v>May</v>
      </c>
      <c r="C112" s="1" t="s">
        <v>540</v>
      </c>
      <c r="D112" s="1" t="s">
        <v>13</v>
      </c>
      <c r="E112" s="1" t="s">
        <v>6</v>
      </c>
      <c r="F112" s="3">
        <v>18100</v>
      </c>
      <c r="G112" s="1" t="s">
        <v>549</v>
      </c>
      <c r="H112" s="1" t="s">
        <v>541</v>
      </c>
    </row>
    <row r="113" spans="1:10">
      <c r="A113" s="2">
        <v>41412</v>
      </c>
      <c r="B113" s="4" t="str">
        <f t="shared" si="30"/>
        <v>May</v>
      </c>
      <c r="C113" s="1" t="s">
        <v>540</v>
      </c>
      <c r="D113" s="1" t="s">
        <v>13</v>
      </c>
      <c r="E113" s="1" t="s">
        <v>6</v>
      </c>
      <c r="F113" s="3">
        <v>14300</v>
      </c>
      <c r="G113" s="1" t="s">
        <v>550</v>
      </c>
      <c r="H113" s="1" t="s">
        <v>541</v>
      </c>
    </row>
    <row r="114" spans="1:10">
      <c r="A114" s="2">
        <v>41412</v>
      </c>
      <c r="B114" s="4" t="str">
        <f t="shared" si="30"/>
        <v>May</v>
      </c>
      <c r="C114" s="1" t="s">
        <v>540</v>
      </c>
      <c r="D114" s="1" t="s">
        <v>13</v>
      </c>
      <c r="E114" s="1" t="s">
        <v>6</v>
      </c>
      <c r="F114" s="3">
        <v>3575</v>
      </c>
      <c r="G114" s="1" t="s">
        <v>551</v>
      </c>
      <c r="H114" s="1" t="s">
        <v>541</v>
      </c>
    </row>
    <row r="115" spans="1:10">
      <c r="A115" s="2">
        <v>41412</v>
      </c>
      <c r="B115" s="4" t="str">
        <f t="shared" si="30"/>
        <v>May</v>
      </c>
      <c r="C115" s="1" t="s">
        <v>540</v>
      </c>
      <c r="D115" s="1" t="s">
        <v>13</v>
      </c>
      <c r="E115" s="1" t="s">
        <v>6</v>
      </c>
      <c r="F115" s="3">
        <v>4290</v>
      </c>
      <c r="G115" s="1" t="s">
        <v>552</v>
      </c>
      <c r="H115" s="1" t="s">
        <v>541</v>
      </c>
    </row>
    <row r="116" spans="1:10">
      <c r="A116" s="2">
        <v>41412</v>
      </c>
      <c r="B116" s="4" t="str">
        <f t="shared" si="30"/>
        <v>May</v>
      </c>
      <c r="C116" s="1" t="s">
        <v>540</v>
      </c>
      <c r="D116" s="1" t="s">
        <v>13</v>
      </c>
      <c r="E116" s="1" t="s">
        <v>6</v>
      </c>
      <c r="F116" s="3">
        <v>282</v>
      </c>
      <c r="G116" s="1" t="s">
        <v>553</v>
      </c>
      <c r="H116" s="1" t="s">
        <v>541</v>
      </c>
    </row>
    <row r="117" spans="1:10">
      <c r="A117" s="2">
        <v>41412</v>
      </c>
      <c r="B117" s="4" t="str">
        <f t="shared" si="30"/>
        <v>May</v>
      </c>
      <c r="C117" s="1" t="s">
        <v>540</v>
      </c>
      <c r="D117" s="1" t="s">
        <v>13</v>
      </c>
      <c r="E117" s="1" t="s">
        <v>6</v>
      </c>
      <c r="F117" s="3">
        <v>9392</v>
      </c>
      <c r="G117" s="1" t="s">
        <v>554</v>
      </c>
      <c r="H117" s="1" t="s">
        <v>541</v>
      </c>
    </row>
    <row r="118" spans="1:10">
      <c r="A118" s="2">
        <v>41412</v>
      </c>
      <c r="B118" s="4" t="str">
        <f t="shared" si="30"/>
        <v>May</v>
      </c>
      <c r="C118" s="1" t="s">
        <v>540</v>
      </c>
      <c r="D118" s="1" t="s">
        <v>13</v>
      </c>
      <c r="E118" s="1" t="s">
        <v>6</v>
      </c>
      <c r="F118" s="3">
        <v>8504</v>
      </c>
      <c r="G118" s="1" t="s">
        <v>555</v>
      </c>
      <c r="H118" s="1" t="s">
        <v>541</v>
      </c>
    </row>
    <row r="119" spans="1:10">
      <c r="A119" s="2">
        <v>41418</v>
      </c>
      <c r="B119" s="4" t="str">
        <f t="shared" ref="B119:B143" si="31">VLOOKUP(MONTH(A119),$N$1:$O$12,2,0)</f>
        <v>May</v>
      </c>
      <c r="C119" s="1" t="s">
        <v>11</v>
      </c>
      <c r="D119" s="1" t="s">
        <v>13</v>
      </c>
      <c r="E119" s="1" t="s">
        <v>6</v>
      </c>
      <c r="F119" s="3">
        <v>200</v>
      </c>
      <c r="G119" s="1" t="s">
        <v>505</v>
      </c>
    </row>
    <row r="120" spans="1:10">
      <c r="A120" s="2">
        <v>41520</v>
      </c>
      <c r="B120" s="4" t="str">
        <f t="shared" si="31"/>
        <v>Sep</v>
      </c>
      <c r="C120" s="1" t="s">
        <v>11</v>
      </c>
      <c r="D120" s="1" t="s">
        <v>13</v>
      </c>
      <c r="E120" s="1" t="s">
        <v>6</v>
      </c>
      <c r="F120" s="3">
        <v>400</v>
      </c>
      <c r="G120" s="1" t="s">
        <v>92</v>
      </c>
    </row>
    <row r="121" spans="1:10">
      <c r="A121" s="2">
        <v>41520</v>
      </c>
      <c r="B121" s="4" t="str">
        <f t="shared" si="31"/>
        <v>Sep</v>
      </c>
      <c r="C121" s="1" t="s">
        <v>14</v>
      </c>
      <c r="D121" s="1" t="s">
        <v>12</v>
      </c>
      <c r="E121" s="1" t="s">
        <v>5</v>
      </c>
      <c r="F121" s="3">
        <v>250</v>
      </c>
      <c r="G121" s="1" t="s">
        <v>14</v>
      </c>
      <c r="J121" s="1" t="s">
        <v>494</v>
      </c>
    </row>
    <row r="122" spans="1:10">
      <c r="A122" s="2">
        <v>41522</v>
      </c>
      <c r="B122" s="4" t="str">
        <f t="shared" si="31"/>
        <v>Sep</v>
      </c>
      <c r="C122" s="1" t="s">
        <v>11</v>
      </c>
      <c r="D122" s="1" t="s">
        <v>12</v>
      </c>
      <c r="E122" s="1" t="s">
        <v>6</v>
      </c>
      <c r="F122" s="3">
        <v>400</v>
      </c>
      <c r="G122" s="1" t="s">
        <v>91</v>
      </c>
    </row>
    <row r="123" spans="1:10">
      <c r="A123" s="2">
        <v>41522</v>
      </c>
      <c r="B123" s="4" t="str">
        <f t="shared" si="31"/>
        <v>Sep</v>
      </c>
      <c r="C123" s="1" t="s">
        <v>9</v>
      </c>
      <c r="D123" s="1" t="s">
        <v>12</v>
      </c>
      <c r="E123" s="1" t="s">
        <v>6</v>
      </c>
      <c r="F123" s="3">
        <v>2410</v>
      </c>
      <c r="G123" s="1" t="s">
        <v>742</v>
      </c>
    </row>
    <row r="124" spans="1:10">
      <c r="A124" s="2">
        <v>41524</v>
      </c>
      <c r="B124" s="4" t="str">
        <f t="shared" si="31"/>
        <v>Sep</v>
      </c>
      <c r="C124" s="1" t="s">
        <v>14</v>
      </c>
      <c r="D124" s="1" t="s">
        <v>12</v>
      </c>
      <c r="E124" s="1" t="s">
        <v>5</v>
      </c>
      <c r="F124" s="3">
        <v>0</v>
      </c>
      <c r="G124" s="1" t="s">
        <v>96</v>
      </c>
    </row>
    <row r="125" spans="1:10">
      <c r="A125" s="2">
        <v>41527</v>
      </c>
      <c r="B125" s="4" t="str">
        <f t="shared" si="31"/>
        <v>Sep</v>
      </c>
      <c r="C125" s="1" t="s">
        <v>11</v>
      </c>
      <c r="D125" s="1" t="s">
        <v>12</v>
      </c>
      <c r="E125" s="1" t="s">
        <v>5</v>
      </c>
      <c r="F125" s="3">
        <v>0</v>
      </c>
      <c r="G125" s="1" t="s">
        <v>91</v>
      </c>
    </row>
    <row r="126" spans="1:10">
      <c r="A126" s="2">
        <v>41528</v>
      </c>
      <c r="B126" s="4" t="str">
        <f t="shared" ref="B126:B129" si="32">VLOOKUP(MONTH(A126),$N$1:$O$12,2,0)</f>
        <v>Sep</v>
      </c>
      <c r="C126" s="1" t="s">
        <v>752</v>
      </c>
      <c r="D126" s="1" t="s">
        <v>12</v>
      </c>
      <c r="E126" s="1" t="s">
        <v>6</v>
      </c>
      <c r="F126" s="3">
        <v>95000</v>
      </c>
    </row>
    <row r="127" spans="1:10">
      <c r="A127" s="2">
        <v>41528</v>
      </c>
      <c r="B127" s="4" t="str">
        <f t="shared" si="32"/>
        <v>Sep</v>
      </c>
      <c r="C127" s="1" t="s">
        <v>4</v>
      </c>
      <c r="D127" s="1" t="s">
        <v>13</v>
      </c>
      <c r="E127" s="1" t="s">
        <v>5</v>
      </c>
      <c r="F127" s="3">
        <v>42</v>
      </c>
      <c r="G127" s="1" t="s">
        <v>744</v>
      </c>
      <c r="I127" s="1">
        <v>2</v>
      </c>
    </row>
    <row r="128" spans="1:10">
      <c r="A128" s="2">
        <v>41528</v>
      </c>
      <c r="B128" s="4" t="str">
        <f t="shared" si="32"/>
        <v>Sep</v>
      </c>
      <c r="C128" s="1" t="s">
        <v>4</v>
      </c>
      <c r="D128" s="1" t="s">
        <v>13</v>
      </c>
      <c r="E128" s="1" t="s">
        <v>5</v>
      </c>
      <c r="F128" s="3">
        <v>10</v>
      </c>
      <c r="G128" s="1" t="s">
        <v>105</v>
      </c>
      <c r="I128" s="1">
        <v>10</v>
      </c>
    </row>
    <row r="129" spans="1:10">
      <c r="A129" s="2">
        <v>41528</v>
      </c>
      <c r="B129" s="4" t="str">
        <f t="shared" si="32"/>
        <v>Sep</v>
      </c>
      <c r="C129" s="1" t="s">
        <v>4</v>
      </c>
      <c r="D129" s="1" t="s">
        <v>12</v>
      </c>
      <c r="E129" s="1" t="s">
        <v>5</v>
      </c>
      <c r="F129" s="3">
        <v>3</v>
      </c>
      <c r="G129" s="1" t="s">
        <v>104</v>
      </c>
      <c r="I129" s="1">
        <v>5</v>
      </c>
    </row>
    <row r="130" spans="1:10">
      <c r="A130" s="2">
        <v>41532</v>
      </c>
      <c r="B130" s="4" t="str">
        <f t="shared" si="31"/>
        <v>Sep</v>
      </c>
      <c r="C130" s="1" t="s">
        <v>753</v>
      </c>
      <c r="D130" s="1" t="s">
        <v>13</v>
      </c>
      <c r="E130" s="1" t="s">
        <v>6</v>
      </c>
      <c r="F130" s="3">
        <v>26538</v>
      </c>
      <c r="G130" s="1" t="s">
        <v>750</v>
      </c>
      <c r="I130" s="1">
        <v>3</v>
      </c>
      <c r="J130" s="1" t="s">
        <v>841</v>
      </c>
    </row>
    <row r="131" spans="1:10">
      <c r="A131" s="2">
        <v>41535</v>
      </c>
      <c r="B131" s="4" t="str">
        <f t="shared" si="31"/>
        <v>Sep</v>
      </c>
      <c r="C131" s="1" t="s">
        <v>753</v>
      </c>
      <c r="D131" s="1" t="s">
        <v>13</v>
      </c>
      <c r="E131" s="1" t="s">
        <v>6</v>
      </c>
      <c r="F131" s="3">
        <v>8846</v>
      </c>
      <c r="G131" s="1" t="s">
        <v>750</v>
      </c>
      <c r="I131" s="1">
        <v>1</v>
      </c>
    </row>
    <row r="132" spans="1:10">
      <c r="A132" s="2">
        <v>41535</v>
      </c>
      <c r="B132" s="4" t="str">
        <f t="shared" ref="B132:B133" si="33">VLOOKUP(MONTH(A132),$N$1:$O$12,2,0)</f>
        <v>Sep</v>
      </c>
      <c r="C132" s="1" t="s">
        <v>753</v>
      </c>
      <c r="D132" s="1" t="s">
        <v>13</v>
      </c>
      <c r="E132" s="1" t="s">
        <v>6</v>
      </c>
      <c r="F132" s="3">
        <v>1020</v>
      </c>
      <c r="G132" s="1" t="s">
        <v>100</v>
      </c>
      <c r="I132" s="1">
        <v>1</v>
      </c>
    </row>
    <row r="133" spans="1:10">
      <c r="A133" s="2">
        <v>41535</v>
      </c>
      <c r="B133" s="4" t="str">
        <f t="shared" si="33"/>
        <v>Sep</v>
      </c>
      <c r="C133" s="1" t="s">
        <v>753</v>
      </c>
      <c r="D133" s="1" t="s">
        <v>13</v>
      </c>
      <c r="E133" s="1" t="s">
        <v>6</v>
      </c>
      <c r="F133" s="3">
        <v>7</v>
      </c>
      <c r="G133" s="1" t="s">
        <v>101</v>
      </c>
      <c r="I133" s="1">
        <v>1</v>
      </c>
    </row>
    <row r="134" spans="1:10">
      <c r="A134" s="2">
        <v>41536</v>
      </c>
      <c r="B134" s="4" t="str">
        <f t="shared" si="31"/>
        <v>Sep</v>
      </c>
      <c r="C134" s="1" t="s">
        <v>9</v>
      </c>
      <c r="D134" s="1" t="s">
        <v>13</v>
      </c>
      <c r="E134" s="1" t="s">
        <v>5</v>
      </c>
      <c r="F134" s="3">
        <v>370</v>
      </c>
      <c r="G134" s="1" t="s">
        <v>78</v>
      </c>
      <c r="H134" s="1" t="s">
        <v>80</v>
      </c>
    </row>
    <row r="135" spans="1:10">
      <c r="A135" s="2">
        <v>41537</v>
      </c>
      <c r="B135" s="4" t="str">
        <f t="shared" si="31"/>
        <v>Sep</v>
      </c>
      <c r="C135" s="1" t="s">
        <v>801</v>
      </c>
      <c r="D135" s="1" t="s">
        <v>13</v>
      </c>
      <c r="E135" s="1" t="s">
        <v>6</v>
      </c>
      <c r="F135" s="3">
        <v>0</v>
      </c>
      <c r="G135" s="1" t="s">
        <v>79</v>
      </c>
    </row>
    <row r="136" spans="1:10">
      <c r="A136" s="2">
        <v>41537</v>
      </c>
      <c r="B136" s="4" t="str">
        <f t="shared" si="31"/>
        <v>Sep</v>
      </c>
      <c r="C136" s="1" t="s">
        <v>753</v>
      </c>
      <c r="D136" s="1" t="s">
        <v>13</v>
      </c>
      <c r="E136" s="1" t="s">
        <v>6</v>
      </c>
      <c r="F136" s="3">
        <v>17692</v>
      </c>
      <c r="G136" s="1" t="s">
        <v>750</v>
      </c>
      <c r="I136" s="1">
        <v>2</v>
      </c>
    </row>
    <row r="137" spans="1:10">
      <c r="A137" s="2">
        <v>41537</v>
      </c>
      <c r="B137" s="4" t="str">
        <f t="shared" si="31"/>
        <v>Sep</v>
      </c>
      <c r="C137" s="1" t="s">
        <v>753</v>
      </c>
      <c r="D137" s="1" t="s">
        <v>13</v>
      </c>
      <c r="E137" s="1" t="s">
        <v>6</v>
      </c>
      <c r="F137" s="3">
        <v>3060</v>
      </c>
      <c r="G137" s="1" t="s">
        <v>100</v>
      </c>
      <c r="I137" s="1">
        <v>3</v>
      </c>
    </row>
    <row r="138" spans="1:10">
      <c r="A138" s="2">
        <v>41537</v>
      </c>
      <c r="B138" s="4" t="str">
        <f t="shared" si="31"/>
        <v>Sep</v>
      </c>
      <c r="C138" s="1" t="s">
        <v>753</v>
      </c>
      <c r="D138" s="1" t="s">
        <v>13</v>
      </c>
      <c r="E138" s="1" t="s">
        <v>6</v>
      </c>
      <c r="F138" s="3">
        <v>2200</v>
      </c>
      <c r="G138" s="1" t="s">
        <v>102</v>
      </c>
      <c r="I138" s="1">
        <v>2</v>
      </c>
    </row>
    <row r="139" spans="1:10">
      <c r="A139" s="2">
        <v>41537</v>
      </c>
      <c r="B139" s="4" t="str">
        <f t="shared" si="31"/>
        <v>Sep</v>
      </c>
      <c r="C139" s="1" t="s">
        <v>753</v>
      </c>
      <c r="D139" s="1" t="s">
        <v>13</v>
      </c>
      <c r="E139" s="1" t="s">
        <v>6</v>
      </c>
      <c r="F139" s="3">
        <v>16</v>
      </c>
      <c r="G139" s="1" t="s">
        <v>101</v>
      </c>
      <c r="I139" s="1">
        <v>2</v>
      </c>
    </row>
    <row r="140" spans="1:10">
      <c r="A140" s="2">
        <v>41537</v>
      </c>
      <c r="B140" s="4" t="str">
        <f t="shared" si="31"/>
        <v>Sep</v>
      </c>
      <c r="C140" s="1" t="s">
        <v>753</v>
      </c>
      <c r="D140" s="1" t="s">
        <v>13</v>
      </c>
      <c r="E140" s="1" t="s">
        <v>6</v>
      </c>
      <c r="F140" s="3">
        <v>22</v>
      </c>
      <c r="G140" s="1" t="s">
        <v>101</v>
      </c>
      <c r="I140" s="1">
        <v>3</v>
      </c>
    </row>
    <row r="141" spans="1:10">
      <c r="A141" s="2">
        <v>41539</v>
      </c>
      <c r="B141" s="4" t="str">
        <f t="shared" si="31"/>
        <v>Sep</v>
      </c>
      <c r="C141" s="1" t="s">
        <v>801</v>
      </c>
      <c r="D141" s="1" t="s">
        <v>13</v>
      </c>
      <c r="E141" s="1" t="s">
        <v>6</v>
      </c>
      <c r="F141" s="3">
        <v>0</v>
      </c>
      <c r="G141" s="1" t="s">
        <v>79</v>
      </c>
    </row>
    <row r="142" spans="1:10">
      <c r="A142" s="2">
        <v>41539</v>
      </c>
      <c r="B142" s="4" t="str">
        <f t="shared" si="31"/>
        <v>Sep</v>
      </c>
      <c r="C142" s="1" t="s">
        <v>801</v>
      </c>
      <c r="D142" s="1" t="s">
        <v>13</v>
      </c>
      <c r="E142" s="1" t="s">
        <v>6</v>
      </c>
      <c r="F142" s="3">
        <v>650</v>
      </c>
      <c r="G142" s="1" t="s">
        <v>57</v>
      </c>
    </row>
    <row r="143" spans="1:10">
      <c r="A143" s="2">
        <v>41540</v>
      </c>
      <c r="B143" s="4" t="str">
        <f t="shared" si="31"/>
        <v>Sep</v>
      </c>
      <c r="C143" s="1" t="s">
        <v>753</v>
      </c>
      <c r="D143" s="1" t="s">
        <v>13</v>
      </c>
      <c r="E143" s="1" t="s">
        <v>6</v>
      </c>
      <c r="F143" s="3">
        <v>1100</v>
      </c>
      <c r="G143" s="1" t="s">
        <v>102</v>
      </c>
      <c r="I143" s="1">
        <v>1</v>
      </c>
      <c r="J143" s="1" t="s">
        <v>842</v>
      </c>
    </row>
    <row r="144" spans="1:10">
      <c r="A144" s="2">
        <v>41540</v>
      </c>
      <c r="B144" s="4" t="str">
        <f t="shared" ref="B144:B158" si="34">VLOOKUP(MONTH(A144),$N$1:$O$12,2,0)</f>
        <v>Sep</v>
      </c>
      <c r="C144" s="1" t="s">
        <v>753</v>
      </c>
      <c r="D144" s="1" t="s">
        <v>13</v>
      </c>
      <c r="E144" s="1" t="s">
        <v>6</v>
      </c>
      <c r="F144" s="3">
        <v>8</v>
      </c>
      <c r="G144" s="1" t="s">
        <v>101</v>
      </c>
      <c r="I144" s="1">
        <v>1</v>
      </c>
    </row>
    <row r="145" spans="1:10">
      <c r="A145" s="2">
        <v>41540</v>
      </c>
      <c r="B145" s="4" t="str">
        <f t="shared" si="34"/>
        <v>Sep</v>
      </c>
      <c r="C145" s="1" t="s">
        <v>753</v>
      </c>
      <c r="D145" s="1" t="s">
        <v>12</v>
      </c>
      <c r="E145" s="1" t="s">
        <v>6</v>
      </c>
      <c r="F145" s="3">
        <v>1500</v>
      </c>
      <c r="G145" s="1" t="s">
        <v>161</v>
      </c>
      <c r="I145" s="1">
        <v>1</v>
      </c>
    </row>
    <row r="146" spans="1:10">
      <c r="A146" s="2">
        <v>41540</v>
      </c>
      <c r="B146" s="4" t="str">
        <f t="shared" si="34"/>
        <v>Sep</v>
      </c>
      <c r="C146" s="1" t="s">
        <v>14</v>
      </c>
      <c r="D146" s="1" t="s">
        <v>12</v>
      </c>
      <c r="E146" s="1" t="s">
        <v>6</v>
      </c>
      <c r="F146" s="3">
        <v>3960</v>
      </c>
      <c r="G146" s="1" t="s">
        <v>95</v>
      </c>
    </row>
    <row r="147" spans="1:10">
      <c r="A147" s="2">
        <v>41542</v>
      </c>
      <c r="B147" s="4" t="str">
        <f t="shared" si="34"/>
        <v>Sep</v>
      </c>
      <c r="C147" s="1" t="s">
        <v>832</v>
      </c>
      <c r="D147" s="1" t="s">
        <v>13</v>
      </c>
      <c r="E147" s="1" t="s">
        <v>5</v>
      </c>
      <c r="F147" s="3">
        <v>58</v>
      </c>
      <c r="G147" s="1" t="s">
        <v>164</v>
      </c>
      <c r="I147" s="1">
        <v>1</v>
      </c>
    </row>
    <row r="148" spans="1:10">
      <c r="A148" s="2">
        <v>41542</v>
      </c>
      <c r="B148" s="4" t="str">
        <f t="shared" si="34"/>
        <v>Sep</v>
      </c>
      <c r="C148" s="1" t="s">
        <v>832</v>
      </c>
      <c r="D148" s="1" t="s">
        <v>13</v>
      </c>
      <c r="E148" s="1" t="s">
        <v>5</v>
      </c>
      <c r="F148" s="3">
        <v>77</v>
      </c>
      <c r="G148" s="3" t="s">
        <v>167</v>
      </c>
      <c r="I148" s="1">
        <v>1</v>
      </c>
    </row>
    <row r="149" spans="1:10">
      <c r="A149" s="2">
        <v>41542</v>
      </c>
      <c r="B149" s="4" t="str">
        <f t="shared" si="34"/>
        <v>Sep</v>
      </c>
      <c r="C149" s="1" t="s">
        <v>832</v>
      </c>
      <c r="D149" s="1" t="s">
        <v>13</v>
      </c>
      <c r="E149" s="1" t="s">
        <v>5</v>
      </c>
      <c r="F149" s="3">
        <v>8</v>
      </c>
      <c r="G149" s="1" t="s">
        <v>101</v>
      </c>
      <c r="I149" s="1">
        <v>1</v>
      </c>
    </row>
    <row r="150" spans="1:10">
      <c r="A150" s="2">
        <v>41542</v>
      </c>
      <c r="B150" s="4" t="str">
        <f t="shared" si="34"/>
        <v>Sep</v>
      </c>
      <c r="C150" s="1" t="s">
        <v>832</v>
      </c>
      <c r="D150" s="1" t="s">
        <v>13</v>
      </c>
      <c r="E150" s="1" t="s">
        <v>5</v>
      </c>
      <c r="F150" s="3">
        <v>16</v>
      </c>
      <c r="G150" s="1" t="s">
        <v>101</v>
      </c>
      <c r="I150" s="1">
        <v>1</v>
      </c>
    </row>
    <row r="151" spans="1:10">
      <c r="A151" s="2">
        <v>41542</v>
      </c>
      <c r="B151" s="4" t="str">
        <f t="shared" si="34"/>
        <v>Sep</v>
      </c>
      <c r="C151" s="1" t="s">
        <v>832</v>
      </c>
      <c r="D151" s="1" t="s">
        <v>13</v>
      </c>
      <c r="E151" s="1" t="s">
        <v>5</v>
      </c>
      <c r="F151" s="3">
        <v>7</v>
      </c>
      <c r="G151" s="1" t="s">
        <v>101</v>
      </c>
      <c r="I151" s="1">
        <v>1</v>
      </c>
    </row>
    <row r="152" spans="1:10">
      <c r="A152" s="2">
        <v>41542</v>
      </c>
      <c r="B152" s="4" t="str">
        <f t="shared" si="34"/>
        <v>Sep</v>
      </c>
      <c r="C152" s="1" t="s">
        <v>835</v>
      </c>
      <c r="D152" s="1" t="s">
        <v>12</v>
      </c>
      <c r="E152" s="1" t="s">
        <v>6</v>
      </c>
      <c r="F152" s="3">
        <v>30000</v>
      </c>
      <c r="G152" s="1" t="s">
        <v>831</v>
      </c>
    </row>
    <row r="153" spans="1:10">
      <c r="A153" s="2">
        <v>41542</v>
      </c>
      <c r="B153" s="4" t="str">
        <f t="shared" si="34"/>
        <v>Sep</v>
      </c>
      <c r="C153" s="1" t="s">
        <v>832</v>
      </c>
      <c r="D153" s="1" t="s">
        <v>12</v>
      </c>
      <c r="E153" s="1" t="s">
        <v>6</v>
      </c>
      <c r="F153" s="3">
        <v>627</v>
      </c>
      <c r="G153" s="1" t="s">
        <v>159</v>
      </c>
      <c r="I153" s="1">
        <v>6</v>
      </c>
    </row>
    <row r="154" spans="1:10">
      <c r="A154" s="2">
        <v>41542</v>
      </c>
      <c r="B154" s="4" t="str">
        <f t="shared" si="34"/>
        <v>Sep</v>
      </c>
      <c r="C154" s="1" t="s">
        <v>832</v>
      </c>
      <c r="D154" s="1" t="s">
        <v>12</v>
      </c>
      <c r="E154" s="1" t="s">
        <v>6</v>
      </c>
      <c r="F154" s="3">
        <v>49</v>
      </c>
      <c r="G154" s="1" t="s">
        <v>101</v>
      </c>
      <c r="I154" s="1">
        <v>6</v>
      </c>
    </row>
    <row r="155" spans="1:10">
      <c r="A155" s="2">
        <v>41542</v>
      </c>
      <c r="B155" s="4" t="str">
        <f t="shared" si="34"/>
        <v>Sep</v>
      </c>
      <c r="C155" s="1" t="s">
        <v>832</v>
      </c>
      <c r="D155" s="1" t="s">
        <v>12</v>
      </c>
      <c r="E155" s="1" t="s">
        <v>6</v>
      </c>
      <c r="F155" s="3">
        <v>282</v>
      </c>
      <c r="G155" s="1" t="s">
        <v>168</v>
      </c>
      <c r="I155" s="1">
        <v>1</v>
      </c>
      <c r="J155" s="1" t="s">
        <v>834</v>
      </c>
    </row>
    <row r="156" spans="1:10">
      <c r="A156" s="2">
        <v>41542</v>
      </c>
      <c r="B156" s="4" t="str">
        <f t="shared" si="34"/>
        <v>Sep</v>
      </c>
      <c r="C156" s="1" t="s">
        <v>832</v>
      </c>
      <c r="D156" s="1" t="s">
        <v>12</v>
      </c>
      <c r="E156" s="1" t="s">
        <v>6</v>
      </c>
      <c r="F156" s="3">
        <v>11</v>
      </c>
      <c r="G156" s="1" t="s">
        <v>169</v>
      </c>
      <c r="I156" s="1">
        <v>5</v>
      </c>
    </row>
    <row r="157" spans="1:10">
      <c r="A157" s="2">
        <v>41542</v>
      </c>
      <c r="B157" s="4" t="str">
        <f t="shared" si="34"/>
        <v>Sep</v>
      </c>
      <c r="C157" s="1" t="s">
        <v>832</v>
      </c>
      <c r="D157" s="1" t="s">
        <v>12</v>
      </c>
      <c r="E157" s="1" t="s">
        <v>6</v>
      </c>
      <c r="F157" s="3">
        <v>40</v>
      </c>
      <c r="G157" s="1" t="s">
        <v>170</v>
      </c>
      <c r="I157" s="1">
        <v>1</v>
      </c>
    </row>
    <row r="158" spans="1:10">
      <c r="A158" s="2">
        <v>41547</v>
      </c>
      <c r="B158" s="4" t="str">
        <f t="shared" si="34"/>
        <v>Sep</v>
      </c>
      <c r="C158" s="1" t="s">
        <v>845</v>
      </c>
      <c r="D158" s="1" t="s">
        <v>13</v>
      </c>
      <c r="E158" s="1" t="s">
        <v>6</v>
      </c>
      <c r="F158" s="3">
        <v>418</v>
      </c>
      <c r="G158" s="1" t="s">
        <v>159</v>
      </c>
      <c r="I158" s="1">
        <v>4</v>
      </c>
    </row>
    <row r="159" spans="1:10">
      <c r="A159" s="2">
        <v>41547</v>
      </c>
      <c r="B159" s="4" t="str">
        <f t="shared" ref="B159:B164" si="35">VLOOKUP(MONTH(A159),$N$1:$O$12,2,0)</f>
        <v>Sep</v>
      </c>
      <c r="C159" s="1" t="s">
        <v>845</v>
      </c>
      <c r="D159" s="1" t="s">
        <v>13</v>
      </c>
      <c r="E159" s="1" t="s">
        <v>6</v>
      </c>
      <c r="F159" s="3">
        <v>33</v>
      </c>
      <c r="G159" s="1" t="s">
        <v>101</v>
      </c>
      <c r="I159" s="1">
        <v>4</v>
      </c>
    </row>
    <row r="160" spans="1:10">
      <c r="A160" s="2">
        <v>41547</v>
      </c>
      <c r="B160" s="4" t="str">
        <f t="shared" si="35"/>
        <v>Sep</v>
      </c>
      <c r="C160" s="1" t="s">
        <v>845</v>
      </c>
      <c r="D160" s="1" t="s">
        <v>13</v>
      </c>
      <c r="E160" s="1" t="s">
        <v>6</v>
      </c>
      <c r="F160" s="3">
        <v>531</v>
      </c>
      <c r="G160" s="1" t="s">
        <v>182</v>
      </c>
      <c r="I160" s="1">
        <v>15</v>
      </c>
    </row>
    <row r="161" spans="1:9">
      <c r="A161" s="2">
        <v>41547</v>
      </c>
      <c r="B161" s="4" t="str">
        <f t="shared" si="35"/>
        <v>Sep</v>
      </c>
      <c r="C161" s="1" t="s">
        <v>845</v>
      </c>
      <c r="D161" s="1" t="s">
        <v>13</v>
      </c>
      <c r="E161" s="1" t="s">
        <v>6</v>
      </c>
      <c r="F161" s="3">
        <v>10</v>
      </c>
      <c r="G161" s="1" t="s">
        <v>104</v>
      </c>
      <c r="I161" s="1">
        <v>10</v>
      </c>
    </row>
    <row r="162" spans="1:9">
      <c r="A162" s="2">
        <v>41547</v>
      </c>
      <c r="B162" s="4" t="str">
        <f t="shared" si="35"/>
        <v>Sep</v>
      </c>
      <c r="C162" s="1" t="s">
        <v>845</v>
      </c>
      <c r="D162" s="1" t="s">
        <v>13</v>
      </c>
      <c r="E162" s="1" t="s">
        <v>6</v>
      </c>
      <c r="F162" s="3">
        <v>2</v>
      </c>
      <c r="G162" s="1" t="s">
        <v>183</v>
      </c>
      <c r="I162" s="1">
        <v>10</v>
      </c>
    </row>
    <row r="163" spans="1:9">
      <c r="A163" s="2">
        <v>41547</v>
      </c>
      <c r="B163" s="4" t="str">
        <f t="shared" si="35"/>
        <v>Sep</v>
      </c>
      <c r="C163" s="1" t="s">
        <v>845</v>
      </c>
      <c r="D163" s="1" t="s">
        <v>13</v>
      </c>
      <c r="E163" s="1" t="s">
        <v>6</v>
      </c>
      <c r="F163" s="3">
        <v>94</v>
      </c>
      <c r="G163" s="1" t="s">
        <v>184</v>
      </c>
      <c r="I163" s="1">
        <v>15</v>
      </c>
    </row>
    <row r="164" spans="1:9">
      <c r="A164" s="2">
        <v>41561</v>
      </c>
      <c r="B164" s="4" t="str">
        <f t="shared" si="35"/>
        <v>Oct</v>
      </c>
      <c r="C164" s="1" t="s">
        <v>801</v>
      </c>
      <c r="D164" s="1" t="s">
        <v>13</v>
      </c>
      <c r="E164" s="1" t="s">
        <v>6</v>
      </c>
      <c r="F164" s="3">
        <v>850</v>
      </c>
      <c r="G164" s="1" t="s">
        <v>502</v>
      </c>
      <c r="H164" s="1" t="s">
        <v>1112</v>
      </c>
    </row>
    <row r="173" spans="1:9">
      <c r="F173" s="3">
        <f>SUM(F2:F172)</f>
        <v>649252</v>
      </c>
    </row>
    <row r="176" spans="1:9">
      <c r="A176" s="2">
        <v>41372</v>
      </c>
      <c r="B176" s="4" t="str">
        <f t="shared" ref="B176" si="36">VLOOKUP(MONTH(A176),$N$1:$O$12,2,0)</f>
        <v>Apr</v>
      </c>
      <c r="C176" s="1" t="s">
        <v>200</v>
      </c>
      <c r="D176" s="1" t="s">
        <v>13</v>
      </c>
      <c r="E176" s="1" t="s">
        <v>201</v>
      </c>
      <c r="F176" s="3">
        <v>650</v>
      </c>
      <c r="G176" s="1" t="s">
        <v>203</v>
      </c>
      <c r="H176" s="1" t="s">
        <v>202</v>
      </c>
    </row>
    <row r="177" spans="1:9">
      <c r="A177" s="2">
        <v>41372</v>
      </c>
      <c r="B177" s="4" t="str">
        <f t="shared" ref="B177:B179" si="37">VLOOKUP(MONTH(A177),$N$1:$O$12,2,0)</f>
        <v>Apr</v>
      </c>
      <c r="C177" s="1" t="s">
        <v>200</v>
      </c>
      <c r="D177" s="1" t="s">
        <v>13</v>
      </c>
      <c r="E177" s="1" t="s">
        <v>201</v>
      </c>
      <c r="F177" s="3">
        <v>5500</v>
      </c>
      <c r="G177" s="1" t="s">
        <v>204</v>
      </c>
      <c r="H177" s="1" t="s">
        <v>202</v>
      </c>
    </row>
    <row r="178" spans="1:9">
      <c r="A178" s="2">
        <v>41372</v>
      </c>
      <c r="B178" s="4" t="str">
        <f t="shared" si="37"/>
        <v>Apr</v>
      </c>
      <c r="C178" s="1" t="s">
        <v>200</v>
      </c>
      <c r="D178" s="1" t="s">
        <v>13</v>
      </c>
      <c r="E178" s="1" t="s">
        <v>201</v>
      </c>
      <c r="F178" s="3">
        <v>440</v>
      </c>
      <c r="G178" s="1" t="s">
        <v>205</v>
      </c>
      <c r="H178" s="1" t="s">
        <v>202</v>
      </c>
    </row>
    <row r="179" spans="1:9">
      <c r="A179" s="2">
        <v>41372</v>
      </c>
      <c r="B179" s="4" t="str">
        <f t="shared" si="37"/>
        <v>Apr</v>
      </c>
      <c r="C179" s="1" t="s">
        <v>200</v>
      </c>
      <c r="D179" s="1" t="s">
        <v>13</v>
      </c>
      <c r="E179" s="1" t="s">
        <v>201</v>
      </c>
      <c r="F179" s="3">
        <v>2000</v>
      </c>
      <c r="G179" s="1" t="s">
        <v>206</v>
      </c>
      <c r="H179" s="1" t="s">
        <v>202</v>
      </c>
    </row>
    <row r="180" spans="1:9">
      <c r="F180" s="3">
        <f>SUM(F176:F179)</f>
        <v>8590</v>
      </c>
    </row>
    <row r="181" spans="1:9">
      <c r="A181" s="2">
        <v>41406</v>
      </c>
      <c r="B181" s="4" t="str">
        <f t="shared" ref="B181:B244" si="38">VLOOKUP(MONTH(A181),$N$1:$O$12,2,0)</f>
        <v>May</v>
      </c>
      <c r="C181" s="1" t="s">
        <v>508</v>
      </c>
      <c r="D181" s="1" t="s">
        <v>13</v>
      </c>
      <c r="E181" s="1" t="s">
        <v>6</v>
      </c>
      <c r="F181" s="3">
        <v>2.2000000000000002</v>
      </c>
      <c r="G181" s="1" t="s">
        <v>509</v>
      </c>
      <c r="I181" s="1">
        <v>4</v>
      </c>
    </row>
    <row r="182" spans="1:9">
      <c r="A182" s="2">
        <v>41406</v>
      </c>
      <c r="B182" s="4" t="str">
        <f t="shared" si="38"/>
        <v>May</v>
      </c>
      <c r="C182" s="1" t="s">
        <v>508</v>
      </c>
      <c r="D182" s="1" t="s">
        <v>13</v>
      </c>
      <c r="E182" s="1" t="s">
        <v>6</v>
      </c>
      <c r="F182" s="3">
        <v>23.72</v>
      </c>
      <c r="G182" s="1" t="s">
        <v>506</v>
      </c>
      <c r="I182" s="1">
        <v>4</v>
      </c>
    </row>
    <row r="183" spans="1:9">
      <c r="A183" s="2">
        <v>41406</v>
      </c>
      <c r="B183" s="4" t="str">
        <f t="shared" si="38"/>
        <v>May</v>
      </c>
      <c r="C183" s="1" t="s">
        <v>508</v>
      </c>
      <c r="D183" s="1" t="s">
        <v>13</v>
      </c>
      <c r="E183" s="1" t="s">
        <v>6</v>
      </c>
      <c r="F183" s="3">
        <v>270</v>
      </c>
      <c r="G183" s="1" t="s">
        <v>507</v>
      </c>
      <c r="I183" s="1">
        <v>6</v>
      </c>
    </row>
    <row r="184" spans="1:9">
      <c r="A184" s="2">
        <v>41407</v>
      </c>
      <c r="B184" s="4" t="str">
        <f t="shared" si="38"/>
        <v>May</v>
      </c>
      <c r="C184" s="1" t="s">
        <v>508</v>
      </c>
      <c r="D184" s="1" t="s">
        <v>13</v>
      </c>
      <c r="E184" s="1" t="s">
        <v>6</v>
      </c>
      <c r="F184" s="3">
        <v>23.72</v>
      </c>
      <c r="G184" s="1" t="s">
        <v>506</v>
      </c>
      <c r="I184" s="1">
        <v>4</v>
      </c>
    </row>
    <row r="185" spans="1:9">
      <c r="A185" s="2">
        <v>41407</v>
      </c>
      <c r="B185" s="4" t="str">
        <f t="shared" si="38"/>
        <v>May</v>
      </c>
      <c r="C185" s="1" t="s">
        <v>508</v>
      </c>
      <c r="D185" s="1" t="s">
        <v>13</v>
      </c>
      <c r="E185" s="1" t="s">
        <v>6</v>
      </c>
      <c r="F185" s="3">
        <v>9.75</v>
      </c>
      <c r="G185" s="1" t="s">
        <v>101</v>
      </c>
      <c r="I185" s="1">
        <v>1</v>
      </c>
    </row>
    <row r="186" spans="1:9">
      <c r="A186" s="2">
        <v>41407</v>
      </c>
      <c r="B186" s="4" t="str">
        <f t="shared" si="38"/>
        <v>May</v>
      </c>
      <c r="C186" s="1" t="s">
        <v>508</v>
      </c>
      <c r="D186" s="1" t="s">
        <v>13</v>
      </c>
      <c r="E186" s="1" t="s">
        <v>6</v>
      </c>
      <c r="F186" s="3">
        <v>1.1000000000000001</v>
      </c>
      <c r="G186" s="1" t="s">
        <v>509</v>
      </c>
      <c r="I186" s="1">
        <v>2</v>
      </c>
    </row>
    <row r="187" spans="1:9">
      <c r="A187" s="2">
        <v>41407</v>
      </c>
      <c r="B187" s="4" t="str">
        <f t="shared" si="38"/>
        <v>May</v>
      </c>
      <c r="C187" s="1" t="s">
        <v>508</v>
      </c>
      <c r="D187" s="1" t="s">
        <v>13</v>
      </c>
      <c r="E187" s="1" t="s">
        <v>6</v>
      </c>
      <c r="F187" s="3">
        <v>59</v>
      </c>
      <c r="G187" s="1" t="s">
        <v>510</v>
      </c>
      <c r="I187" s="1">
        <v>1</v>
      </c>
    </row>
    <row r="188" spans="1:9">
      <c r="A188" s="2">
        <v>41407</v>
      </c>
      <c r="B188" s="4" t="str">
        <f t="shared" si="38"/>
        <v>May</v>
      </c>
      <c r="C188" s="1" t="s">
        <v>508</v>
      </c>
      <c r="D188" s="1" t="s">
        <v>13</v>
      </c>
      <c r="E188" s="1" t="s">
        <v>6</v>
      </c>
      <c r="F188" s="3">
        <v>105</v>
      </c>
      <c r="G188" s="1" t="s">
        <v>511</v>
      </c>
      <c r="I188" s="1">
        <v>1</v>
      </c>
    </row>
    <row r="189" spans="1:9">
      <c r="A189" s="2">
        <v>41407</v>
      </c>
      <c r="B189" s="4" t="str">
        <f t="shared" si="38"/>
        <v>May</v>
      </c>
      <c r="C189" s="1" t="s">
        <v>508</v>
      </c>
      <c r="D189" s="1" t="s">
        <v>13</v>
      </c>
      <c r="E189" s="1" t="s">
        <v>6</v>
      </c>
      <c r="F189" s="3">
        <v>9.81</v>
      </c>
      <c r="G189" s="1" t="s">
        <v>512</v>
      </c>
      <c r="I189" s="1">
        <v>3</v>
      </c>
    </row>
    <row r="190" spans="1:9">
      <c r="A190" s="2">
        <v>41408</v>
      </c>
      <c r="B190" s="4" t="str">
        <f t="shared" si="38"/>
        <v>May</v>
      </c>
      <c r="C190" s="1" t="s">
        <v>508</v>
      </c>
      <c r="D190" s="1" t="s">
        <v>13</v>
      </c>
      <c r="E190" s="1" t="s">
        <v>6</v>
      </c>
      <c r="F190" s="3">
        <v>5.93</v>
      </c>
      <c r="G190" s="1" t="s">
        <v>506</v>
      </c>
      <c r="I190" s="1">
        <v>1</v>
      </c>
    </row>
    <row r="191" spans="1:9">
      <c r="A191" s="2">
        <v>41408</v>
      </c>
      <c r="B191" s="4" t="str">
        <f t="shared" si="38"/>
        <v>May</v>
      </c>
      <c r="C191" s="1" t="s">
        <v>508</v>
      </c>
      <c r="D191" s="1" t="s">
        <v>13</v>
      </c>
      <c r="E191" s="1" t="s">
        <v>6</v>
      </c>
      <c r="F191" s="3">
        <v>45</v>
      </c>
      <c r="G191" s="1" t="s">
        <v>507</v>
      </c>
      <c r="I191" s="1">
        <v>1</v>
      </c>
    </row>
    <row r="192" spans="1:9">
      <c r="A192" s="2">
        <v>41409</v>
      </c>
      <c r="B192" s="4" t="str">
        <f t="shared" si="38"/>
        <v>May</v>
      </c>
      <c r="C192" s="1" t="s">
        <v>508</v>
      </c>
      <c r="D192" s="1" t="s">
        <v>13</v>
      </c>
      <c r="E192" s="1" t="s">
        <v>6</v>
      </c>
      <c r="F192" s="3">
        <v>0.55000000000000004</v>
      </c>
      <c r="G192" s="1" t="s">
        <v>509</v>
      </c>
      <c r="I192" s="1">
        <v>1</v>
      </c>
    </row>
    <row r="193" spans="1:9">
      <c r="A193" s="2">
        <v>41409</v>
      </c>
      <c r="B193" s="4" t="str">
        <f t="shared" si="38"/>
        <v>May</v>
      </c>
      <c r="C193" s="1" t="s">
        <v>508</v>
      </c>
      <c r="D193" s="1" t="s">
        <v>13</v>
      </c>
      <c r="E193" s="1" t="s">
        <v>6</v>
      </c>
      <c r="F193" s="3">
        <v>0.55000000000000004</v>
      </c>
      <c r="G193" s="1" t="s">
        <v>509</v>
      </c>
      <c r="I193" s="1">
        <v>1</v>
      </c>
    </row>
    <row r="194" spans="1:9">
      <c r="A194" s="2">
        <v>41409</v>
      </c>
      <c r="B194" s="4" t="str">
        <f t="shared" si="38"/>
        <v>May</v>
      </c>
      <c r="C194" s="1" t="s">
        <v>508</v>
      </c>
      <c r="D194" s="1" t="s">
        <v>13</v>
      </c>
      <c r="E194" s="1" t="s">
        <v>6</v>
      </c>
      <c r="F194" s="3">
        <v>9.75</v>
      </c>
      <c r="G194" s="1" t="s">
        <v>101</v>
      </c>
      <c r="I194" s="1">
        <v>1</v>
      </c>
    </row>
    <row r="195" spans="1:9">
      <c r="A195" s="2">
        <v>41409</v>
      </c>
      <c r="B195" s="4" t="str">
        <f t="shared" si="38"/>
        <v>May</v>
      </c>
      <c r="C195" s="1" t="s">
        <v>508</v>
      </c>
      <c r="D195" s="1" t="s">
        <v>13</v>
      </c>
      <c r="E195" s="1" t="s">
        <v>6</v>
      </c>
      <c r="F195" s="3">
        <v>8.25</v>
      </c>
      <c r="G195" s="1" t="s">
        <v>101</v>
      </c>
      <c r="I195" s="1">
        <v>1</v>
      </c>
    </row>
    <row r="196" spans="1:9">
      <c r="A196" s="2">
        <v>41409</v>
      </c>
      <c r="B196" s="4" t="str">
        <f t="shared" si="38"/>
        <v>May</v>
      </c>
      <c r="C196" s="1" t="s">
        <v>508</v>
      </c>
      <c r="D196" s="1" t="s">
        <v>13</v>
      </c>
      <c r="E196" s="1" t="s">
        <v>6</v>
      </c>
      <c r="F196" s="3">
        <v>59</v>
      </c>
      <c r="G196" s="1" t="s">
        <v>510</v>
      </c>
      <c r="I196" s="1">
        <v>1</v>
      </c>
    </row>
    <row r="197" spans="1:9">
      <c r="A197" s="2">
        <v>41409</v>
      </c>
      <c r="B197" s="4" t="str">
        <f t="shared" si="38"/>
        <v>May</v>
      </c>
      <c r="C197" s="1" t="s">
        <v>508</v>
      </c>
      <c r="D197" s="1" t="s">
        <v>13</v>
      </c>
      <c r="E197" s="1" t="s">
        <v>6</v>
      </c>
      <c r="F197" s="3">
        <v>105</v>
      </c>
      <c r="G197" s="1" t="s">
        <v>511</v>
      </c>
      <c r="I197" s="1">
        <v>1</v>
      </c>
    </row>
    <row r="198" spans="1:9">
      <c r="A198" s="2">
        <v>41410</v>
      </c>
      <c r="B198" s="4" t="str">
        <f t="shared" si="38"/>
        <v>May</v>
      </c>
      <c r="C198" s="1" t="s">
        <v>508</v>
      </c>
      <c r="D198" s="1" t="s">
        <v>13</v>
      </c>
      <c r="E198" s="1" t="s">
        <v>6</v>
      </c>
      <c r="F198" s="3">
        <v>105</v>
      </c>
      <c r="G198" s="1" t="s">
        <v>511</v>
      </c>
      <c r="I198" s="1">
        <v>1</v>
      </c>
    </row>
    <row r="199" spans="1:9">
      <c r="A199" s="2">
        <v>41410</v>
      </c>
      <c r="B199" s="4" t="str">
        <f t="shared" si="38"/>
        <v>May</v>
      </c>
      <c r="C199" s="1" t="s">
        <v>508</v>
      </c>
      <c r="D199" s="1" t="s">
        <v>13</v>
      </c>
      <c r="E199" s="1" t="s">
        <v>6</v>
      </c>
      <c r="F199" s="3">
        <v>5.93</v>
      </c>
      <c r="G199" s="1" t="s">
        <v>506</v>
      </c>
      <c r="I199" s="1">
        <v>1</v>
      </c>
    </row>
    <row r="200" spans="1:9">
      <c r="A200" s="2">
        <v>41410</v>
      </c>
      <c r="B200" s="4" t="str">
        <f t="shared" si="38"/>
        <v>May</v>
      </c>
      <c r="C200" s="1" t="s">
        <v>508</v>
      </c>
      <c r="D200" s="1" t="s">
        <v>13</v>
      </c>
      <c r="E200" s="1" t="s">
        <v>6</v>
      </c>
      <c r="F200" s="3">
        <v>27.75</v>
      </c>
      <c r="G200" s="1" t="s">
        <v>513</v>
      </c>
      <c r="I200" s="1">
        <v>1</v>
      </c>
    </row>
    <row r="201" spans="1:9">
      <c r="A201" s="2">
        <v>41410</v>
      </c>
      <c r="B201" s="4" t="str">
        <f t="shared" si="38"/>
        <v>May</v>
      </c>
      <c r="C201" s="1" t="s">
        <v>508</v>
      </c>
      <c r="D201" s="1" t="s">
        <v>13</v>
      </c>
      <c r="E201" s="1" t="s">
        <v>6</v>
      </c>
      <c r="F201" s="3">
        <v>29.25</v>
      </c>
      <c r="G201" s="1" t="s">
        <v>101</v>
      </c>
      <c r="I201" s="1">
        <v>3</v>
      </c>
    </row>
    <row r="202" spans="1:9">
      <c r="A202" s="2">
        <v>41410</v>
      </c>
      <c r="B202" s="4" t="str">
        <f t="shared" si="38"/>
        <v>May</v>
      </c>
      <c r="C202" s="1" t="s">
        <v>508</v>
      </c>
      <c r="D202" s="1" t="s">
        <v>13</v>
      </c>
      <c r="E202" s="1" t="s">
        <v>6</v>
      </c>
      <c r="F202" s="3">
        <v>7.25</v>
      </c>
      <c r="G202" s="1" t="s">
        <v>101</v>
      </c>
      <c r="I202" s="1">
        <v>1</v>
      </c>
    </row>
    <row r="203" spans="1:9">
      <c r="A203" s="2">
        <v>41410</v>
      </c>
      <c r="B203" s="4" t="str">
        <f t="shared" si="38"/>
        <v>May</v>
      </c>
      <c r="C203" s="1" t="s">
        <v>508</v>
      </c>
      <c r="D203" s="1" t="s">
        <v>13</v>
      </c>
      <c r="E203" s="1" t="s">
        <v>6</v>
      </c>
      <c r="F203" s="3">
        <v>15.5</v>
      </c>
      <c r="G203" s="1" t="s">
        <v>101</v>
      </c>
      <c r="I203" s="1">
        <v>1</v>
      </c>
    </row>
    <row r="204" spans="1:9">
      <c r="A204" s="2">
        <v>41410</v>
      </c>
      <c r="B204" s="4" t="str">
        <f t="shared" si="38"/>
        <v>May</v>
      </c>
      <c r="C204" s="1" t="s">
        <v>508</v>
      </c>
      <c r="D204" s="1" t="s">
        <v>13</v>
      </c>
      <c r="E204" s="1" t="s">
        <v>6</v>
      </c>
      <c r="F204" s="3">
        <v>2</v>
      </c>
      <c r="G204" s="1" t="s">
        <v>514</v>
      </c>
      <c r="I204" s="1">
        <v>1</v>
      </c>
    </row>
    <row r="205" spans="1:9">
      <c r="A205" s="2">
        <v>41410</v>
      </c>
      <c r="B205" s="4" t="str">
        <f t="shared" si="38"/>
        <v>May</v>
      </c>
      <c r="C205" s="1" t="s">
        <v>508</v>
      </c>
      <c r="D205" s="1" t="s">
        <v>13</v>
      </c>
      <c r="E205" s="1" t="s">
        <v>6</v>
      </c>
      <c r="F205" s="3">
        <v>112</v>
      </c>
      <c r="G205" s="1" t="s">
        <v>515</v>
      </c>
      <c r="I205" s="1">
        <v>2</v>
      </c>
    </row>
    <row r="206" spans="1:9">
      <c r="A206" s="2">
        <v>41411</v>
      </c>
      <c r="B206" s="4" t="str">
        <f t="shared" si="38"/>
        <v>May</v>
      </c>
      <c r="C206" s="1" t="s">
        <v>508</v>
      </c>
      <c r="D206" s="1" t="s">
        <v>13</v>
      </c>
      <c r="E206" s="1" t="s">
        <v>6</v>
      </c>
      <c r="F206" s="3">
        <v>135</v>
      </c>
      <c r="G206" s="1" t="s">
        <v>507</v>
      </c>
      <c r="I206" s="1">
        <v>3</v>
      </c>
    </row>
    <row r="207" spans="1:9">
      <c r="A207" s="2">
        <v>41411</v>
      </c>
      <c r="B207" s="4" t="str">
        <f t="shared" si="38"/>
        <v>May</v>
      </c>
      <c r="C207" s="1" t="s">
        <v>508</v>
      </c>
      <c r="D207" s="1" t="s">
        <v>13</v>
      </c>
      <c r="E207" s="1" t="s">
        <v>6</v>
      </c>
      <c r="F207" s="3">
        <v>14</v>
      </c>
      <c r="G207" s="1" t="s">
        <v>518</v>
      </c>
      <c r="I207" s="1">
        <v>2</v>
      </c>
    </row>
    <row r="208" spans="1:9">
      <c r="A208" s="2">
        <v>41411</v>
      </c>
      <c r="B208" s="4" t="str">
        <f t="shared" si="38"/>
        <v>May</v>
      </c>
      <c r="C208" s="1" t="s">
        <v>508</v>
      </c>
      <c r="D208" s="1" t="s">
        <v>13</v>
      </c>
      <c r="E208" s="1" t="s">
        <v>6</v>
      </c>
      <c r="F208" s="3">
        <v>75</v>
      </c>
      <c r="G208" s="1" t="s">
        <v>519</v>
      </c>
      <c r="I208" s="1">
        <v>1</v>
      </c>
    </row>
    <row r="209" spans="1:9">
      <c r="A209" s="2">
        <v>41411</v>
      </c>
      <c r="B209" s="4" t="str">
        <f t="shared" si="38"/>
        <v>May</v>
      </c>
      <c r="C209" s="1" t="s">
        <v>508</v>
      </c>
      <c r="D209" s="1" t="s">
        <v>13</v>
      </c>
      <c r="E209" s="1" t="s">
        <v>6</v>
      </c>
      <c r="F209" s="3">
        <v>35.200000000000003</v>
      </c>
      <c r="G209" s="1" t="s">
        <v>520</v>
      </c>
      <c r="I209" s="1">
        <v>1</v>
      </c>
    </row>
    <row r="210" spans="1:9">
      <c r="A210" s="2">
        <v>41411</v>
      </c>
      <c r="B210" s="4" t="str">
        <f t="shared" si="38"/>
        <v>May</v>
      </c>
      <c r="C210" s="1" t="s">
        <v>508</v>
      </c>
      <c r="D210" s="1" t="s">
        <v>13</v>
      </c>
      <c r="E210" s="1" t="s">
        <v>6</v>
      </c>
      <c r="F210" s="3">
        <v>19.5</v>
      </c>
      <c r="G210" s="1" t="s">
        <v>101</v>
      </c>
      <c r="I210" s="1">
        <v>2</v>
      </c>
    </row>
    <row r="211" spans="1:9">
      <c r="A211" s="2">
        <v>41411</v>
      </c>
      <c r="B211" s="4" t="str">
        <f t="shared" si="38"/>
        <v>May</v>
      </c>
      <c r="C211" s="1" t="s">
        <v>508</v>
      </c>
      <c r="D211" s="1" t="s">
        <v>13</v>
      </c>
      <c r="E211" s="1" t="s">
        <v>6</v>
      </c>
      <c r="F211" s="3">
        <v>8.25</v>
      </c>
      <c r="G211" s="1" t="s">
        <v>101</v>
      </c>
      <c r="I211" s="1">
        <v>1</v>
      </c>
    </row>
    <row r="212" spans="1:9">
      <c r="A212" s="2">
        <v>41411</v>
      </c>
      <c r="B212" s="4" t="str">
        <f t="shared" si="38"/>
        <v>May</v>
      </c>
      <c r="C212" s="1" t="s">
        <v>508</v>
      </c>
      <c r="D212" s="1" t="s">
        <v>13</v>
      </c>
      <c r="E212" s="1" t="s">
        <v>6</v>
      </c>
      <c r="F212" s="3">
        <v>7.25</v>
      </c>
      <c r="G212" s="1" t="s">
        <v>101</v>
      </c>
      <c r="I212" s="1">
        <v>1</v>
      </c>
    </row>
    <row r="213" spans="1:9">
      <c r="A213" s="2">
        <v>41411</v>
      </c>
      <c r="B213" s="4" t="str">
        <f t="shared" si="38"/>
        <v>May</v>
      </c>
      <c r="C213" s="1" t="s">
        <v>508</v>
      </c>
      <c r="D213" s="1" t="s">
        <v>13</v>
      </c>
      <c r="E213" s="1" t="s">
        <v>6</v>
      </c>
      <c r="F213" s="3">
        <v>31</v>
      </c>
      <c r="G213" s="1" t="s">
        <v>101</v>
      </c>
      <c r="I213" s="1">
        <v>2</v>
      </c>
    </row>
    <row r="214" spans="1:9">
      <c r="A214" s="2">
        <v>41411</v>
      </c>
      <c r="B214" s="4" t="str">
        <f t="shared" si="38"/>
        <v>May</v>
      </c>
      <c r="C214" s="1" t="s">
        <v>508</v>
      </c>
      <c r="D214" s="1" t="s">
        <v>13</v>
      </c>
      <c r="E214" s="1" t="s">
        <v>6</v>
      </c>
      <c r="F214" s="3">
        <v>125</v>
      </c>
      <c r="G214" s="1" t="s">
        <v>521</v>
      </c>
      <c r="I214" s="1">
        <v>1</v>
      </c>
    </row>
    <row r="215" spans="1:9">
      <c r="A215" s="2">
        <v>41411</v>
      </c>
      <c r="B215" s="4" t="str">
        <f t="shared" si="38"/>
        <v>May</v>
      </c>
      <c r="C215" s="1" t="s">
        <v>508</v>
      </c>
      <c r="D215" s="1" t="s">
        <v>13</v>
      </c>
      <c r="E215" s="1" t="s">
        <v>6</v>
      </c>
      <c r="F215" s="3">
        <v>3.47</v>
      </c>
      <c r="G215" s="1" t="s">
        <v>509</v>
      </c>
      <c r="I215" s="1">
        <v>1</v>
      </c>
    </row>
    <row r="216" spans="1:9">
      <c r="A216" s="2">
        <v>41411</v>
      </c>
      <c r="B216" s="4" t="str">
        <f t="shared" si="38"/>
        <v>May</v>
      </c>
      <c r="C216" s="1" t="s">
        <v>508</v>
      </c>
      <c r="D216" s="1" t="s">
        <v>13</v>
      </c>
      <c r="E216" s="1" t="s">
        <v>6</v>
      </c>
      <c r="F216" s="3">
        <v>8.25</v>
      </c>
      <c r="G216" s="1" t="s">
        <v>522</v>
      </c>
      <c r="I216" s="1">
        <v>1</v>
      </c>
    </row>
    <row r="217" spans="1:9">
      <c r="A217" s="2">
        <v>41411</v>
      </c>
      <c r="B217" s="4" t="str">
        <f t="shared" si="38"/>
        <v>May</v>
      </c>
      <c r="C217" s="1" t="s">
        <v>508</v>
      </c>
      <c r="D217" s="1" t="s">
        <v>13</v>
      </c>
      <c r="E217" s="1" t="s">
        <v>6</v>
      </c>
      <c r="F217" s="3">
        <v>180</v>
      </c>
      <c r="G217" s="1" t="s">
        <v>523</v>
      </c>
      <c r="I217" s="1">
        <v>1</v>
      </c>
    </row>
    <row r="218" spans="1:9">
      <c r="A218" s="2">
        <v>41411</v>
      </c>
      <c r="B218" s="4" t="str">
        <f t="shared" si="38"/>
        <v>May</v>
      </c>
      <c r="C218" s="1" t="s">
        <v>508</v>
      </c>
      <c r="D218" s="1" t="s">
        <v>13</v>
      </c>
      <c r="E218" s="1" t="s">
        <v>6</v>
      </c>
      <c r="F218" s="3">
        <v>56</v>
      </c>
      <c r="G218" s="1" t="s">
        <v>515</v>
      </c>
      <c r="I218" s="1">
        <v>1</v>
      </c>
    </row>
    <row r="219" spans="1:9">
      <c r="A219" s="2">
        <v>41411</v>
      </c>
      <c r="B219" s="4" t="str">
        <f t="shared" si="38"/>
        <v>May</v>
      </c>
      <c r="C219" s="1" t="s">
        <v>508</v>
      </c>
      <c r="D219" s="1" t="s">
        <v>13</v>
      </c>
      <c r="E219" s="1" t="s">
        <v>6</v>
      </c>
      <c r="F219" s="3">
        <v>99</v>
      </c>
      <c r="G219" s="1" t="s">
        <v>524</v>
      </c>
      <c r="I219" s="1">
        <v>1</v>
      </c>
    </row>
    <row r="220" spans="1:9">
      <c r="A220" s="2">
        <v>41411</v>
      </c>
      <c r="B220" s="4" t="str">
        <f t="shared" si="38"/>
        <v>May</v>
      </c>
      <c r="C220" s="1" t="s">
        <v>508</v>
      </c>
      <c r="D220" s="1" t="s">
        <v>13</v>
      </c>
      <c r="E220" s="1" t="s">
        <v>6</v>
      </c>
      <c r="F220" s="3">
        <v>175</v>
      </c>
      <c r="G220" s="1" t="s">
        <v>525</v>
      </c>
      <c r="I220" s="1">
        <v>1</v>
      </c>
    </row>
    <row r="221" spans="1:9">
      <c r="A221" s="2">
        <v>41411</v>
      </c>
      <c r="B221" s="4" t="str">
        <f t="shared" si="38"/>
        <v>May</v>
      </c>
      <c r="C221" s="1" t="s">
        <v>508</v>
      </c>
      <c r="D221" s="1" t="s">
        <v>13</v>
      </c>
      <c r="E221" s="1" t="s">
        <v>6</v>
      </c>
      <c r="F221" s="3">
        <v>195</v>
      </c>
      <c r="G221" s="1" t="s">
        <v>526</v>
      </c>
      <c r="I221" s="1">
        <v>1</v>
      </c>
    </row>
    <row r="222" spans="1:9">
      <c r="A222" s="2">
        <v>41411</v>
      </c>
      <c r="B222" s="4" t="str">
        <f t="shared" si="38"/>
        <v>May</v>
      </c>
      <c r="C222" s="1" t="s">
        <v>508</v>
      </c>
      <c r="D222" s="1" t="s">
        <v>13</v>
      </c>
      <c r="E222" s="1" t="s">
        <v>6</v>
      </c>
      <c r="F222" s="3">
        <v>21</v>
      </c>
      <c r="G222" s="1" t="s">
        <v>518</v>
      </c>
      <c r="I222" s="1">
        <v>3</v>
      </c>
    </row>
    <row r="223" spans="1:9">
      <c r="A223" s="2">
        <v>41411</v>
      </c>
      <c r="B223" s="4" t="str">
        <f t="shared" si="38"/>
        <v>May</v>
      </c>
      <c r="C223" s="1" t="s">
        <v>508</v>
      </c>
      <c r="D223" s="1" t="s">
        <v>13</v>
      </c>
      <c r="E223" s="1" t="s">
        <v>6</v>
      </c>
      <c r="F223" s="3">
        <v>29.25</v>
      </c>
      <c r="G223" s="1" t="s">
        <v>101</v>
      </c>
      <c r="I223" s="1">
        <v>3</v>
      </c>
    </row>
    <row r="224" spans="1:9">
      <c r="A224" s="2">
        <v>41411</v>
      </c>
      <c r="B224" s="4" t="str">
        <f t="shared" si="38"/>
        <v>May</v>
      </c>
      <c r="C224" s="1" t="s">
        <v>508</v>
      </c>
      <c r="D224" s="1" t="s">
        <v>13</v>
      </c>
      <c r="E224" s="1" t="s">
        <v>6</v>
      </c>
      <c r="F224" s="3">
        <v>24.75</v>
      </c>
      <c r="G224" s="1" t="s">
        <v>101</v>
      </c>
      <c r="I224" s="1">
        <v>3</v>
      </c>
    </row>
    <row r="225" spans="1:9">
      <c r="A225" s="2">
        <v>41411</v>
      </c>
      <c r="B225" s="4" t="str">
        <f t="shared" si="38"/>
        <v>May</v>
      </c>
      <c r="C225" s="1" t="s">
        <v>508</v>
      </c>
      <c r="D225" s="1" t="s">
        <v>13</v>
      </c>
      <c r="E225" s="1" t="s">
        <v>6</v>
      </c>
      <c r="F225" s="3">
        <v>46.5</v>
      </c>
      <c r="G225" s="1" t="s">
        <v>101</v>
      </c>
      <c r="I225" s="1">
        <v>3</v>
      </c>
    </row>
    <row r="226" spans="1:9">
      <c r="A226" s="2">
        <v>41411</v>
      </c>
      <c r="B226" s="4" t="str">
        <f t="shared" si="38"/>
        <v>May</v>
      </c>
      <c r="C226" s="1" t="s">
        <v>508</v>
      </c>
      <c r="D226" s="1" t="s">
        <v>13</v>
      </c>
      <c r="E226" s="1" t="s">
        <v>6</v>
      </c>
      <c r="F226" s="3">
        <v>250</v>
      </c>
      <c r="G226" s="1" t="s">
        <v>521</v>
      </c>
      <c r="I226" s="1">
        <v>2</v>
      </c>
    </row>
    <row r="227" spans="1:9">
      <c r="A227" s="2">
        <v>41411</v>
      </c>
      <c r="B227" s="4" t="str">
        <f t="shared" si="38"/>
        <v>May</v>
      </c>
      <c r="C227" s="1" t="s">
        <v>508</v>
      </c>
      <c r="D227" s="1" t="s">
        <v>13</v>
      </c>
      <c r="E227" s="1" t="s">
        <v>6</v>
      </c>
      <c r="F227" s="3">
        <v>10.41</v>
      </c>
      <c r="G227" s="1" t="s">
        <v>509</v>
      </c>
      <c r="I227" s="1">
        <v>3</v>
      </c>
    </row>
    <row r="228" spans="1:9">
      <c r="A228" s="2">
        <v>41411</v>
      </c>
      <c r="B228" s="4" t="str">
        <f t="shared" si="38"/>
        <v>May</v>
      </c>
      <c r="C228" s="1" t="s">
        <v>508</v>
      </c>
      <c r="D228" s="1" t="s">
        <v>13</v>
      </c>
      <c r="E228" s="1" t="s">
        <v>6</v>
      </c>
      <c r="F228" s="3">
        <v>24.75</v>
      </c>
      <c r="G228" s="1" t="s">
        <v>522</v>
      </c>
      <c r="I228" s="1">
        <v>3</v>
      </c>
    </row>
    <row r="229" spans="1:9">
      <c r="A229" s="2">
        <v>41411</v>
      </c>
      <c r="B229" s="4" t="str">
        <f t="shared" si="38"/>
        <v>May</v>
      </c>
      <c r="C229" s="1" t="s">
        <v>508</v>
      </c>
      <c r="D229" s="1" t="s">
        <v>13</v>
      </c>
      <c r="E229" s="1" t="s">
        <v>6</v>
      </c>
      <c r="F229" s="3">
        <v>162.88</v>
      </c>
      <c r="G229" s="1" t="s">
        <v>527</v>
      </c>
      <c r="I229" s="1">
        <v>4</v>
      </c>
    </row>
    <row r="230" spans="1:9">
      <c r="A230" s="2">
        <v>41411</v>
      </c>
      <c r="B230" s="4" t="str">
        <f t="shared" si="38"/>
        <v>May</v>
      </c>
      <c r="C230" s="1" t="s">
        <v>508</v>
      </c>
      <c r="D230" s="1" t="s">
        <v>13</v>
      </c>
      <c r="E230" s="1" t="s">
        <v>6</v>
      </c>
      <c r="F230" s="3">
        <v>27</v>
      </c>
      <c r="G230" s="1" t="s">
        <v>528</v>
      </c>
      <c r="I230" s="1">
        <v>3</v>
      </c>
    </row>
    <row r="231" spans="1:9">
      <c r="A231" s="2">
        <v>41411</v>
      </c>
      <c r="B231" s="4" t="str">
        <f t="shared" si="38"/>
        <v>May</v>
      </c>
      <c r="C231" s="1" t="s">
        <v>508</v>
      </c>
      <c r="D231" s="1" t="s">
        <v>13</v>
      </c>
      <c r="E231" s="1" t="s">
        <v>6</v>
      </c>
      <c r="F231" s="3">
        <v>180</v>
      </c>
      <c r="G231" s="1" t="s">
        <v>523</v>
      </c>
      <c r="I231" s="1">
        <v>1</v>
      </c>
    </row>
    <row r="232" spans="1:9">
      <c r="A232" s="2">
        <v>41411</v>
      </c>
      <c r="B232" s="4" t="str">
        <f t="shared" si="38"/>
        <v>May</v>
      </c>
      <c r="C232" s="1" t="s">
        <v>508</v>
      </c>
      <c r="D232" s="1" t="s">
        <v>13</v>
      </c>
      <c r="E232" s="1" t="s">
        <v>6</v>
      </c>
      <c r="F232" s="3">
        <v>56</v>
      </c>
      <c r="G232" s="1" t="s">
        <v>515</v>
      </c>
      <c r="I232" s="1">
        <v>1</v>
      </c>
    </row>
    <row r="233" spans="1:9">
      <c r="A233" s="2">
        <v>41411</v>
      </c>
      <c r="B233" s="4" t="str">
        <f t="shared" si="38"/>
        <v>May</v>
      </c>
      <c r="C233" s="1" t="s">
        <v>508</v>
      </c>
      <c r="D233" s="1" t="s">
        <v>13</v>
      </c>
      <c r="E233" s="1" t="s">
        <v>6</v>
      </c>
      <c r="F233" s="3">
        <v>144</v>
      </c>
      <c r="G233" s="1" t="s">
        <v>529</v>
      </c>
      <c r="I233" s="1">
        <v>2</v>
      </c>
    </row>
    <row r="234" spans="1:9">
      <c r="A234" s="2">
        <v>41411</v>
      </c>
      <c r="B234" s="4" t="str">
        <f t="shared" si="38"/>
        <v>May</v>
      </c>
      <c r="C234" s="1" t="s">
        <v>508</v>
      </c>
      <c r="D234" s="1" t="s">
        <v>13</v>
      </c>
      <c r="E234" s="1" t="s">
        <v>6</v>
      </c>
      <c r="F234" s="3">
        <v>585</v>
      </c>
      <c r="G234" s="1" t="s">
        <v>526</v>
      </c>
      <c r="I234" s="1">
        <v>3</v>
      </c>
    </row>
    <row r="235" spans="1:9">
      <c r="A235" s="2">
        <v>41412</v>
      </c>
      <c r="B235" s="4" t="str">
        <f t="shared" si="38"/>
        <v>May</v>
      </c>
      <c r="C235" s="1" t="s">
        <v>508</v>
      </c>
      <c r="D235" s="1" t="s">
        <v>13</v>
      </c>
      <c r="E235" s="1" t="s">
        <v>6</v>
      </c>
      <c r="F235" s="3">
        <v>2.2000000000000002</v>
      </c>
      <c r="G235" s="1" t="s">
        <v>509</v>
      </c>
      <c r="I235" s="1">
        <v>4</v>
      </c>
    </row>
    <row r="236" spans="1:9">
      <c r="A236" s="2">
        <v>41412</v>
      </c>
      <c r="B236" s="4" t="str">
        <f t="shared" si="38"/>
        <v>May</v>
      </c>
      <c r="C236" s="1" t="s">
        <v>508</v>
      </c>
      <c r="D236" s="1" t="s">
        <v>13</v>
      </c>
      <c r="E236" s="1" t="s">
        <v>6</v>
      </c>
      <c r="F236" s="3">
        <v>3.6</v>
      </c>
      <c r="G236" s="1" t="s">
        <v>530</v>
      </c>
      <c r="I236" s="1">
        <v>4</v>
      </c>
    </row>
    <row r="237" spans="1:9">
      <c r="A237" s="2">
        <v>41412</v>
      </c>
      <c r="B237" s="4" t="str">
        <f t="shared" si="38"/>
        <v>May</v>
      </c>
      <c r="C237" s="1" t="s">
        <v>508</v>
      </c>
      <c r="D237" s="1" t="s">
        <v>13</v>
      </c>
      <c r="E237" s="1" t="s">
        <v>6</v>
      </c>
      <c r="F237" s="3">
        <v>265.98</v>
      </c>
      <c r="G237" s="1" t="s">
        <v>208</v>
      </c>
      <c r="I237" s="1">
        <v>6</v>
      </c>
    </row>
    <row r="238" spans="1:9">
      <c r="A238" s="2">
        <v>41412</v>
      </c>
      <c r="B238" s="4" t="str">
        <f t="shared" si="38"/>
        <v>May</v>
      </c>
      <c r="C238" s="1" t="s">
        <v>508</v>
      </c>
      <c r="D238" s="1" t="s">
        <v>13</v>
      </c>
      <c r="E238" s="1" t="s">
        <v>6</v>
      </c>
      <c r="F238" s="3">
        <v>-19.5</v>
      </c>
      <c r="G238" s="1" t="s">
        <v>101</v>
      </c>
      <c r="I238" s="1">
        <v>2</v>
      </c>
    </row>
    <row r="239" spans="1:9">
      <c r="A239" s="2">
        <v>41412</v>
      </c>
      <c r="B239" s="4" t="str">
        <f t="shared" si="38"/>
        <v>May</v>
      </c>
      <c r="C239" s="1" t="s">
        <v>508</v>
      </c>
      <c r="D239" s="1" t="s">
        <v>13</v>
      </c>
      <c r="E239" s="1" t="s">
        <v>6</v>
      </c>
      <c r="F239" s="3">
        <v>-15.5</v>
      </c>
      <c r="G239" s="1" t="s">
        <v>101</v>
      </c>
      <c r="I239" s="1">
        <v>1</v>
      </c>
    </row>
    <row r="240" spans="1:9">
      <c r="A240" s="2">
        <v>41412</v>
      </c>
      <c r="B240" s="4" t="str">
        <f t="shared" si="38"/>
        <v>May</v>
      </c>
      <c r="C240" s="1" t="s">
        <v>508</v>
      </c>
      <c r="D240" s="1" t="s">
        <v>13</v>
      </c>
      <c r="E240" s="1" t="s">
        <v>6</v>
      </c>
      <c r="F240" s="3">
        <v>-125</v>
      </c>
      <c r="G240" s="1" t="s">
        <v>521</v>
      </c>
      <c r="I240" s="1">
        <v>1</v>
      </c>
    </row>
    <row r="241" spans="1:9">
      <c r="A241" s="2">
        <v>41412</v>
      </c>
      <c r="B241" s="4" t="str">
        <f t="shared" si="38"/>
        <v>May</v>
      </c>
      <c r="C241" s="1" t="s">
        <v>508</v>
      </c>
      <c r="D241" s="1" t="s">
        <v>13</v>
      </c>
      <c r="E241" s="1" t="s">
        <v>6</v>
      </c>
      <c r="F241" s="3">
        <v>-3.47</v>
      </c>
      <c r="G241" s="1" t="s">
        <v>509</v>
      </c>
      <c r="I241" s="1">
        <v>1</v>
      </c>
    </row>
    <row r="242" spans="1:9">
      <c r="A242" s="2">
        <v>41412</v>
      </c>
      <c r="B242" s="4" t="str">
        <f t="shared" si="38"/>
        <v>May</v>
      </c>
      <c r="C242" s="1" t="s">
        <v>508</v>
      </c>
      <c r="D242" s="1" t="s">
        <v>13</v>
      </c>
      <c r="E242" s="1" t="s">
        <v>6</v>
      </c>
      <c r="F242" s="3">
        <v>-8.25</v>
      </c>
      <c r="G242" s="1" t="s">
        <v>522</v>
      </c>
      <c r="I242" s="1">
        <v>1</v>
      </c>
    </row>
    <row r="243" spans="1:9">
      <c r="A243" s="2">
        <v>41412</v>
      </c>
      <c r="B243" s="4" t="str">
        <f t="shared" si="38"/>
        <v>May</v>
      </c>
      <c r="C243" s="1" t="s">
        <v>508</v>
      </c>
      <c r="D243" s="1" t="s">
        <v>13</v>
      </c>
      <c r="E243" s="1" t="s">
        <v>6</v>
      </c>
      <c r="F243" s="3">
        <v>-40.72</v>
      </c>
      <c r="G243" s="1" t="s">
        <v>527</v>
      </c>
      <c r="I243" s="1">
        <v>1</v>
      </c>
    </row>
    <row r="244" spans="1:9">
      <c r="A244" s="2">
        <v>41412</v>
      </c>
      <c r="B244" s="4" t="str">
        <f t="shared" si="38"/>
        <v>May</v>
      </c>
      <c r="C244" s="1" t="s">
        <v>508</v>
      </c>
      <c r="D244" s="1" t="s">
        <v>13</v>
      </c>
      <c r="E244" s="1" t="s">
        <v>6</v>
      </c>
      <c r="F244" s="3">
        <v>-27</v>
      </c>
      <c r="G244" s="1" t="s">
        <v>528</v>
      </c>
      <c r="I244" s="1">
        <v>3</v>
      </c>
    </row>
    <row r="245" spans="1:9">
      <c r="A245" s="2">
        <v>41412</v>
      </c>
      <c r="B245" s="4" t="str">
        <f t="shared" ref="B245" si="39">VLOOKUP(MONTH(A245),$N$1:$O$12,2,0)</f>
        <v>May</v>
      </c>
      <c r="C245" s="1" t="s">
        <v>508</v>
      </c>
      <c r="D245" s="1" t="s">
        <v>13</v>
      </c>
      <c r="E245" s="1" t="s">
        <v>6</v>
      </c>
      <c r="F245" s="3">
        <v>-195</v>
      </c>
      <c r="G245" s="1" t="s">
        <v>526</v>
      </c>
      <c r="I245" s="1">
        <v>1</v>
      </c>
    </row>
  </sheetData>
  <autoFilter ref="A1:O164" xr:uid="{00000000-0009-0000-0000-000003000000}"/>
  <sortState xmlns:xlrd2="http://schemas.microsoft.com/office/spreadsheetml/2017/richdata2" ref="A4:E15">
    <sortCondition ref="A5"/>
  </sortState>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2B64-8606-4066-9EF0-525D80557D95}">
  <dimension ref="A4:A703"/>
  <sheetViews>
    <sheetView topLeftCell="A417" workbookViewId="0">
      <selection activeCell="K428" sqref="K428"/>
    </sheetView>
  </sheetViews>
  <sheetFormatPr defaultRowHeight="15"/>
  <sheetData>
    <row r="4" spans="1:1">
      <c r="A4" t="s">
        <v>3435</v>
      </c>
    </row>
    <row r="5" spans="1:1">
      <c r="A5" t="s">
        <v>3434</v>
      </c>
    </row>
    <row r="6" spans="1:1">
      <c r="A6" t="s">
        <v>3433</v>
      </c>
    </row>
    <row r="7" spans="1:1">
      <c r="A7" t="s">
        <v>3432</v>
      </c>
    </row>
    <row r="8" spans="1:1">
      <c r="A8" t="s">
        <v>3431</v>
      </c>
    </row>
    <row r="9" spans="1:1">
      <c r="A9" t="s">
        <v>3430</v>
      </c>
    </row>
    <row r="10" spans="1:1">
      <c r="A10" t="s">
        <v>3429</v>
      </c>
    </row>
    <row r="11" spans="1:1">
      <c r="A11" t="s">
        <v>3428</v>
      </c>
    </row>
    <row r="12" spans="1:1">
      <c r="A12" t="s">
        <v>3427</v>
      </c>
    </row>
    <row r="13" spans="1:1">
      <c r="A13" t="s">
        <v>3426</v>
      </c>
    </row>
    <row r="14" spans="1:1">
      <c r="A14" t="s">
        <v>3425</v>
      </c>
    </row>
    <row r="15" spans="1:1">
      <c r="A15" t="s">
        <v>3424</v>
      </c>
    </row>
    <row r="16" spans="1:1">
      <c r="A16" t="s">
        <v>3159</v>
      </c>
    </row>
    <row r="17" spans="1:1">
      <c r="A17" t="s">
        <v>3423</v>
      </c>
    </row>
    <row r="18" spans="1:1">
      <c r="A18" t="s">
        <v>2882</v>
      </c>
    </row>
    <row r="19" spans="1:1">
      <c r="A19" t="s">
        <v>3422</v>
      </c>
    </row>
    <row r="20" spans="1:1">
      <c r="A20" t="s">
        <v>3421</v>
      </c>
    </row>
    <row r="21" spans="1:1">
      <c r="A21" t="s">
        <v>3420</v>
      </c>
    </row>
    <row r="22" spans="1:1">
      <c r="A22" t="s">
        <v>3419</v>
      </c>
    </row>
    <row r="23" spans="1:1">
      <c r="A23" t="s">
        <v>3418</v>
      </c>
    </row>
    <row r="24" spans="1:1">
      <c r="A24" t="s">
        <v>3417</v>
      </c>
    </row>
    <row r="25" spans="1:1">
      <c r="A25" t="s">
        <v>3416</v>
      </c>
    </row>
    <row r="26" spans="1:1">
      <c r="A26" t="s">
        <v>3415</v>
      </c>
    </row>
    <row r="27" spans="1:1">
      <c r="A27" t="s">
        <v>3414</v>
      </c>
    </row>
    <row r="28" spans="1:1">
      <c r="A28" t="s">
        <v>3413</v>
      </c>
    </row>
    <row r="29" spans="1:1">
      <c r="A29" t="s">
        <v>3412</v>
      </c>
    </row>
    <row r="30" spans="1:1">
      <c r="A30" t="s">
        <v>3411</v>
      </c>
    </row>
    <row r="31" spans="1:1">
      <c r="A31" t="s">
        <v>3410</v>
      </c>
    </row>
    <row r="32" spans="1:1">
      <c r="A32" t="s">
        <v>3409</v>
      </c>
    </row>
    <row r="33" spans="1:1">
      <c r="A33" t="s">
        <v>3408</v>
      </c>
    </row>
    <row r="34" spans="1:1">
      <c r="A34" t="s">
        <v>3407</v>
      </c>
    </row>
    <row r="35" spans="1:1">
      <c r="A35" t="s">
        <v>3406</v>
      </c>
    </row>
    <row r="36" spans="1:1">
      <c r="A36" t="s">
        <v>3405</v>
      </c>
    </row>
    <row r="37" spans="1:1">
      <c r="A37" t="s">
        <v>3404</v>
      </c>
    </row>
    <row r="38" spans="1:1">
      <c r="A38" t="s">
        <v>3403</v>
      </c>
    </row>
    <row r="39" spans="1:1">
      <c r="A39" t="s">
        <v>3402</v>
      </c>
    </row>
    <row r="40" spans="1:1">
      <c r="A40" t="s">
        <v>3401</v>
      </c>
    </row>
    <row r="41" spans="1:1">
      <c r="A41" t="s">
        <v>3400</v>
      </c>
    </row>
    <row r="42" spans="1:1">
      <c r="A42" t="s">
        <v>3399</v>
      </c>
    </row>
    <row r="43" spans="1:1">
      <c r="A43" t="s">
        <v>3398</v>
      </c>
    </row>
    <row r="44" spans="1:1">
      <c r="A44" t="s">
        <v>3397</v>
      </c>
    </row>
    <row r="45" spans="1:1">
      <c r="A45" t="s">
        <v>3396</v>
      </c>
    </row>
    <row r="46" spans="1:1">
      <c r="A46" t="s">
        <v>3395</v>
      </c>
    </row>
    <row r="47" spans="1:1">
      <c r="A47" t="s">
        <v>3394</v>
      </c>
    </row>
    <row r="48" spans="1:1">
      <c r="A48" t="s">
        <v>3394</v>
      </c>
    </row>
    <row r="49" spans="1:1">
      <c r="A49" t="s">
        <v>3393</v>
      </c>
    </row>
    <row r="50" spans="1:1">
      <c r="A50" t="s">
        <v>3392</v>
      </c>
    </row>
    <row r="51" spans="1:1">
      <c r="A51" t="s">
        <v>3391</v>
      </c>
    </row>
    <row r="52" spans="1:1">
      <c r="A52" t="s">
        <v>3390</v>
      </c>
    </row>
    <row r="53" spans="1:1">
      <c r="A53" t="s">
        <v>3389</v>
      </c>
    </row>
    <row r="54" spans="1:1">
      <c r="A54" t="s">
        <v>3388</v>
      </c>
    </row>
    <row r="55" spans="1:1">
      <c r="A55" t="s">
        <v>3387</v>
      </c>
    </row>
    <row r="56" spans="1:1">
      <c r="A56" t="s">
        <v>3386</v>
      </c>
    </row>
    <row r="57" spans="1:1">
      <c r="A57" t="s">
        <v>3385</v>
      </c>
    </row>
    <row r="58" spans="1:1">
      <c r="A58" t="s">
        <v>3384</v>
      </c>
    </row>
    <row r="59" spans="1:1">
      <c r="A59" t="s">
        <v>3383</v>
      </c>
    </row>
    <row r="60" spans="1:1">
      <c r="A60" t="s">
        <v>3382</v>
      </c>
    </row>
    <row r="61" spans="1:1">
      <c r="A61" t="s">
        <v>3381</v>
      </c>
    </row>
    <row r="62" spans="1:1">
      <c r="A62" t="s">
        <v>3380</v>
      </c>
    </row>
    <row r="63" spans="1:1">
      <c r="A63" t="s">
        <v>3379</v>
      </c>
    </row>
    <row r="64" spans="1:1">
      <c r="A64" t="s">
        <v>3378</v>
      </c>
    </row>
    <row r="65" spans="1:1">
      <c r="A65" t="s">
        <v>3377</v>
      </c>
    </row>
    <row r="66" spans="1:1">
      <c r="A66" t="s">
        <v>3376</v>
      </c>
    </row>
    <row r="67" spans="1:1">
      <c r="A67" t="s">
        <v>3375</v>
      </c>
    </row>
    <row r="68" spans="1:1">
      <c r="A68" t="s">
        <v>3374</v>
      </c>
    </row>
    <row r="69" spans="1:1">
      <c r="A69" t="s">
        <v>3373</v>
      </c>
    </row>
    <row r="70" spans="1:1">
      <c r="A70" t="s">
        <v>3372</v>
      </c>
    </row>
    <row r="71" spans="1:1">
      <c r="A71" t="s">
        <v>3371</v>
      </c>
    </row>
    <row r="72" spans="1:1">
      <c r="A72" t="s">
        <v>3370</v>
      </c>
    </row>
    <row r="73" spans="1:1">
      <c r="A73" t="s">
        <v>3369</v>
      </c>
    </row>
    <row r="74" spans="1:1">
      <c r="A74" t="s">
        <v>3368</v>
      </c>
    </row>
    <row r="75" spans="1:1">
      <c r="A75" t="s">
        <v>3367</v>
      </c>
    </row>
    <row r="76" spans="1:1">
      <c r="A76" t="s">
        <v>3366</v>
      </c>
    </row>
    <row r="77" spans="1:1">
      <c r="A77" t="s">
        <v>3365</v>
      </c>
    </row>
    <row r="78" spans="1:1">
      <c r="A78" t="s">
        <v>3364</v>
      </c>
    </row>
    <row r="79" spans="1:1">
      <c r="A79" t="s">
        <v>3363</v>
      </c>
    </row>
    <row r="80" spans="1:1">
      <c r="A80" t="s">
        <v>3362</v>
      </c>
    </row>
    <row r="81" spans="1:1">
      <c r="A81" t="s">
        <v>3361</v>
      </c>
    </row>
    <row r="82" spans="1:1">
      <c r="A82" t="s">
        <v>3360</v>
      </c>
    </row>
    <row r="83" spans="1:1">
      <c r="A83" t="s">
        <v>3359</v>
      </c>
    </row>
    <row r="84" spans="1:1">
      <c r="A84" t="s">
        <v>3358</v>
      </c>
    </row>
    <row r="85" spans="1:1">
      <c r="A85" t="s">
        <v>2816</v>
      </c>
    </row>
    <row r="86" spans="1:1">
      <c r="A86" t="s">
        <v>3357</v>
      </c>
    </row>
    <row r="87" spans="1:1">
      <c r="A87" t="s">
        <v>2831</v>
      </c>
    </row>
    <row r="88" spans="1:1">
      <c r="A88" t="s">
        <v>2830</v>
      </c>
    </row>
    <row r="89" spans="1:1">
      <c r="A89" t="s">
        <v>2829</v>
      </c>
    </row>
    <row r="90" spans="1:1">
      <c r="A90" t="s">
        <v>3356</v>
      </c>
    </row>
    <row r="91" spans="1:1">
      <c r="A91" t="s">
        <v>3355</v>
      </c>
    </row>
    <row r="92" spans="1:1">
      <c r="A92" t="s">
        <v>3354</v>
      </c>
    </row>
    <row r="93" spans="1:1">
      <c r="A93" t="s">
        <v>3353</v>
      </c>
    </row>
    <row r="94" spans="1:1">
      <c r="A94" t="s">
        <v>3352</v>
      </c>
    </row>
    <row r="95" spans="1:1">
      <c r="A95" t="s">
        <v>3351</v>
      </c>
    </row>
    <row r="96" spans="1:1">
      <c r="A96" t="s">
        <v>3350</v>
      </c>
    </row>
    <row r="97" spans="1:1">
      <c r="A97" t="s">
        <v>3349</v>
      </c>
    </row>
    <row r="98" spans="1:1">
      <c r="A98" t="s">
        <v>3348</v>
      </c>
    </row>
    <row r="99" spans="1:1">
      <c r="A99" t="s">
        <v>3347</v>
      </c>
    </row>
    <row r="100" spans="1:1">
      <c r="A100" t="s">
        <v>3346</v>
      </c>
    </row>
    <row r="101" spans="1:1">
      <c r="A101" t="s">
        <v>3345</v>
      </c>
    </row>
    <row r="102" spans="1:1">
      <c r="A102" t="s">
        <v>3344</v>
      </c>
    </row>
    <row r="103" spans="1:1">
      <c r="A103" t="s">
        <v>3343</v>
      </c>
    </row>
    <row r="104" spans="1:1">
      <c r="A104" t="s">
        <v>3342</v>
      </c>
    </row>
    <row r="105" spans="1:1">
      <c r="A105" t="s">
        <v>3341</v>
      </c>
    </row>
    <row r="106" spans="1:1">
      <c r="A106" t="s">
        <v>3340</v>
      </c>
    </row>
    <row r="107" spans="1:1">
      <c r="A107" t="s">
        <v>3339</v>
      </c>
    </row>
    <row r="108" spans="1:1">
      <c r="A108" t="s">
        <v>3338</v>
      </c>
    </row>
    <row r="109" spans="1:1">
      <c r="A109" t="s">
        <v>3337</v>
      </c>
    </row>
    <row r="110" spans="1:1">
      <c r="A110" t="s">
        <v>3336</v>
      </c>
    </row>
    <row r="111" spans="1:1">
      <c r="A111" t="s">
        <v>3335</v>
      </c>
    </row>
    <row r="112" spans="1:1">
      <c r="A112" t="s">
        <v>3334</v>
      </c>
    </row>
    <row r="113" spans="1:1">
      <c r="A113" t="s">
        <v>3333</v>
      </c>
    </row>
    <row r="114" spans="1:1">
      <c r="A114" t="s">
        <v>3332</v>
      </c>
    </row>
    <row r="115" spans="1:1">
      <c r="A115" t="s">
        <v>3331</v>
      </c>
    </row>
    <row r="116" spans="1:1">
      <c r="A116" t="s">
        <v>3330</v>
      </c>
    </row>
    <row r="117" spans="1:1">
      <c r="A117" t="s">
        <v>3329</v>
      </c>
    </row>
    <row r="118" spans="1:1">
      <c r="A118" t="s">
        <v>3328</v>
      </c>
    </row>
    <row r="119" spans="1:1">
      <c r="A119" t="s">
        <v>3327</v>
      </c>
    </row>
    <row r="120" spans="1:1">
      <c r="A120" t="s">
        <v>3326</v>
      </c>
    </row>
    <row r="121" spans="1:1">
      <c r="A121" t="s">
        <v>3325</v>
      </c>
    </row>
    <row r="122" spans="1:1">
      <c r="A122" t="s">
        <v>3325</v>
      </c>
    </row>
    <row r="123" spans="1:1">
      <c r="A123" t="s">
        <v>3324</v>
      </c>
    </row>
    <row r="124" spans="1:1">
      <c r="A124" t="s">
        <v>3323</v>
      </c>
    </row>
    <row r="125" spans="1:1">
      <c r="A125" t="s">
        <v>3159</v>
      </c>
    </row>
    <row r="126" spans="1:1">
      <c r="A126" t="s">
        <v>3322</v>
      </c>
    </row>
    <row r="127" spans="1:1">
      <c r="A127" t="s">
        <v>3321</v>
      </c>
    </row>
    <row r="128" spans="1:1">
      <c r="A128" t="s">
        <v>3320</v>
      </c>
    </row>
    <row r="129" spans="1:1">
      <c r="A129" t="s">
        <v>3319</v>
      </c>
    </row>
    <row r="130" spans="1:1">
      <c r="A130" t="s">
        <v>3318</v>
      </c>
    </row>
    <row r="131" spans="1:1">
      <c r="A131" t="s">
        <v>3317</v>
      </c>
    </row>
    <row r="132" spans="1:1">
      <c r="A132" t="s">
        <v>2882</v>
      </c>
    </row>
    <row r="133" spans="1:1">
      <c r="A133" t="s">
        <v>3316</v>
      </c>
    </row>
    <row r="134" spans="1:1">
      <c r="A134" t="s">
        <v>3315</v>
      </c>
    </row>
    <row r="135" spans="1:1">
      <c r="A135" t="s">
        <v>3314</v>
      </c>
    </row>
    <row r="136" spans="1:1">
      <c r="A136" t="s">
        <v>3313</v>
      </c>
    </row>
    <row r="137" spans="1:1">
      <c r="A137" t="s">
        <v>3312</v>
      </c>
    </row>
    <row r="138" spans="1:1">
      <c r="A138" t="s">
        <v>3311</v>
      </c>
    </row>
    <row r="139" spans="1:1">
      <c r="A139" t="s">
        <v>3310</v>
      </c>
    </row>
    <row r="140" spans="1:1">
      <c r="A140" t="s">
        <v>3309</v>
      </c>
    </row>
    <row r="141" spans="1:1">
      <c r="A141" t="s">
        <v>3308</v>
      </c>
    </row>
    <row r="142" spans="1:1">
      <c r="A142" t="s">
        <v>3307</v>
      </c>
    </row>
    <row r="143" spans="1:1">
      <c r="A143" t="s">
        <v>3306</v>
      </c>
    </row>
    <row r="144" spans="1:1">
      <c r="A144" t="s">
        <v>3305</v>
      </c>
    </row>
    <row r="145" spans="1:1">
      <c r="A145" t="s">
        <v>3304</v>
      </c>
    </row>
    <row r="146" spans="1:1">
      <c r="A146" t="s">
        <v>3303</v>
      </c>
    </row>
    <row r="147" spans="1:1">
      <c r="A147" t="s">
        <v>3302</v>
      </c>
    </row>
    <row r="148" spans="1:1">
      <c r="A148" t="s">
        <v>3301</v>
      </c>
    </row>
    <row r="149" spans="1:1">
      <c r="A149" t="s">
        <v>3300</v>
      </c>
    </row>
    <row r="150" spans="1:1">
      <c r="A150" t="s">
        <v>3299</v>
      </c>
    </row>
    <row r="151" spans="1:1">
      <c r="A151" t="s">
        <v>3298</v>
      </c>
    </row>
    <row r="152" spans="1:1">
      <c r="A152" t="s">
        <v>3297</v>
      </c>
    </row>
    <row r="153" spans="1:1">
      <c r="A153" t="s">
        <v>3296</v>
      </c>
    </row>
    <row r="154" spans="1:1">
      <c r="A154" t="s">
        <v>3295</v>
      </c>
    </row>
    <row r="155" spans="1:1">
      <c r="A155" t="s">
        <v>3294</v>
      </c>
    </row>
    <row r="156" spans="1:1">
      <c r="A156" t="s">
        <v>3293</v>
      </c>
    </row>
    <row r="157" spans="1:1">
      <c r="A157" t="s">
        <v>3292</v>
      </c>
    </row>
    <row r="158" spans="1:1">
      <c r="A158" t="s">
        <v>3291</v>
      </c>
    </row>
    <row r="159" spans="1:1">
      <c r="A159" t="s">
        <v>3290</v>
      </c>
    </row>
    <row r="160" spans="1:1">
      <c r="A160" t="s">
        <v>3289</v>
      </c>
    </row>
    <row r="161" spans="1:1">
      <c r="A161" t="s">
        <v>3288</v>
      </c>
    </row>
    <row r="162" spans="1:1">
      <c r="A162" t="s">
        <v>3287</v>
      </c>
    </row>
    <row r="163" spans="1:1">
      <c r="A163" t="s">
        <v>3286</v>
      </c>
    </row>
    <row r="164" spans="1:1">
      <c r="A164" t="s">
        <v>3285</v>
      </c>
    </row>
    <row r="165" spans="1:1">
      <c r="A165" t="s">
        <v>3284</v>
      </c>
    </row>
    <row r="166" spans="1:1">
      <c r="A166" t="s">
        <v>3283</v>
      </c>
    </row>
    <row r="167" spans="1:1">
      <c r="A167" t="s">
        <v>3282</v>
      </c>
    </row>
    <row r="168" spans="1:1">
      <c r="A168" t="s">
        <v>3281</v>
      </c>
    </row>
    <row r="169" spans="1:1">
      <c r="A169" t="s">
        <v>3280</v>
      </c>
    </row>
    <row r="170" spans="1:1">
      <c r="A170" t="s">
        <v>3279</v>
      </c>
    </row>
    <row r="171" spans="1:1">
      <c r="A171" t="s">
        <v>3278</v>
      </c>
    </row>
    <row r="172" spans="1:1">
      <c r="A172" t="s">
        <v>3277</v>
      </c>
    </row>
    <row r="173" spans="1:1">
      <c r="A173" t="s">
        <v>3276</v>
      </c>
    </row>
    <row r="174" spans="1:1">
      <c r="A174" t="s">
        <v>3275</v>
      </c>
    </row>
    <row r="175" spans="1:1">
      <c r="A175" t="s">
        <v>3274</v>
      </c>
    </row>
    <row r="176" spans="1:1">
      <c r="A176" t="s">
        <v>3273</v>
      </c>
    </row>
    <row r="177" spans="1:1">
      <c r="A177" t="s">
        <v>3272</v>
      </c>
    </row>
    <row r="178" spans="1:1">
      <c r="A178" t="s">
        <v>3271</v>
      </c>
    </row>
    <row r="179" spans="1:1">
      <c r="A179" t="s">
        <v>3270</v>
      </c>
    </row>
    <row r="180" spans="1:1">
      <c r="A180" t="s">
        <v>3269</v>
      </c>
    </row>
    <row r="181" spans="1:1">
      <c r="A181" t="s">
        <v>2816</v>
      </c>
    </row>
    <row r="182" spans="1:1">
      <c r="A182" t="s">
        <v>3268</v>
      </c>
    </row>
    <row r="183" spans="1:1">
      <c r="A183" t="s">
        <v>3267</v>
      </c>
    </row>
    <row r="184" spans="1:1">
      <c r="A184" t="s">
        <v>3266</v>
      </c>
    </row>
    <row r="185" spans="1:1">
      <c r="A185" t="s">
        <v>3265</v>
      </c>
    </row>
    <row r="186" spans="1:1">
      <c r="A186" t="s">
        <v>3264</v>
      </c>
    </row>
    <row r="187" spans="1:1">
      <c r="A187" t="s">
        <v>3263</v>
      </c>
    </row>
    <row r="188" spans="1:1">
      <c r="A188" t="s">
        <v>3262</v>
      </c>
    </row>
    <row r="189" spans="1:1">
      <c r="A189" t="s">
        <v>3261</v>
      </c>
    </row>
    <row r="190" spans="1:1">
      <c r="A190" t="s">
        <v>3260</v>
      </c>
    </row>
    <row r="191" spans="1:1">
      <c r="A191" t="s">
        <v>3259</v>
      </c>
    </row>
    <row r="192" spans="1:1">
      <c r="A192" t="s">
        <v>3258</v>
      </c>
    </row>
    <row r="193" spans="1:1">
      <c r="A193" t="s">
        <v>3257</v>
      </c>
    </row>
    <row r="194" spans="1:1">
      <c r="A194" t="s">
        <v>3256</v>
      </c>
    </row>
    <row r="195" spans="1:1">
      <c r="A195" t="s">
        <v>3255</v>
      </c>
    </row>
    <row r="196" spans="1:1">
      <c r="A196" t="s">
        <v>3254</v>
      </c>
    </row>
    <row r="197" spans="1:1">
      <c r="A197" t="s">
        <v>3253</v>
      </c>
    </row>
    <row r="198" spans="1:1">
      <c r="A198" t="s">
        <v>3252</v>
      </c>
    </row>
    <row r="199" spans="1:1">
      <c r="A199" t="s">
        <v>3251</v>
      </c>
    </row>
    <row r="200" spans="1:1">
      <c r="A200" t="s">
        <v>3250</v>
      </c>
    </row>
    <row r="201" spans="1:1">
      <c r="A201" t="s">
        <v>3249</v>
      </c>
    </row>
    <row r="202" spans="1:1">
      <c r="A202" t="s">
        <v>3248</v>
      </c>
    </row>
    <row r="203" spans="1:1">
      <c r="A203" t="s">
        <v>3159</v>
      </c>
    </row>
    <row r="204" spans="1:1">
      <c r="A204" t="s">
        <v>3247</v>
      </c>
    </row>
    <row r="205" spans="1:1">
      <c r="A205" t="s">
        <v>2882</v>
      </c>
    </row>
    <row r="206" spans="1:1">
      <c r="A206" t="s">
        <v>3246</v>
      </c>
    </row>
    <row r="207" spans="1:1">
      <c r="A207" t="s">
        <v>3179</v>
      </c>
    </row>
    <row r="208" spans="1:1">
      <c r="A208" t="s">
        <v>3245</v>
      </c>
    </row>
    <row r="209" spans="1:1">
      <c r="A209" t="s">
        <v>3244</v>
      </c>
    </row>
    <row r="210" spans="1:1">
      <c r="A210" t="s">
        <v>3243</v>
      </c>
    </row>
    <row r="211" spans="1:1">
      <c r="A211" t="s">
        <v>3242</v>
      </c>
    </row>
    <row r="212" spans="1:1">
      <c r="A212" t="s">
        <v>3241</v>
      </c>
    </row>
    <row r="213" spans="1:1">
      <c r="A213" t="s">
        <v>3240</v>
      </c>
    </row>
    <row r="214" spans="1:1">
      <c r="A214" t="s">
        <v>3239</v>
      </c>
    </row>
    <row r="215" spans="1:1">
      <c r="A215" t="s">
        <v>3238</v>
      </c>
    </row>
    <row r="216" spans="1:1">
      <c r="A216" t="s">
        <v>3237</v>
      </c>
    </row>
    <row r="217" spans="1:1">
      <c r="A217" t="s">
        <v>3236</v>
      </c>
    </row>
    <row r="218" spans="1:1">
      <c r="A218" t="s">
        <v>3235</v>
      </c>
    </row>
    <row r="219" spans="1:1">
      <c r="A219" t="s">
        <v>3234</v>
      </c>
    </row>
    <row r="220" spans="1:1">
      <c r="A220" t="s">
        <v>3233</v>
      </c>
    </row>
    <row r="221" spans="1:1">
      <c r="A221" t="s">
        <v>3232</v>
      </c>
    </row>
    <row r="222" spans="1:1">
      <c r="A222" t="s">
        <v>3231</v>
      </c>
    </row>
    <row r="223" spans="1:1">
      <c r="A223" t="s">
        <v>3230</v>
      </c>
    </row>
    <row r="224" spans="1:1">
      <c r="A224" t="s">
        <v>3229</v>
      </c>
    </row>
    <row r="225" spans="1:1">
      <c r="A225" t="s">
        <v>3228</v>
      </c>
    </row>
    <row r="226" spans="1:1">
      <c r="A226" t="s">
        <v>3227</v>
      </c>
    </row>
    <row r="227" spans="1:1">
      <c r="A227" t="s">
        <v>3226</v>
      </c>
    </row>
    <row r="228" spans="1:1">
      <c r="A228" t="s">
        <v>3225</v>
      </c>
    </row>
    <row r="229" spans="1:1">
      <c r="A229" t="s">
        <v>3224</v>
      </c>
    </row>
    <row r="230" spans="1:1">
      <c r="A230" t="s">
        <v>3223</v>
      </c>
    </row>
    <row r="231" spans="1:1">
      <c r="A231" t="s">
        <v>3222</v>
      </c>
    </row>
    <row r="232" spans="1:1">
      <c r="A232" t="s">
        <v>3221</v>
      </c>
    </row>
    <row r="233" spans="1:1">
      <c r="A233" t="s">
        <v>3220</v>
      </c>
    </row>
    <row r="234" spans="1:1">
      <c r="A234" t="s">
        <v>3219</v>
      </c>
    </row>
    <row r="235" spans="1:1">
      <c r="A235" t="s">
        <v>3218</v>
      </c>
    </row>
    <row r="236" spans="1:1">
      <c r="A236" t="s">
        <v>3217</v>
      </c>
    </row>
    <row r="237" spans="1:1">
      <c r="A237" t="s">
        <v>3216</v>
      </c>
    </row>
    <row r="238" spans="1:1">
      <c r="A238" t="s">
        <v>3215</v>
      </c>
    </row>
    <row r="239" spans="1:1">
      <c r="A239" t="s">
        <v>3212</v>
      </c>
    </row>
    <row r="240" spans="1:1">
      <c r="A240" t="s">
        <v>3214</v>
      </c>
    </row>
    <row r="241" spans="1:1">
      <c r="A241" t="s">
        <v>3213</v>
      </c>
    </row>
    <row r="242" spans="1:1">
      <c r="A242" t="s">
        <v>3212</v>
      </c>
    </row>
    <row r="243" spans="1:1">
      <c r="A243" t="s">
        <v>3211</v>
      </c>
    </row>
    <row r="244" spans="1:1">
      <c r="A244" t="s">
        <v>3210</v>
      </c>
    </row>
    <row r="245" spans="1:1">
      <c r="A245" t="s">
        <v>3209</v>
      </c>
    </row>
    <row r="246" spans="1:1">
      <c r="A246" t="s">
        <v>3208</v>
      </c>
    </row>
    <row r="247" spans="1:1">
      <c r="A247" t="s">
        <v>3207</v>
      </c>
    </row>
    <row r="248" spans="1:1">
      <c r="A248" t="s">
        <v>3206</v>
      </c>
    </row>
    <row r="249" spans="1:1">
      <c r="A249" t="s">
        <v>3205</v>
      </c>
    </row>
    <row r="250" spans="1:1">
      <c r="A250" t="s">
        <v>3204</v>
      </c>
    </row>
    <row r="251" spans="1:1">
      <c r="A251" t="s">
        <v>3203</v>
      </c>
    </row>
    <row r="252" spans="1:1">
      <c r="A252" t="s">
        <v>3202</v>
      </c>
    </row>
    <row r="253" spans="1:1">
      <c r="A253" t="s">
        <v>3201</v>
      </c>
    </row>
    <row r="254" spans="1:1">
      <c r="A254" t="s">
        <v>3200</v>
      </c>
    </row>
    <row r="255" spans="1:1">
      <c r="A255" t="s">
        <v>3199</v>
      </c>
    </row>
    <row r="256" spans="1:1">
      <c r="A256" t="s">
        <v>3198</v>
      </c>
    </row>
    <row r="257" spans="1:1">
      <c r="A257" t="s">
        <v>3197</v>
      </c>
    </row>
    <row r="258" spans="1:1">
      <c r="A258" t="s">
        <v>3196</v>
      </c>
    </row>
    <row r="259" spans="1:1">
      <c r="A259" t="s">
        <v>3195</v>
      </c>
    </row>
    <row r="260" spans="1:1">
      <c r="A260" t="s">
        <v>3194</v>
      </c>
    </row>
    <row r="261" spans="1:1">
      <c r="A261" t="s">
        <v>3193</v>
      </c>
    </row>
    <row r="262" spans="1:1">
      <c r="A262" t="s">
        <v>3192</v>
      </c>
    </row>
    <row r="263" spans="1:1">
      <c r="A263" t="s">
        <v>2816</v>
      </c>
    </row>
    <row r="264" spans="1:1">
      <c r="A264" t="s">
        <v>3191</v>
      </c>
    </row>
    <row r="265" spans="1:1">
      <c r="A265" t="s">
        <v>3190</v>
      </c>
    </row>
    <row r="266" spans="1:1">
      <c r="A266" t="s">
        <v>3189</v>
      </c>
    </row>
    <row r="267" spans="1:1">
      <c r="A267" t="s">
        <v>3188</v>
      </c>
    </row>
    <row r="268" spans="1:1">
      <c r="A268" t="s">
        <v>3187</v>
      </c>
    </row>
    <row r="269" spans="1:1">
      <c r="A269" t="s">
        <v>3186</v>
      </c>
    </row>
    <row r="270" spans="1:1">
      <c r="A270" t="s">
        <v>3185</v>
      </c>
    </row>
    <row r="271" spans="1:1">
      <c r="A271" t="s">
        <v>3184</v>
      </c>
    </row>
    <row r="272" spans="1:1">
      <c r="A272" t="s">
        <v>3183</v>
      </c>
    </row>
    <row r="273" spans="1:1">
      <c r="A273" t="s">
        <v>3182</v>
      </c>
    </row>
    <row r="274" spans="1:1">
      <c r="A274" t="s">
        <v>3181</v>
      </c>
    </row>
    <row r="275" spans="1:1">
      <c r="A275" t="s">
        <v>2831</v>
      </c>
    </row>
    <row r="276" spans="1:1">
      <c r="A276" t="s">
        <v>2830</v>
      </c>
    </row>
    <row r="277" spans="1:1">
      <c r="A277" t="s">
        <v>2829</v>
      </c>
    </row>
    <row r="278" spans="1:1">
      <c r="A278" t="s">
        <v>3180</v>
      </c>
    </row>
    <row r="279" spans="1:1">
      <c r="A279" t="s">
        <v>3179</v>
      </c>
    </row>
    <row r="280" spans="1:1">
      <c r="A280" t="s">
        <v>3178</v>
      </c>
    </row>
    <row r="281" spans="1:1">
      <c r="A281" t="s">
        <v>3177</v>
      </c>
    </row>
    <row r="282" spans="1:1">
      <c r="A282" t="s">
        <v>3176</v>
      </c>
    </row>
    <row r="283" spans="1:1">
      <c r="A283" t="s">
        <v>3175</v>
      </c>
    </row>
    <row r="284" spans="1:1">
      <c r="A284" t="s">
        <v>3174</v>
      </c>
    </row>
    <row r="285" spans="1:1">
      <c r="A285" t="s">
        <v>3173</v>
      </c>
    </row>
    <row r="286" spans="1:1">
      <c r="A286" t="s">
        <v>3172</v>
      </c>
    </row>
    <row r="287" spans="1:1">
      <c r="A287" t="s">
        <v>3171</v>
      </c>
    </row>
    <row r="288" spans="1:1">
      <c r="A288" t="s">
        <v>3170</v>
      </c>
    </row>
    <row r="289" spans="1:1">
      <c r="A289" t="s">
        <v>3169</v>
      </c>
    </row>
    <row r="290" spans="1:1">
      <c r="A290" t="s">
        <v>3168</v>
      </c>
    </row>
    <row r="291" spans="1:1">
      <c r="A291" t="s">
        <v>3167</v>
      </c>
    </row>
    <row r="292" spans="1:1">
      <c r="A292" t="s">
        <v>3166</v>
      </c>
    </row>
    <row r="293" spans="1:1">
      <c r="A293" t="s">
        <v>3165</v>
      </c>
    </row>
    <row r="294" spans="1:1">
      <c r="A294" t="s">
        <v>3164</v>
      </c>
    </row>
    <row r="295" spans="1:1">
      <c r="A295" t="s">
        <v>3163</v>
      </c>
    </row>
    <row r="296" spans="1:1">
      <c r="A296" t="s">
        <v>3162</v>
      </c>
    </row>
    <row r="297" spans="1:1">
      <c r="A297" t="s">
        <v>3161</v>
      </c>
    </row>
    <row r="298" spans="1:1">
      <c r="A298" t="s">
        <v>3160</v>
      </c>
    </row>
    <row r="299" spans="1:1">
      <c r="A299" t="s">
        <v>3159</v>
      </c>
    </row>
    <row r="300" spans="1:1">
      <c r="A300" t="s">
        <v>3158</v>
      </c>
    </row>
    <row r="301" spans="1:1">
      <c r="A301" t="s">
        <v>3157</v>
      </c>
    </row>
    <row r="302" spans="1:1">
      <c r="A302" t="s">
        <v>3156</v>
      </c>
    </row>
    <row r="303" spans="1:1">
      <c r="A303" t="s">
        <v>3155</v>
      </c>
    </row>
    <row r="304" spans="1:1">
      <c r="A304" t="s">
        <v>3154</v>
      </c>
    </row>
    <row r="305" spans="1:1">
      <c r="A305" t="s">
        <v>3153</v>
      </c>
    </row>
    <row r="306" spans="1:1">
      <c r="A306" t="s">
        <v>3152</v>
      </c>
    </row>
    <row r="307" spans="1:1">
      <c r="A307" t="s">
        <v>3149</v>
      </c>
    </row>
    <row r="308" spans="1:1">
      <c r="A308" t="s">
        <v>2882</v>
      </c>
    </row>
    <row r="309" spans="1:1">
      <c r="A309" t="s">
        <v>3151</v>
      </c>
    </row>
    <row r="310" spans="1:1">
      <c r="A310" t="s">
        <v>3085</v>
      </c>
    </row>
    <row r="311" spans="1:1">
      <c r="A311" t="s">
        <v>3150</v>
      </c>
    </row>
    <row r="312" spans="1:1">
      <c r="A312" t="s">
        <v>3149</v>
      </c>
    </row>
    <row r="313" spans="1:1">
      <c r="A313" t="s">
        <v>3148</v>
      </c>
    </row>
    <row r="314" spans="1:1">
      <c r="A314" t="s">
        <v>3147</v>
      </c>
    </row>
    <row r="315" spans="1:1">
      <c r="A315" t="s">
        <v>3147</v>
      </c>
    </row>
    <row r="316" spans="1:1">
      <c r="A316" t="s">
        <v>3146</v>
      </c>
    </row>
    <row r="317" spans="1:1">
      <c r="A317" t="s">
        <v>3145</v>
      </c>
    </row>
    <row r="318" spans="1:1">
      <c r="A318" t="s">
        <v>3144</v>
      </c>
    </row>
    <row r="319" spans="1:1">
      <c r="A319" t="s">
        <v>3143</v>
      </c>
    </row>
    <row r="320" spans="1:1">
      <c r="A320" t="s">
        <v>3142</v>
      </c>
    </row>
    <row r="321" spans="1:1">
      <c r="A321" t="s">
        <v>3141</v>
      </c>
    </row>
    <row r="322" spans="1:1">
      <c r="A322" t="s">
        <v>3140</v>
      </c>
    </row>
    <row r="323" spans="1:1">
      <c r="A323" t="s">
        <v>3139</v>
      </c>
    </row>
    <row r="324" spans="1:1">
      <c r="A324" t="s">
        <v>3138</v>
      </c>
    </row>
    <row r="325" spans="1:1">
      <c r="A325" t="s">
        <v>3137</v>
      </c>
    </row>
    <row r="326" spans="1:1">
      <c r="A326" t="s">
        <v>3136</v>
      </c>
    </row>
    <row r="327" spans="1:1">
      <c r="A327" t="s">
        <v>3135</v>
      </c>
    </row>
    <row r="328" spans="1:1">
      <c r="A328" t="s">
        <v>3134</v>
      </c>
    </row>
    <row r="329" spans="1:1">
      <c r="A329" t="s">
        <v>3133</v>
      </c>
    </row>
    <row r="330" spans="1:1">
      <c r="A330" t="s">
        <v>3132</v>
      </c>
    </row>
    <row r="331" spans="1:1">
      <c r="A331" t="s">
        <v>3131</v>
      </c>
    </row>
    <row r="332" spans="1:1">
      <c r="A332" t="s">
        <v>3130</v>
      </c>
    </row>
    <row r="333" spans="1:1">
      <c r="A333" t="s">
        <v>3129</v>
      </c>
    </row>
    <row r="334" spans="1:1">
      <c r="A334" t="s">
        <v>3128</v>
      </c>
    </row>
    <row r="335" spans="1:1">
      <c r="A335" t="s">
        <v>3127</v>
      </c>
    </row>
    <row r="336" spans="1:1">
      <c r="A336" t="s">
        <v>3126</v>
      </c>
    </row>
    <row r="337" spans="1:1">
      <c r="A337" t="s">
        <v>3125</v>
      </c>
    </row>
    <row r="338" spans="1:1">
      <c r="A338" t="s">
        <v>3124</v>
      </c>
    </row>
    <row r="339" spans="1:1">
      <c r="A339" t="s">
        <v>3124</v>
      </c>
    </row>
    <row r="340" spans="1:1">
      <c r="A340" t="s">
        <v>3123</v>
      </c>
    </row>
    <row r="341" spans="1:1">
      <c r="A341" t="s">
        <v>3122</v>
      </c>
    </row>
    <row r="342" spans="1:1">
      <c r="A342" t="s">
        <v>3121</v>
      </c>
    </row>
    <row r="343" spans="1:1">
      <c r="A343" t="s">
        <v>3120</v>
      </c>
    </row>
    <row r="344" spans="1:1">
      <c r="A344" t="s">
        <v>3119</v>
      </c>
    </row>
    <row r="345" spans="1:1">
      <c r="A345" t="s">
        <v>3118</v>
      </c>
    </row>
    <row r="346" spans="1:1">
      <c r="A346" t="s">
        <v>3117</v>
      </c>
    </row>
    <row r="347" spans="1:1">
      <c r="A347" t="s">
        <v>3116</v>
      </c>
    </row>
    <row r="348" spans="1:1">
      <c r="A348" t="s">
        <v>2816</v>
      </c>
    </row>
    <row r="349" spans="1:1">
      <c r="A349" t="s">
        <v>3115</v>
      </c>
    </row>
    <row r="350" spans="1:1">
      <c r="A350" t="s">
        <v>3114</v>
      </c>
    </row>
    <row r="351" spans="1:1">
      <c r="A351" t="s">
        <v>3113</v>
      </c>
    </row>
    <row r="352" spans="1:1">
      <c r="A352" t="s">
        <v>3112</v>
      </c>
    </row>
    <row r="353" spans="1:1">
      <c r="A353" t="s">
        <v>3111</v>
      </c>
    </row>
    <row r="354" spans="1:1">
      <c r="A354" t="s">
        <v>3110</v>
      </c>
    </row>
    <row r="355" spans="1:1">
      <c r="A355" t="s">
        <v>3109</v>
      </c>
    </row>
    <row r="356" spans="1:1">
      <c r="A356" t="s">
        <v>3108</v>
      </c>
    </row>
    <row r="357" spans="1:1">
      <c r="A357" t="s">
        <v>3107</v>
      </c>
    </row>
    <row r="358" spans="1:1">
      <c r="A358" t="s">
        <v>3106</v>
      </c>
    </row>
    <row r="359" spans="1:1">
      <c r="A359" t="s">
        <v>3105</v>
      </c>
    </row>
    <row r="360" spans="1:1">
      <c r="A360" t="s">
        <v>3104</v>
      </c>
    </row>
    <row r="361" spans="1:1">
      <c r="A361" t="s">
        <v>3103</v>
      </c>
    </row>
    <row r="362" spans="1:1">
      <c r="A362" t="s">
        <v>3102</v>
      </c>
    </row>
    <row r="363" spans="1:1">
      <c r="A363" t="s">
        <v>3101</v>
      </c>
    </row>
    <row r="364" spans="1:1">
      <c r="A364" t="s">
        <v>3100</v>
      </c>
    </row>
    <row r="365" spans="1:1">
      <c r="A365" t="s">
        <v>3099</v>
      </c>
    </row>
    <row r="366" spans="1:1">
      <c r="A366" t="s">
        <v>3098</v>
      </c>
    </row>
    <row r="367" spans="1:1">
      <c r="A367" t="s">
        <v>3097</v>
      </c>
    </row>
    <row r="368" spans="1:1">
      <c r="A368" t="s">
        <v>3096</v>
      </c>
    </row>
    <row r="369" spans="1:1">
      <c r="A369" t="s">
        <v>3095</v>
      </c>
    </row>
    <row r="370" spans="1:1">
      <c r="A370" t="s">
        <v>3094</v>
      </c>
    </row>
    <row r="371" spans="1:1">
      <c r="A371" t="s">
        <v>3093</v>
      </c>
    </row>
    <row r="372" spans="1:1">
      <c r="A372" t="s">
        <v>3092</v>
      </c>
    </row>
    <row r="373" spans="1:1">
      <c r="A373" t="s">
        <v>3091</v>
      </c>
    </row>
    <row r="374" spans="1:1">
      <c r="A374" t="s">
        <v>3090</v>
      </c>
    </row>
    <row r="375" spans="1:1">
      <c r="A375" t="s">
        <v>3089</v>
      </c>
    </row>
    <row r="376" spans="1:1">
      <c r="A376" t="s">
        <v>3088</v>
      </c>
    </row>
    <row r="377" spans="1:1">
      <c r="A377" t="s">
        <v>3087</v>
      </c>
    </row>
    <row r="378" spans="1:1">
      <c r="A378" t="s">
        <v>2831</v>
      </c>
    </row>
    <row r="379" spans="1:1">
      <c r="A379" t="s">
        <v>2830</v>
      </c>
    </row>
    <row r="380" spans="1:1">
      <c r="A380" t="s">
        <v>2829</v>
      </c>
    </row>
    <row r="381" spans="1:1">
      <c r="A381" t="s">
        <v>3086</v>
      </c>
    </row>
    <row r="382" spans="1:1">
      <c r="A382" t="s">
        <v>3085</v>
      </c>
    </row>
    <row r="383" spans="1:1">
      <c r="A383" t="s">
        <v>3084</v>
      </c>
    </row>
    <row r="384" spans="1:1">
      <c r="A384" t="s">
        <v>3083</v>
      </c>
    </row>
    <row r="385" spans="1:1">
      <c r="A385" t="s">
        <v>3082</v>
      </c>
    </row>
    <row r="386" spans="1:1">
      <c r="A386" t="s">
        <v>3081</v>
      </c>
    </row>
    <row r="387" spans="1:1">
      <c r="A387" t="s">
        <v>3080</v>
      </c>
    </row>
    <row r="388" spans="1:1">
      <c r="A388" t="s">
        <v>3079</v>
      </c>
    </row>
    <row r="389" spans="1:1">
      <c r="A389" t="s">
        <v>3078</v>
      </c>
    </row>
    <row r="390" spans="1:1">
      <c r="A390" t="s">
        <v>3077</v>
      </c>
    </row>
    <row r="391" spans="1:1">
      <c r="A391" t="s">
        <v>3076</v>
      </c>
    </row>
    <row r="392" spans="1:1">
      <c r="A392" t="s">
        <v>3075</v>
      </c>
    </row>
    <row r="393" spans="1:1">
      <c r="A393" t="s">
        <v>3074</v>
      </c>
    </row>
    <row r="394" spans="1:1">
      <c r="A394" t="s">
        <v>3073</v>
      </c>
    </row>
    <row r="395" spans="1:1">
      <c r="A395" t="s">
        <v>3072</v>
      </c>
    </row>
    <row r="396" spans="1:1">
      <c r="A396" t="s">
        <v>3071</v>
      </c>
    </row>
    <row r="397" spans="1:1">
      <c r="A397" t="s">
        <v>3070</v>
      </c>
    </row>
    <row r="398" spans="1:1">
      <c r="A398" t="s">
        <v>3069</v>
      </c>
    </row>
    <row r="399" spans="1:1">
      <c r="A399" t="s">
        <v>3068</v>
      </c>
    </row>
    <row r="400" spans="1:1">
      <c r="A400" t="s">
        <v>3067</v>
      </c>
    </row>
    <row r="401" spans="1:1">
      <c r="A401" t="s">
        <v>3066</v>
      </c>
    </row>
    <row r="402" spans="1:1">
      <c r="A402" t="s">
        <v>3065</v>
      </c>
    </row>
    <row r="403" spans="1:1">
      <c r="A403" t="s">
        <v>3064</v>
      </c>
    </row>
    <row r="404" spans="1:1">
      <c r="A404" t="s">
        <v>3063</v>
      </c>
    </row>
    <row r="405" spans="1:1">
      <c r="A405" t="s">
        <v>3062</v>
      </c>
    </row>
    <row r="406" spans="1:1">
      <c r="A406" t="s">
        <v>3061</v>
      </c>
    </row>
    <row r="407" spans="1:1">
      <c r="A407" t="s">
        <v>3060</v>
      </c>
    </row>
    <row r="408" spans="1:1">
      <c r="A408" t="s">
        <v>3059</v>
      </c>
    </row>
    <row r="409" spans="1:1">
      <c r="A409" t="s">
        <v>3058</v>
      </c>
    </row>
    <row r="410" spans="1:1">
      <c r="A410" t="s">
        <v>3057</v>
      </c>
    </row>
    <row r="411" spans="1:1">
      <c r="A411" t="s">
        <v>3056</v>
      </c>
    </row>
    <row r="412" spans="1:1">
      <c r="A412" t="s">
        <v>3055</v>
      </c>
    </row>
    <row r="413" spans="1:1">
      <c r="A413" t="s">
        <v>3054</v>
      </c>
    </row>
    <row r="414" spans="1:1">
      <c r="A414" t="s">
        <v>3053</v>
      </c>
    </row>
    <row r="415" spans="1:1">
      <c r="A415" t="s">
        <v>2882</v>
      </c>
    </row>
    <row r="416" spans="1:1">
      <c r="A416" t="s">
        <v>3052</v>
      </c>
    </row>
    <row r="417" spans="1:1">
      <c r="A417" t="s">
        <v>2987</v>
      </c>
    </row>
    <row r="418" spans="1:1">
      <c r="A418" t="s">
        <v>3051</v>
      </c>
    </row>
    <row r="419" spans="1:1">
      <c r="A419" t="s">
        <v>3050</v>
      </c>
    </row>
    <row r="420" spans="1:1">
      <c r="A420" t="s">
        <v>2885</v>
      </c>
    </row>
    <row r="421" spans="1:1">
      <c r="A421" t="s">
        <v>3049</v>
      </c>
    </row>
    <row r="422" spans="1:1">
      <c r="A422" t="s">
        <v>3048</v>
      </c>
    </row>
    <row r="423" spans="1:1">
      <c r="A423" t="s">
        <v>3048</v>
      </c>
    </row>
    <row r="424" spans="1:1">
      <c r="A424" t="s">
        <v>3047</v>
      </c>
    </row>
    <row r="425" spans="1:1">
      <c r="A425" t="s">
        <v>3046</v>
      </c>
    </row>
    <row r="426" spans="1:1">
      <c r="A426" t="s">
        <v>3045</v>
      </c>
    </row>
    <row r="427" spans="1:1">
      <c r="A427" t="s">
        <v>3044</v>
      </c>
    </row>
    <row r="428" spans="1:1">
      <c r="A428" t="s">
        <v>3043</v>
      </c>
    </row>
    <row r="429" spans="1:1">
      <c r="A429" t="s">
        <v>3042</v>
      </c>
    </row>
    <row r="430" spans="1:1">
      <c r="A430" t="s">
        <v>3041</v>
      </c>
    </row>
    <row r="431" spans="1:1">
      <c r="A431" t="s">
        <v>3040</v>
      </c>
    </row>
    <row r="432" spans="1:1">
      <c r="A432" t="s">
        <v>3039</v>
      </c>
    </row>
    <row r="433" spans="1:1">
      <c r="A433" t="s">
        <v>3038</v>
      </c>
    </row>
    <row r="434" spans="1:1">
      <c r="A434" t="s">
        <v>3037</v>
      </c>
    </row>
    <row r="435" spans="1:1">
      <c r="A435" t="s">
        <v>3036</v>
      </c>
    </row>
    <row r="436" spans="1:1">
      <c r="A436" t="s">
        <v>3035</v>
      </c>
    </row>
    <row r="437" spans="1:1">
      <c r="A437" t="s">
        <v>3034</v>
      </c>
    </row>
    <row r="438" spans="1:1">
      <c r="A438" t="s">
        <v>3033</v>
      </c>
    </row>
    <row r="439" spans="1:1">
      <c r="A439" t="s">
        <v>3032</v>
      </c>
    </row>
    <row r="440" spans="1:1">
      <c r="A440" t="s">
        <v>3031</v>
      </c>
    </row>
    <row r="441" spans="1:1">
      <c r="A441" t="s">
        <v>3030</v>
      </c>
    </row>
    <row r="442" spans="1:1">
      <c r="A442" t="s">
        <v>3030</v>
      </c>
    </row>
    <row r="443" spans="1:1">
      <c r="A443" t="s">
        <v>3029</v>
      </c>
    </row>
    <row r="444" spans="1:1">
      <c r="A444" t="s">
        <v>3028</v>
      </c>
    </row>
    <row r="445" spans="1:1">
      <c r="A445" t="s">
        <v>3027</v>
      </c>
    </row>
    <row r="446" spans="1:1">
      <c r="A446" t="s">
        <v>3026</v>
      </c>
    </row>
    <row r="447" spans="1:1">
      <c r="A447" t="s">
        <v>3025</v>
      </c>
    </row>
    <row r="448" spans="1:1">
      <c r="A448" t="s">
        <v>3024</v>
      </c>
    </row>
    <row r="449" spans="1:1">
      <c r="A449" t="s">
        <v>3023</v>
      </c>
    </row>
    <row r="450" spans="1:1">
      <c r="A450" t="s">
        <v>3022</v>
      </c>
    </row>
    <row r="451" spans="1:1">
      <c r="A451" t="s">
        <v>3021</v>
      </c>
    </row>
    <row r="452" spans="1:1">
      <c r="A452" t="s">
        <v>3020</v>
      </c>
    </row>
    <row r="453" spans="1:1">
      <c r="A453" t="s">
        <v>3019</v>
      </c>
    </row>
    <row r="454" spans="1:1">
      <c r="A454" t="s">
        <v>3018</v>
      </c>
    </row>
    <row r="455" spans="1:1">
      <c r="A455" t="s">
        <v>3017</v>
      </c>
    </row>
    <row r="456" spans="1:1">
      <c r="A456" t="s">
        <v>3016</v>
      </c>
    </row>
    <row r="457" spans="1:1">
      <c r="A457" t="s">
        <v>3015</v>
      </c>
    </row>
    <row r="458" spans="1:1">
      <c r="A458" t="s">
        <v>3014</v>
      </c>
    </row>
    <row r="459" spans="1:1">
      <c r="A459" t="s">
        <v>3013</v>
      </c>
    </row>
    <row r="460" spans="1:1">
      <c r="A460" t="s">
        <v>3012</v>
      </c>
    </row>
    <row r="461" spans="1:1">
      <c r="A461" t="s">
        <v>3011</v>
      </c>
    </row>
    <row r="462" spans="1:1">
      <c r="A462" t="s">
        <v>3010</v>
      </c>
    </row>
    <row r="463" spans="1:1">
      <c r="A463" t="s">
        <v>3009</v>
      </c>
    </row>
    <row r="464" spans="1:1">
      <c r="A464" t="s">
        <v>3008</v>
      </c>
    </row>
    <row r="465" spans="1:1">
      <c r="A465" t="s">
        <v>3007</v>
      </c>
    </row>
    <row r="466" spans="1:1">
      <c r="A466" t="s">
        <v>3006</v>
      </c>
    </row>
    <row r="467" spans="1:1">
      <c r="A467" t="s">
        <v>3005</v>
      </c>
    </row>
    <row r="468" spans="1:1">
      <c r="A468" t="s">
        <v>3004</v>
      </c>
    </row>
    <row r="469" spans="1:1">
      <c r="A469" t="s">
        <v>3003</v>
      </c>
    </row>
    <row r="470" spans="1:1">
      <c r="A470" t="s">
        <v>3002</v>
      </c>
    </row>
    <row r="471" spans="1:1">
      <c r="A471" t="s">
        <v>3001</v>
      </c>
    </row>
    <row r="472" spans="1:1">
      <c r="A472" t="s">
        <v>3000</v>
      </c>
    </row>
    <row r="473" spans="1:1">
      <c r="A473" t="s">
        <v>2999</v>
      </c>
    </row>
    <row r="474" spans="1:1">
      <c r="A474" t="s">
        <v>2998</v>
      </c>
    </row>
    <row r="475" spans="1:1">
      <c r="A475" t="s">
        <v>2997</v>
      </c>
    </row>
    <row r="476" spans="1:1">
      <c r="A476" t="s">
        <v>2996</v>
      </c>
    </row>
    <row r="477" spans="1:1">
      <c r="A477" t="s">
        <v>2995</v>
      </c>
    </row>
    <row r="478" spans="1:1">
      <c r="A478" t="s">
        <v>2994</v>
      </c>
    </row>
    <row r="479" spans="1:1">
      <c r="A479" t="s">
        <v>2816</v>
      </c>
    </row>
    <row r="480" spans="1:1">
      <c r="A480" t="s">
        <v>2993</v>
      </c>
    </row>
    <row r="481" spans="1:1">
      <c r="A481" t="s">
        <v>2992</v>
      </c>
    </row>
    <row r="482" spans="1:1">
      <c r="A482" t="s">
        <v>2991</v>
      </c>
    </row>
    <row r="483" spans="1:1">
      <c r="A483" t="s">
        <v>2990</v>
      </c>
    </row>
    <row r="484" spans="1:1">
      <c r="A484" t="s">
        <v>2989</v>
      </c>
    </row>
    <row r="485" spans="1:1">
      <c r="A485" t="s">
        <v>2831</v>
      </c>
    </row>
    <row r="486" spans="1:1">
      <c r="A486" t="s">
        <v>2830</v>
      </c>
    </row>
    <row r="487" spans="1:1">
      <c r="A487" t="s">
        <v>2829</v>
      </c>
    </row>
    <row r="488" spans="1:1">
      <c r="A488" t="s">
        <v>2988</v>
      </c>
    </row>
    <row r="489" spans="1:1">
      <c r="A489" t="s">
        <v>2987</v>
      </c>
    </row>
    <row r="490" spans="1:1">
      <c r="A490" t="s">
        <v>2986</v>
      </c>
    </row>
    <row r="491" spans="1:1">
      <c r="A491" t="s">
        <v>2985</v>
      </c>
    </row>
    <row r="492" spans="1:1">
      <c r="A492" t="s">
        <v>2984</v>
      </c>
    </row>
    <row r="493" spans="1:1">
      <c r="A493" t="s">
        <v>2983</v>
      </c>
    </row>
    <row r="494" spans="1:1">
      <c r="A494" t="s">
        <v>2982</v>
      </c>
    </row>
    <row r="495" spans="1:1">
      <c r="A495" t="s">
        <v>2981</v>
      </c>
    </row>
    <row r="496" spans="1:1">
      <c r="A496" t="s">
        <v>2980</v>
      </c>
    </row>
    <row r="497" spans="1:1">
      <c r="A497" t="s">
        <v>2979</v>
      </c>
    </row>
    <row r="498" spans="1:1">
      <c r="A498" t="s">
        <v>2978</v>
      </c>
    </row>
    <row r="499" spans="1:1">
      <c r="A499" t="s">
        <v>2977</v>
      </c>
    </row>
    <row r="500" spans="1:1">
      <c r="A500" t="s">
        <v>2976</v>
      </c>
    </row>
    <row r="501" spans="1:1">
      <c r="A501" t="s">
        <v>2976</v>
      </c>
    </row>
    <row r="502" spans="1:1">
      <c r="A502" t="s">
        <v>2975</v>
      </c>
    </row>
    <row r="503" spans="1:1">
      <c r="A503" t="s">
        <v>2974</v>
      </c>
    </row>
    <row r="504" spans="1:1">
      <c r="A504" t="s">
        <v>2973</v>
      </c>
    </row>
    <row r="505" spans="1:1">
      <c r="A505" t="s">
        <v>2972</v>
      </c>
    </row>
    <row r="506" spans="1:1">
      <c r="A506" t="s">
        <v>2971</v>
      </c>
    </row>
    <row r="507" spans="1:1">
      <c r="A507" t="s">
        <v>2970</v>
      </c>
    </row>
    <row r="508" spans="1:1">
      <c r="A508" t="s">
        <v>2969</v>
      </c>
    </row>
    <row r="509" spans="1:1">
      <c r="A509" t="s">
        <v>2968</v>
      </c>
    </row>
    <row r="510" spans="1:1">
      <c r="A510" t="s">
        <v>2967</v>
      </c>
    </row>
    <row r="511" spans="1:1">
      <c r="A511" t="s">
        <v>2885</v>
      </c>
    </row>
    <row r="512" spans="1:1">
      <c r="A512" t="s">
        <v>2966</v>
      </c>
    </row>
    <row r="513" spans="1:1">
      <c r="A513" t="s">
        <v>2965</v>
      </c>
    </row>
    <row r="514" spans="1:1">
      <c r="A514" t="s">
        <v>2964</v>
      </c>
    </row>
    <row r="515" spans="1:1">
      <c r="A515" t="s">
        <v>2963</v>
      </c>
    </row>
    <row r="516" spans="1:1">
      <c r="A516" t="s">
        <v>2962</v>
      </c>
    </row>
    <row r="517" spans="1:1">
      <c r="A517" t="s">
        <v>2961</v>
      </c>
    </row>
    <row r="518" spans="1:1">
      <c r="A518" t="s">
        <v>2960</v>
      </c>
    </row>
    <row r="519" spans="1:1">
      <c r="A519" t="s">
        <v>2959</v>
      </c>
    </row>
    <row r="520" spans="1:1">
      <c r="A520" t="s">
        <v>2958</v>
      </c>
    </row>
    <row r="521" spans="1:1">
      <c r="A521" t="s">
        <v>2957</v>
      </c>
    </row>
    <row r="522" spans="1:1">
      <c r="A522" t="s">
        <v>2956</v>
      </c>
    </row>
    <row r="523" spans="1:1">
      <c r="A523" t="s">
        <v>2882</v>
      </c>
    </row>
    <row r="524" spans="1:1">
      <c r="A524" t="s">
        <v>2955</v>
      </c>
    </row>
    <row r="525" spans="1:1">
      <c r="A525" t="s">
        <v>2954</v>
      </c>
    </row>
    <row r="526" spans="1:1">
      <c r="A526" t="s">
        <v>2953</v>
      </c>
    </row>
    <row r="527" spans="1:1">
      <c r="A527" t="s">
        <v>2952</v>
      </c>
    </row>
    <row r="528" spans="1:1">
      <c r="A528" t="s">
        <v>2951</v>
      </c>
    </row>
    <row r="529" spans="1:1">
      <c r="A529" t="s">
        <v>2950</v>
      </c>
    </row>
    <row r="530" spans="1:1">
      <c r="A530" t="s">
        <v>2949</v>
      </c>
    </row>
    <row r="531" spans="1:1">
      <c r="A531" t="s">
        <v>2948</v>
      </c>
    </row>
    <row r="532" spans="1:1">
      <c r="A532" t="s">
        <v>2947</v>
      </c>
    </row>
    <row r="533" spans="1:1">
      <c r="A533" t="s">
        <v>2946</v>
      </c>
    </row>
    <row r="534" spans="1:1">
      <c r="A534" t="s">
        <v>2945</v>
      </c>
    </row>
    <row r="535" spans="1:1">
      <c r="A535" t="s">
        <v>2944</v>
      </c>
    </row>
    <row r="536" spans="1:1">
      <c r="A536" t="s">
        <v>2943</v>
      </c>
    </row>
    <row r="537" spans="1:1">
      <c r="A537" t="s">
        <v>2942</v>
      </c>
    </row>
    <row r="538" spans="1:1">
      <c r="A538" t="s">
        <v>2941</v>
      </c>
    </row>
    <row r="539" spans="1:1">
      <c r="A539" t="s">
        <v>2940</v>
      </c>
    </row>
    <row r="540" spans="1:1">
      <c r="A540" t="s">
        <v>2939</v>
      </c>
    </row>
    <row r="541" spans="1:1">
      <c r="A541" t="s">
        <v>2938</v>
      </c>
    </row>
    <row r="542" spans="1:1">
      <c r="A542" t="s">
        <v>2937</v>
      </c>
    </row>
    <row r="543" spans="1:1">
      <c r="A543" t="s">
        <v>2936</v>
      </c>
    </row>
    <row r="544" spans="1:1">
      <c r="A544" t="s">
        <v>2935</v>
      </c>
    </row>
    <row r="545" spans="1:1">
      <c r="A545" t="s">
        <v>2934</v>
      </c>
    </row>
    <row r="546" spans="1:1">
      <c r="A546" t="s">
        <v>2933</v>
      </c>
    </row>
    <row r="547" spans="1:1">
      <c r="A547" t="s">
        <v>2932</v>
      </c>
    </row>
    <row r="548" spans="1:1">
      <c r="A548" t="s">
        <v>2931</v>
      </c>
    </row>
    <row r="549" spans="1:1">
      <c r="A549" t="s">
        <v>2930</v>
      </c>
    </row>
    <row r="550" spans="1:1">
      <c r="A550" t="s">
        <v>2929</v>
      </c>
    </row>
    <row r="551" spans="1:1">
      <c r="A551" t="s">
        <v>2928</v>
      </c>
    </row>
    <row r="552" spans="1:1">
      <c r="A552" t="s">
        <v>2927</v>
      </c>
    </row>
    <row r="553" spans="1:1">
      <c r="A553" t="s">
        <v>2926</v>
      </c>
    </row>
    <row r="554" spans="1:1">
      <c r="A554" t="s">
        <v>2925</v>
      </c>
    </row>
    <row r="555" spans="1:1">
      <c r="A555" t="s">
        <v>2924</v>
      </c>
    </row>
    <row r="556" spans="1:1">
      <c r="A556" t="s">
        <v>2923</v>
      </c>
    </row>
    <row r="557" spans="1:1">
      <c r="A557" t="s">
        <v>2922</v>
      </c>
    </row>
    <row r="558" spans="1:1">
      <c r="A558" t="s">
        <v>2921</v>
      </c>
    </row>
    <row r="559" spans="1:1">
      <c r="A559" t="s">
        <v>2920</v>
      </c>
    </row>
    <row r="560" spans="1:1">
      <c r="A560" t="s">
        <v>2919</v>
      </c>
    </row>
    <row r="561" spans="1:1">
      <c r="A561" t="s">
        <v>2918</v>
      </c>
    </row>
    <row r="562" spans="1:1">
      <c r="A562" t="s">
        <v>2816</v>
      </c>
    </row>
    <row r="563" spans="1:1">
      <c r="A563" t="s">
        <v>2917</v>
      </c>
    </row>
    <row r="564" spans="1:1">
      <c r="A564" t="s">
        <v>2916</v>
      </c>
    </row>
    <row r="565" spans="1:1">
      <c r="A565" t="s">
        <v>2915</v>
      </c>
    </row>
    <row r="566" spans="1:1">
      <c r="A566" t="s">
        <v>2914</v>
      </c>
    </row>
    <row r="567" spans="1:1">
      <c r="A567" t="s">
        <v>2913</v>
      </c>
    </row>
    <row r="568" spans="1:1">
      <c r="A568" t="s">
        <v>2912</v>
      </c>
    </row>
    <row r="569" spans="1:1">
      <c r="A569" t="s">
        <v>2911</v>
      </c>
    </row>
    <row r="570" spans="1:1">
      <c r="A570" t="s">
        <v>2910</v>
      </c>
    </row>
    <row r="571" spans="1:1">
      <c r="A571" t="s">
        <v>2909</v>
      </c>
    </row>
    <row r="572" spans="1:1">
      <c r="A572" t="s">
        <v>2908</v>
      </c>
    </row>
    <row r="573" spans="1:1">
      <c r="A573" t="s">
        <v>2907</v>
      </c>
    </row>
    <row r="574" spans="1:1">
      <c r="A574" t="s">
        <v>2906</v>
      </c>
    </row>
    <row r="575" spans="1:1">
      <c r="A575" t="s">
        <v>2905</v>
      </c>
    </row>
    <row r="576" spans="1:1">
      <c r="A576" t="s">
        <v>2904</v>
      </c>
    </row>
    <row r="577" spans="1:1">
      <c r="A577" t="s">
        <v>2903</v>
      </c>
    </row>
    <row r="578" spans="1:1">
      <c r="A578" t="s">
        <v>2902</v>
      </c>
    </row>
    <row r="579" spans="1:1">
      <c r="A579" t="s">
        <v>2901</v>
      </c>
    </row>
    <row r="580" spans="1:1">
      <c r="A580" t="s">
        <v>2900</v>
      </c>
    </row>
    <row r="581" spans="1:1">
      <c r="A581" t="s">
        <v>2899</v>
      </c>
    </row>
    <row r="582" spans="1:1">
      <c r="A582" t="s">
        <v>2898</v>
      </c>
    </row>
    <row r="583" spans="1:1">
      <c r="A583" t="s">
        <v>2897</v>
      </c>
    </row>
    <row r="584" spans="1:1">
      <c r="A584" t="s">
        <v>2896</v>
      </c>
    </row>
    <row r="585" spans="1:1">
      <c r="A585" t="s">
        <v>2895</v>
      </c>
    </row>
    <row r="586" spans="1:1">
      <c r="A586" t="s">
        <v>2894</v>
      </c>
    </row>
    <row r="587" spans="1:1">
      <c r="A587" t="s">
        <v>2893</v>
      </c>
    </row>
    <row r="588" spans="1:1">
      <c r="A588" t="s">
        <v>2893</v>
      </c>
    </row>
    <row r="589" spans="1:1">
      <c r="A589" t="s">
        <v>2892</v>
      </c>
    </row>
    <row r="590" spans="1:1">
      <c r="A590" t="s">
        <v>2891</v>
      </c>
    </row>
    <row r="591" spans="1:1">
      <c r="A591" t="s">
        <v>2890</v>
      </c>
    </row>
    <row r="592" spans="1:1">
      <c r="A592" t="s">
        <v>2889</v>
      </c>
    </row>
    <row r="593" spans="1:1">
      <c r="A593" t="s">
        <v>2888</v>
      </c>
    </row>
    <row r="594" spans="1:1">
      <c r="A594" t="s">
        <v>2887</v>
      </c>
    </row>
    <row r="595" spans="1:1">
      <c r="A595" t="s">
        <v>2886</v>
      </c>
    </row>
    <row r="596" spans="1:1">
      <c r="A596" t="s">
        <v>2885</v>
      </c>
    </row>
    <row r="597" spans="1:1">
      <c r="A597" t="s">
        <v>2884</v>
      </c>
    </row>
    <row r="598" spans="1:1">
      <c r="A598" t="s">
        <v>2883</v>
      </c>
    </row>
    <row r="599" spans="1:1">
      <c r="A599" t="s">
        <v>2882</v>
      </c>
    </row>
    <row r="600" spans="1:1">
      <c r="A600" t="s">
        <v>2881</v>
      </c>
    </row>
    <row r="601" spans="1:1">
      <c r="A601" t="s">
        <v>2827</v>
      </c>
    </row>
    <row r="602" spans="1:1">
      <c r="A602" t="s">
        <v>2880</v>
      </c>
    </row>
    <row r="603" spans="1:1">
      <c r="A603" t="s">
        <v>2879</v>
      </c>
    </row>
    <row r="604" spans="1:1">
      <c r="A604" t="s">
        <v>2818</v>
      </c>
    </row>
    <row r="605" spans="1:1">
      <c r="A605" t="s">
        <v>2879</v>
      </c>
    </row>
    <row r="606" spans="1:1">
      <c r="A606" t="s">
        <v>2818</v>
      </c>
    </row>
    <row r="607" spans="1:1">
      <c r="A607" t="s">
        <v>2878</v>
      </c>
    </row>
    <row r="608" spans="1:1">
      <c r="A608" t="s">
        <v>2818</v>
      </c>
    </row>
    <row r="609" spans="1:1">
      <c r="A609" t="s">
        <v>2877</v>
      </c>
    </row>
    <row r="610" spans="1:1">
      <c r="A610" t="s">
        <v>2818</v>
      </c>
    </row>
    <row r="611" spans="1:1">
      <c r="A611" t="s">
        <v>2876</v>
      </c>
    </row>
    <row r="612" spans="1:1">
      <c r="A612" t="s">
        <v>2875</v>
      </c>
    </row>
    <row r="613" spans="1:1">
      <c r="A613" t="s">
        <v>2874</v>
      </c>
    </row>
    <row r="614" spans="1:1">
      <c r="A614" t="s">
        <v>2818</v>
      </c>
    </row>
    <row r="615" spans="1:1">
      <c r="A615" t="s">
        <v>2873</v>
      </c>
    </row>
    <row r="616" spans="1:1">
      <c r="A616" t="s">
        <v>2872</v>
      </c>
    </row>
    <row r="617" spans="1:1">
      <c r="A617" t="s">
        <v>2871</v>
      </c>
    </row>
    <row r="618" spans="1:1">
      <c r="A618" t="s">
        <v>2870</v>
      </c>
    </row>
    <row r="619" spans="1:1">
      <c r="A619" t="s">
        <v>2869</v>
      </c>
    </row>
    <row r="620" spans="1:1">
      <c r="A620" t="s">
        <v>2818</v>
      </c>
    </row>
    <row r="621" spans="1:1">
      <c r="A621" t="s">
        <v>2868</v>
      </c>
    </row>
    <row r="622" spans="1:1">
      <c r="A622" t="s">
        <v>2818</v>
      </c>
    </row>
    <row r="623" spans="1:1">
      <c r="A623" t="s">
        <v>2867</v>
      </c>
    </row>
    <row r="624" spans="1:1">
      <c r="A624" t="s">
        <v>2866</v>
      </c>
    </row>
    <row r="625" spans="1:1">
      <c r="A625" t="s">
        <v>2865</v>
      </c>
    </row>
    <row r="626" spans="1:1">
      <c r="A626" t="s">
        <v>2864</v>
      </c>
    </row>
    <row r="627" spans="1:1">
      <c r="A627" t="s">
        <v>2863</v>
      </c>
    </row>
    <row r="628" spans="1:1">
      <c r="A628" t="s">
        <v>2862</v>
      </c>
    </row>
    <row r="629" spans="1:1">
      <c r="A629" t="s">
        <v>2818</v>
      </c>
    </row>
    <row r="630" spans="1:1">
      <c r="A630" t="s">
        <v>2861</v>
      </c>
    </row>
    <row r="631" spans="1:1">
      <c r="A631" t="s">
        <v>2860</v>
      </c>
    </row>
    <row r="632" spans="1:1">
      <c r="A632" t="s">
        <v>2859</v>
      </c>
    </row>
    <row r="633" spans="1:1">
      <c r="A633" t="s">
        <v>2858</v>
      </c>
    </row>
    <row r="634" spans="1:1">
      <c r="A634" t="s">
        <v>2857</v>
      </c>
    </row>
    <row r="635" spans="1:1">
      <c r="A635" t="s">
        <v>2856</v>
      </c>
    </row>
    <row r="636" spans="1:1">
      <c r="A636" t="s">
        <v>2855</v>
      </c>
    </row>
    <row r="637" spans="1:1">
      <c r="A637" t="s">
        <v>2854</v>
      </c>
    </row>
    <row r="638" spans="1:1">
      <c r="A638" t="s">
        <v>2853</v>
      </c>
    </row>
    <row r="639" spans="1:1">
      <c r="A639" t="s">
        <v>2818</v>
      </c>
    </row>
    <row r="640" spans="1:1">
      <c r="A640" t="s">
        <v>2852</v>
      </c>
    </row>
    <row r="641" spans="1:1">
      <c r="A641" t="s">
        <v>2851</v>
      </c>
    </row>
    <row r="642" spans="1:1">
      <c r="A642" t="s">
        <v>2850</v>
      </c>
    </row>
    <row r="643" spans="1:1">
      <c r="A643" t="s">
        <v>2818</v>
      </c>
    </row>
    <row r="644" spans="1:1">
      <c r="A644" t="s">
        <v>2849</v>
      </c>
    </row>
    <row r="645" spans="1:1">
      <c r="A645" t="s">
        <v>2818</v>
      </c>
    </row>
    <row r="646" spans="1:1">
      <c r="A646" t="s">
        <v>2848</v>
      </c>
    </row>
    <row r="647" spans="1:1">
      <c r="A647" t="s">
        <v>2818</v>
      </c>
    </row>
    <row r="648" spans="1:1">
      <c r="A648" t="s">
        <v>2847</v>
      </c>
    </row>
    <row r="649" spans="1:1">
      <c r="A649" t="s">
        <v>2818</v>
      </c>
    </row>
    <row r="650" spans="1:1">
      <c r="A650" t="s">
        <v>2846</v>
      </c>
    </row>
    <row r="651" spans="1:1">
      <c r="A651" t="s">
        <v>2845</v>
      </c>
    </row>
    <row r="652" spans="1:1">
      <c r="A652" t="s">
        <v>2818</v>
      </c>
    </row>
    <row r="653" spans="1:1">
      <c r="A653" t="s">
        <v>2844</v>
      </c>
    </row>
    <row r="654" spans="1:1">
      <c r="A654" t="s">
        <v>2843</v>
      </c>
    </row>
    <row r="655" spans="1:1">
      <c r="A655" t="s">
        <v>2842</v>
      </c>
    </row>
    <row r="656" spans="1:1">
      <c r="A656" t="s">
        <v>2841</v>
      </c>
    </row>
    <row r="657" spans="1:1">
      <c r="A657" t="s">
        <v>2840</v>
      </c>
    </row>
    <row r="658" spans="1:1">
      <c r="A658" t="s">
        <v>2818</v>
      </c>
    </row>
    <row r="659" spans="1:1">
      <c r="A659" t="s">
        <v>2839</v>
      </c>
    </row>
    <row r="660" spans="1:1">
      <c r="A660" t="s">
        <v>2838</v>
      </c>
    </row>
    <row r="661" spans="1:1">
      <c r="A661" t="s">
        <v>2837</v>
      </c>
    </row>
    <row r="662" spans="1:1">
      <c r="A662" t="s">
        <v>2818</v>
      </c>
    </row>
    <row r="663" spans="1:1">
      <c r="A663" t="s">
        <v>2836</v>
      </c>
    </row>
    <row r="664" spans="1:1">
      <c r="A664" t="s">
        <v>2818</v>
      </c>
    </row>
    <row r="665" spans="1:1">
      <c r="A665" t="s">
        <v>2835</v>
      </c>
    </row>
    <row r="666" spans="1:1">
      <c r="A666" t="s">
        <v>2818</v>
      </c>
    </row>
    <row r="667" spans="1:1">
      <c r="A667" t="s">
        <v>2834</v>
      </c>
    </row>
    <row r="668" spans="1:1">
      <c r="A668" t="s">
        <v>2833</v>
      </c>
    </row>
    <row r="669" spans="1:1">
      <c r="A669" t="s">
        <v>2818</v>
      </c>
    </row>
    <row r="670" spans="1:1">
      <c r="A670" t="s">
        <v>2832</v>
      </c>
    </row>
    <row r="671" spans="1:1">
      <c r="A671" t="s">
        <v>2831</v>
      </c>
    </row>
    <row r="672" spans="1:1">
      <c r="A672" t="s">
        <v>2830</v>
      </c>
    </row>
    <row r="673" spans="1:1">
      <c r="A673" t="s">
        <v>2829</v>
      </c>
    </row>
    <row r="674" spans="1:1">
      <c r="A674" t="s">
        <v>2828</v>
      </c>
    </row>
    <row r="675" spans="1:1">
      <c r="A675" t="s">
        <v>2827</v>
      </c>
    </row>
    <row r="676" spans="1:1">
      <c r="A676" t="s">
        <v>2826</v>
      </c>
    </row>
    <row r="677" spans="1:1">
      <c r="A677" t="s">
        <v>2818</v>
      </c>
    </row>
    <row r="678" spans="1:1">
      <c r="A678" t="s">
        <v>2825</v>
      </c>
    </row>
    <row r="679" spans="1:1">
      <c r="A679" t="s">
        <v>2824</v>
      </c>
    </row>
    <row r="680" spans="1:1">
      <c r="A680" t="s">
        <v>2823</v>
      </c>
    </row>
    <row r="681" spans="1:1">
      <c r="A681" t="s">
        <v>2822</v>
      </c>
    </row>
    <row r="682" spans="1:1">
      <c r="A682" t="s">
        <v>2818</v>
      </c>
    </row>
    <row r="683" spans="1:1">
      <c r="A683" t="s">
        <v>2821</v>
      </c>
    </row>
    <row r="684" spans="1:1">
      <c r="A684" t="s">
        <v>2820</v>
      </c>
    </row>
    <row r="685" spans="1:1">
      <c r="A685" t="s">
        <v>2818</v>
      </c>
    </row>
    <row r="686" spans="1:1">
      <c r="A686" t="s">
        <v>2819</v>
      </c>
    </row>
    <row r="687" spans="1:1">
      <c r="A687" t="s">
        <v>2818</v>
      </c>
    </row>
    <row r="688" spans="1:1">
      <c r="A688" t="s">
        <v>2817</v>
      </c>
    </row>
    <row r="689" spans="1:1">
      <c r="A689" t="s">
        <v>2816</v>
      </c>
    </row>
    <row r="690" spans="1:1">
      <c r="A690" t="s">
        <v>2815</v>
      </c>
    </row>
    <row r="691" spans="1:1">
      <c r="A691" t="s">
        <v>2814</v>
      </c>
    </row>
    <row r="692" spans="1:1">
      <c r="A692" t="s">
        <v>2813</v>
      </c>
    </row>
    <row r="693" spans="1:1">
      <c r="A693" t="s">
        <v>2812</v>
      </c>
    </row>
    <row r="694" spans="1:1">
      <c r="A694" t="s">
        <v>2811</v>
      </c>
    </row>
    <row r="695" spans="1:1">
      <c r="A695" t="s">
        <v>2810</v>
      </c>
    </row>
    <row r="696" spans="1:1">
      <c r="A696" t="s">
        <v>2809</v>
      </c>
    </row>
    <row r="697" spans="1:1">
      <c r="A697" t="s">
        <v>2808</v>
      </c>
    </row>
    <row r="698" spans="1:1">
      <c r="A698" t="s">
        <v>2807</v>
      </c>
    </row>
    <row r="699" spans="1:1">
      <c r="A699" t="s">
        <v>2806</v>
      </c>
    </row>
    <row r="700" spans="1:1">
      <c r="A700" t="s">
        <v>2805</v>
      </c>
    </row>
    <row r="701" spans="1:1">
      <c r="A701" t="s">
        <v>2804</v>
      </c>
    </row>
    <row r="702" spans="1:1">
      <c r="A702" t="s">
        <v>2803</v>
      </c>
    </row>
    <row r="703" spans="1:1">
      <c r="A703" t="s">
        <v>2802</v>
      </c>
    </row>
  </sheetData>
  <autoFilter ref="A4:A703" xr:uid="{AA109FC7-A134-43DB-AAFD-F6779ACE1D7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99B6-6D58-4709-97D4-05363B78BBF5}">
  <dimension ref="A4:O17"/>
  <sheetViews>
    <sheetView workbookViewId="0">
      <selection activeCell="J12" sqref="J12"/>
    </sheetView>
  </sheetViews>
  <sheetFormatPr defaultRowHeight="15"/>
  <cols>
    <col min="9" max="9" width="9.85546875" bestFit="1" customWidth="1"/>
    <col min="10" max="10" width="38.140625" bestFit="1" customWidth="1"/>
  </cols>
  <sheetData>
    <row r="4" spans="1:15">
      <c r="A4" t="s">
        <v>3258</v>
      </c>
      <c r="I4" s="2">
        <v>43080</v>
      </c>
      <c r="J4" s="1" t="s">
        <v>2795</v>
      </c>
      <c r="K4" s="1">
        <v>230.05</v>
      </c>
      <c r="L4" s="1" t="s">
        <v>3439</v>
      </c>
      <c r="M4" s="1"/>
      <c r="N4" s="1" t="s">
        <v>3436</v>
      </c>
      <c r="O4" s="1"/>
    </row>
    <row r="5" spans="1:15">
      <c r="A5" t="s">
        <v>3256</v>
      </c>
      <c r="I5" s="2">
        <v>43104</v>
      </c>
      <c r="J5" s="1" t="s">
        <v>2793</v>
      </c>
      <c r="K5" s="1">
        <v>6.42</v>
      </c>
      <c r="L5" s="1" t="s">
        <v>3437</v>
      </c>
      <c r="M5" s="1"/>
      <c r="N5" s="1" t="s">
        <v>3436</v>
      </c>
      <c r="O5" s="1"/>
    </row>
    <row r="6" spans="1:15">
      <c r="A6" t="s">
        <v>3255</v>
      </c>
      <c r="I6" s="2">
        <v>43104</v>
      </c>
      <c r="J6" s="1" t="s">
        <v>3438</v>
      </c>
      <c r="K6" s="3">
        <v>2750</v>
      </c>
      <c r="L6" s="1" t="s">
        <v>3437</v>
      </c>
      <c r="M6" s="1"/>
      <c r="N6" s="1" t="s">
        <v>3436</v>
      </c>
      <c r="O6" s="1"/>
    </row>
    <row r="7" spans="1:15">
      <c r="A7" t="s">
        <v>3161</v>
      </c>
      <c r="I7" s="2">
        <v>43104</v>
      </c>
      <c r="J7" s="1" t="s">
        <v>3438</v>
      </c>
      <c r="K7" s="3">
        <v>3144.85</v>
      </c>
      <c r="L7" s="1" t="s">
        <v>3437</v>
      </c>
      <c r="M7" s="1"/>
      <c r="N7" s="1" t="s">
        <v>3436</v>
      </c>
      <c r="O7" s="1"/>
    </row>
    <row r="8" spans="1:15">
      <c r="A8" t="s">
        <v>3061</v>
      </c>
      <c r="I8" s="2">
        <v>43136</v>
      </c>
      <c r="J8" s="1" t="s">
        <v>2793</v>
      </c>
      <c r="K8" s="1">
        <v>374.5</v>
      </c>
      <c r="L8" s="1" t="s">
        <v>2796</v>
      </c>
      <c r="M8" s="1"/>
      <c r="N8" s="1" t="s">
        <v>3436</v>
      </c>
      <c r="O8" s="1"/>
    </row>
    <row r="9" spans="1:15">
      <c r="A9" t="s">
        <v>3059</v>
      </c>
      <c r="I9" s="2">
        <v>43164</v>
      </c>
      <c r="J9" s="1" t="s">
        <v>2793</v>
      </c>
      <c r="K9" s="1">
        <v>261.08</v>
      </c>
      <c r="L9" s="1" t="s">
        <v>2796</v>
      </c>
      <c r="M9" s="1"/>
      <c r="N9" s="1"/>
      <c r="O9" s="1"/>
    </row>
    <row r="10" spans="1:15">
      <c r="A10" t="s">
        <v>2912</v>
      </c>
      <c r="I10" s="2">
        <v>43164</v>
      </c>
      <c r="J10" s="1" t="s">
        <v>2794</v>
      </c>
      <c r="K10" s="1">
        <v>15.4</v>
      </c>
      <c r="L10" s="1" t="s">
        <v>2797</v>
      </c>
      <c r="M10" s="1"/>
      <c r="N10" s="1"/>
      <c r="O10" s="1"/>
    </row>
    <row r="11" spans="1:15">
      <c r="A11" t="s">
        <v>2961</v>
      </c>
      <c r="I11" s="2">
        <v>43167</v>
      </c>
      <c r="J11" s="1" t="s">
        <v>2795</v>
      </c>
      <c r="K11" s="3">
        <v>2926.65</v>
      </c>
      <c r="L11" s="1" t="s">
        <v>2798</v>
      </c>
      <c r="M11" s="1"/>
      <c r="N11" s="1"/>
      <c r="O11" s="1"/>
    </row>
    <row r="12" spans="1:15">
      <c r="A12" t="s">
        <v>3043</v>
      </c>
      <c r="I12" s="2">
        <v>43187</v>
      </c>
      <c r="J12" s="1" t="s">
        <v>2795</v>
      </c>
      <c r="K12" s="1">
        <v>41.95</v>
      </c>
      <c r="L12" s="1"/>
      <c r="M12" s="1"/>
      <c r="N12" s="1"/>
      <c r="O12" s="1"/>
    </row>
    <row r="13" spans="1:15">
      <c r="A13" t="s">
        <v>2956</v>
      </c>
      <c r="I13" s="2">
        <v>43197</v>
      </c>
      <c r="J13" s="1" t="s">
        <v>2793</v>
      </c>
      <c r="K13" s="1">
        <v>235.4</v>
      </c>
      <c r="L13" s="1"/>
      <c r="M13" s="1"/>
      <c r="N13" s="1"/>
      <c r="O13" s="1"/>
    </row>
    <row r="14" spans="1:15">
      <c r="A14" t="s">
        <v>3320</v>
      </c>
      <c r="I14" s="2">
        <v>43197</v>
      </c>
      <c r="J14" s="1" t="s">
        <v>2795</v>
      </c>
      <c r="K14" s="1">
        <v>230.05</v>
      </c>
      <c r="L14" s="1" t="s">
        <v>2799</v>
      </c>
      <c r="M14" s="1"/>
      <c r="N14" s="1"/>
      <c r="O14" s="1"/>
    </row>
    <row r="15" spans="1:15">
      <c r="A15" t="s">
        <v>2970</v>
      </c>
      <c r="I15" s="2">
        <v>43200</v>
      </c>
      <c r="J15" s="1" t="s">
        <v>2795</v>
      </c>
      <c r="K15" s="3">
        <v>2750.75</v>
      </c>
      <c r="L15" s="1" t="s">
        <v>2798</v>
      </c>
      <c r="M15" s="1"/>
      <c r="N15" s="1"/>
      <c r="O15" s="1"/>
    </row>
    <row r="16" spans="1:15">
      <c r="J16" s="1"/>
      <c r="K16" s="1">
        <f>SUM(K4:K15)</f>
        <v>12967.099999999999</v>
      </c>
      <c r="L16" s="1"/>
      <c r="M16" s="1"/>
      <c r="N16" s="1"/>
      <c r="O16" s="1"/>
    </row>
    <row r="17" spans="10:15">
      <c r="J17" s="1"/>
      <c r="K17" s="1"/>
      <c r="L17" s="1"/>
      <c r="M17" s="1"/>
      <c r="N17" s="1"/>
      <c r="O17"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17"/>
  <sheetViews>
    <sheetView zoomScale="85" zoomScaleNormal="85" workbookViewId="0">
      <pane ySplit="1" topLeftCell="A191" activePane="bottomLeft" state="frozen"/>
      <selection activeCell="D9" sqref="D9"/>
      <selection pane="bottomLeft" activeCell="D9" sqref="D9"/>
    </sheetView>
  </sheetViews>
  <sheetFormatPr defaultColWidth="9.140625" defaultRowHeight="12.75"/>
  <cols>
    <col min="1" max="1" width="9.140625" style="1"/>
    <col min="2" max="2" width="9.85546875" style="1" bestFit="1" customWidth="1"/>
    <col min="3" max="3" width="9.85546875" style="1" customWidth="1"/>
    <col min="4" max="4" width="7" style="1" bestFit="1" customWidth="1"/>
    <col min="5" max="5" width="26.7109375" style="1" bestFit="1" customWidth="1"/>
    <col min="6" max="6" width="5.7109375" style="1" bestFit="1" customWidth="1"/>
    <col min="7" max="7" width="13.85546875" style="1" bestFit="1" customWidth="1"/>
    <col min="8" max="8" width="11.28515625" style="3" bestFit="1" customWidth="1"/>
    <col min="9" max="9" width="40.42578125" style="1" bestFit="1" customWidth="1"/>
    <col min="10" max="10" width="26.7109375" style="1" bestFit="1" customWidth="1"/>
    <col min="11" max="11" width="15.42578125" style="1" bestFit="1" customWidth="1"/>
    <col min="12" max="12" width="16.42578125" style="3" bestFit="1" customWidth="1"/>
    <col min="13" max="13" width="13.5703125" style="1" bestFit="1" customWidth="1"/>
    <col min="14" max="15" width="9.140625" style="1"/>
    <col min="16" max="16" width="3.140625" style="1" hidden="1" customWidth="1"/>
    <col min="17" max="17" width="4.5703125" style="1" hidden="1" customWidth="1"/>
    <col min="18" max="16384" width="9.140625" style="1"/>
  </cols>
  <sheetData>
    <row r="1" spans="1:17">
      <c r="A1" s="8" t="s">
        <v>1408</v>
      </c>
      <c r="B1" s="8" t="s">
        <v>0</v>
      </c>
      <c r="C1" s="8" t="s">
        <v>44</v>
      </c>
      <c r="D1" s="9" t="s">
        <v>19</v>
      </c>
      <c r="E1" s="7" t="s">
        <v>1</v>
      </c>
      <c r="F1" s="7" t="s">
        <v>3</v>
      </c>
      <c r="G1" s="7" t="s">
        <v>10</v>
      </c>
      <c r="H1" s="10" t="s">
        <v>2</v>
      </c>
      <c r="I1" s="7" t="s">
        <v>32</v>
      </c>
      <c r="J1" s="7" t="s">
        <v>61</v>
      </c>
      <c r="K1" s="7" t="s">
        <v>97</v>
      </c>
      <c r="L1" s="10" t="s">
        <v>1209</v>
      </c>
      <c r="M1" s="1">
        <v>48</v>
      </c>
      <c r="N1" s="1">
        <v>51</v>
      </c>
      <c r="P1" s="1">
        <v>1</v>
      </c>
      <c r="Q1" s="1" t="s">
        <v>20</v>
      </c>
    </row>
    <row r="2" spans="1:17">
      <c r="A2" s="1" t="s">
        <v>1122</v>
      </c>
      <c r="B2" s="2">
        <v>41782</v>
      </c>
      <c r="C2" s="60">
        <f>YEAR(B2)</f>
        <v>2014</v>
      </c>
      <c r="D2" s="4" t="str">
        <f>VLOOKUP(MONTH(B2),$P$1:$Q$13,2,0)</f>
        <v>May</v>
      </c>
      <c r="E2" s="1" t="s">
        <v>16</v>
      </c>
      <c r="F2" s="1" t="s">
        <v>13</v>
      </c>
      <c r="G2" s="1" t="s">
        <v>6</v>
      </c>
      <c r="H2" s="3">
        <v>25</v>
      </c>
      <c r="L2" s="3">
        <f>H2*$M$1</f>
        <v>1200</v>
      </c>
      <c r="P2" s="1">
        <v>2</v>
      </c>
      <c r="Q2" s="1" t="s">
        <v>21</v>
      </c>
    </row>
    <row r="3" spans="1:17">
      <c r="A3" s="1" t="s">
        <v>1122</v>
      </c>
      <c r="B3" s="2">
        <v>41782</v>
      </c>
      <c r="C3" s="60">
        <f t="shared" ref="C3:C66" si="0">YEAR(B3)</f>
        <v>2014</v>
      </c>
      <c r="D3" s="4" t="str">
        <f t="shared" ref="D3:D9" si="1">VLOOKUP(MONTH(B3),$P$1:$Q$13,2,0)</f>
        <v>May</v>
      </c>
      <c r="E3" s="1" t="s">
        <v>1114</v>
      </c>
      <c r="F3" s="1" t="s">
        <v>13</v>
      </c>
      <c r="G3" s="1" t="s">
        <v>6</v>
      </c>
      <c r="H3" s="3">
        <v>15</v>
      </c>
      <c r="L3" s="3">
        <f t="shared" ref="L3:L66" si="2">H3*$M$1</f>
        <v>720</v>
      </c>
      <c r="P3" s="1">
        <v>3</v>
      </c>
      <c r="Q3" s="1" t="s">
        <v>22</v>
      </c>
    </row>
    <row r="4" spans="1:17">
      <c r="A4" s="1" t="s">
        <v>1122</v>
      </c>
      <c r="B4" s="2">
        <v>41782</v>
      </c>
      <c r="C4" s="60">
        <f t="shared" si="0"/>
        <v>2014</v>
      </c>
      <c r="D4" s="4" t="str">
        <f t="shared" si="1"/>
        <v>May</v>
      </c>
      <c r="E4" s="1" t="s">
        <v>11</v>
      </c>
      <c r="F4" s="1" t="s">
        <v>13</v>
      </c>
      <c r="G4" s="1" t="s">
        <v>6</v>
      </c>
      <c r="H4" s="3">
        <v>150</v>
      </c>
      <c r="I4" s="1" t="s">
        <v>1115</v>
      </c>
      <c r="L4" s="3">
        <f t="shared" si="2"/>
        <v>7200</v>
      </c>
      <c r="P4" s="1">
        <v>4</v>
      </c>
      <c r="Q4" s="1" t="s">
        <v>23</v>
      </c>
    </row>
    <row r="5" spans="1:17">
      <c r="A5" s="1" t="s">
        <v>1122</v>
      </c>
      <c r="B5" s="2">
        <v>41782</v>
      </c>
      <c r="C5" s="60">
        <f t="shared" si="0"/>
        <v>2014</v>
      </c>
      <c r="D5" s="4" t="str">
        <f t="shared" si="1"/>
        <v>May</v>
      </c>
      <c r="E5" s="1" t="s">
        <v>9</v>
      </c>
      <c r="F5" s="1" t="s">
        <v>12</v>
      </c>
      <c r="G5" s="1" t="s">
        <v>6</v>
      </c>
      <c r="H5" s="3">
        <v>370</v>
      </c>
      <c r="I5" s="1" t="s">
        <v>1116</v>
      </c>
      <c r="L5" s="3">
        <f t="shared" si="2"/>
        <v>17760</v>
      </c>
      <c r="P5" s="1">
        <v>5</v>
      </c>
      <c r="Q5" s="1" t="s">
        <v>24</v>
      </c>
    </row>
    <row r="6" spans="1:17">
      <c r="A6" s="1" t="s">
        <v>1122</v>
      </c>
      <c r="B6" s="2">
        <v>41782</v>
      </c>
      <c r="C6" s="60">
        <f t="shared" si="0"/>
        <v>2014</v>
      </c>
      <c r="D6" s="4" t="str">
        <f t="shared" si="1"/>
        <v>May</v>
      </c>
      <c r="E6" s="1" t="s">
        <v>1117</v>
      </c>
      <c r="F6" s="1" t="s">
        <v>12</v>
      </c>
      <c r="G6" s="1" t="s">
        <v>6</v>
      </c>
      <c r="H6" s="3">
        <v>167</v>
      </c>
      <c r="I6" s="1" t="s">
        <v>1119</v>
      </c>
      <c r="L6" s="3">
        <f t="shared" si="2"/>
        <v>8016</v>
      </c>
      <c r="P6" s="1">
        <v>6</v>
      </c>
      <c r="Q6" s="1" t="s">
        <v>25</v>
      </c>
    </row>
    <row r="7" spans="1:17">
      <c r="A7" s="1" t="s">
        <v>1122</v>
      </c>
      <c r="B7" s="2">
        <v>41782</v>
      </c>
      <c r="C7" s="60">
        <f t="shared" si="0"/>
        <v>2014</v>
      </c>
      <c r="D7" s="4" t="str">
        <f t="shared" si="1"/>
        <v>May</v>
      </c>
      <c r="E7" s="1" t="s">
        <v>1118</v>
      </c>
      <c r="F7" s="1" t="s">
        <v>13</v>
      </c>
      <c r="G7" s="1" t="s">
        <v>6</v>
      </c>
      <c r="H7" s="3">
        <v>50.9</v>
      </c>
      <c r="I7" s="1" t="s">
        <v>1120</v>
      </c>
      <c r="L7" s="3">
        <f t="shared" si="2"/>
        <v>2443.1999999999998</v>
      </c>
      <c r="P7" s="1">
        <v>7</v>
      </c>
      <c r="Q7" s="1" t="s">
        <v>26</v>
      </c>
    </row>
    <row r="8" spans="1:17">
      <c r="A8" s="1" t="s">
        <v>1122</v>
      </c>
      <c r="B8" s="2">
        <v>41789</v>
      </c>
      <c r="C8" s="60">
        <f t="shared" si="0"/>
        <v>2014</v>
      </c>
      <c r="D8" s="4" t="str">
        <f t="shared" si="1"/>
        <v>May</v>
      </c>
      <c r="E8" s="1" t="s">
        <v>4</v>
      </c>
      <c r="F8" s="1" t="s">
        <v>13</v>
      </c>
      <c r="G8" s="1" t="s">
        <v>6</v>
      </c>
      <c r="H8" s="3">
        <v>2.75</v>
      </c>
      <c r="J8" s="1" t="s">
        <v>1241</v>
      </c>
      <c r="K8" s="1">
        <v>50</v>
      </c>
      <c r="L8" s="3">
        <f t="shared" si="2"/>
        <v>132</v>
      </c>
    </row>
    <row r="9" spans="1:17">
      <c r="A9" s="1" t="s">
        <v>1122</v>
      </c>
      <c r="B9" s="2">
        <v>41817</v>
      </c>
      <c r="C9" s="60">
        <f t="shared" si="0"/>
        <v>2014</v>
      </c>
      <c r="D9" s="1" t="str">
        <f t="shared" si="1"/>
        <v>Jun</v>
      </c>
      <c r="E9" s="1" t="s">
        <v>1114</v>
      </c>
      <c r="F9" s="1" t="s">
        <v>13</v>
      </c>
      <c r="G9" s="1" t="s">
        <v>6</v>
      </c>
      <c r="H9" s="3">
        <v>15</v>
      </c>
      <c r="L9" s="3">
        <f t="shared" si="2"/>
        <v>720</v>
      </c>
      <c r="P9" s="1">
        <v>8</v>
      </c>
      <c r="Q9" s="1" t="s">
        <v>27</v>
      </c>
    </row>
    <row r="10" spans="1:17">
      <c r="A10" s="1" t="s">
        <v>1122</v>
      </c>
      <c r="B10" s="2">
        <v>41817</v>
      </c>
      <c r="C10" s="60">
        <f t="shared" si="0"/>
        <v>2014</v>
      </c>
      <c r="D10" s="1" t="str">
        <f t="shared" ref="D10:D12" si="3">VLOOKUP(MONTH(B10),$P$1:$Q$13,2,0)</f>
        <v>Jun</v>
      </c>
      <c r="E10" s="1" t="s">
        <v>11</v>
      </c>
      <c r="F10" s="1" t="s">
        <v>13</v>
      </c>
      <c r="G10" s="1" t="s">
        <v>6</v>
      </c>
      <c r="H10" s="3">
        <v>100</v>
      </c>
      <c r="I10" s="1" t="s">
        <v>1115</v>
      </c>
      <c r="L10" s="3">
        <f t="shared" si="2"/>
        <v>4800</v>
      </c>
      <c r="P10" s="1">
        <v>9</v>
      </c>
      <c r="Q10" s="1" t="s">
        <v>28</v>
      </c>
    </row>
    <row r="11" spans="1:17">
      <c r="A11" s="1" t="s">
        <v>1122</v>
      </c>
      <c r="B11" s="2">
        <v>41817</v>
      </c>
      <c r="C11" s="60">
        <f t="shared" si="0"/>
        <v>2014</v>
      </c>
      <c r="D11" s="1" t="str">
        <f t="shared" si="3"/>
        <v>Jun</v>
      </c>
      <c r="E11" s="1" t="s">
        <v>15</v>
      </c>
      <c r="F11" s="1" t="s">
        <v>13</v>
      </c>
      <c r="G11" s="1" t="s">
        <v>6</v>
      </c>
      <c r="H11" s="3">
        <v>100</v>
      </c>
      <c r="L11" s="3">
        <f t="shared" si="2"/>
        <v>4800</v>
      </c>
      <c r="P11" s="1">
        <v>10</v>
      </c>
      <c r="Q11" s="1" t="s">
        <v>29</v>
      </c>
    </row>
    <row r="12" spans="1:17">
      <c r="A12" s="1" t="s">
        <v>1122</v>
      </c>
      <c r="B12" s="2">
        <v>41817</v>
      </c>
      <c r="C12" s="60">
        <f t="shared" si="0"/>
        <v>2014</v>
      </c>
      <c r="D12" s="1" t="str">
        <f t="shared" si="3"/>
        <v>Jun</v>
      </c>
      <c r="E12" s="1" t="s">
        <v>69</v>
      </c>
      <c r="F12" s="1" t="s">
        <v>13</v>
      </c>
      <c r="G12" s="1" t="s">
        <v>6</v>
      </c>
      <c r="H12" s="3">
        <v>920</v>
      </c>
      <c r="J12" s="1" t="s">
        <v>1221</v>
      </c>
      <c r="K12" s="1">
        <v>2</v>
      </c>
      <c r="L12" s="3">
        <f t="shared" si="2"/>
        <v>44160</v>
      </c>
      <c r="P12" s="1">
        <v>11</v>
      </c>
      <c r="Q12" s="1" t="s">
        <v>30</v>
      </c>
    </row>
    <row r="13" spans="1:17">
      <c r="A13" s="1" t="s">
        <v>1122</v>
      </c>
      <c r="B13" s="2">
        <v>41817</v>
      </c>
      <c r="C13" s="60">
        <f t="shared" si="0"/>
        <v>2014</v>
      </c>
      <c r="D13" s="1" t="str">
        <f t="shared" ref="D13:D14" si="4">VLOOKUP(MONTH(B13),$P$1:$Q$13,2,0)</f>
        <v>Jun</v>
      </c>
      <c r="E13" s="1" t="s">
        <v>1118</v>
      </c>
      <c r="F13" s="1" t="s">
        <v>13</v>
      </c>
      <c r="G13" s="1" t="s">
        <v>6</v>
      </c>
      <c r="H13" s="3">
        <v>79.45</v>
      </c>
      <c r="I13" s="1" t="s">
        <v>1120</v>
      </c>
      <c r="L13" s="3">
        <f t="shared" si="2"/>
        <v>3813.6000000000004</v>
      </c>
      <c r="P13" s="1">
        <v>12</v>
      </c>
      <c r="Q13" s="1" t="s">
        <v>31</v>
      </c>
    </row>
    <row r="14" spans="1:17">
      <c r="A14" s="1" t="s">
        <v>1122</v>
      </c>
      <c r="B14" s="2">
        <v>41821</v>
      </c>
      <c r="C14" s="60">
        <f t="shared" si="0"/>
        <v>2014</v>
      </c>
      <c r="D14" s="1" t="str">
        <f t="shared" si="4"/>
        <v>Jul</v>
      </c>
      <c r="E14" s="1" t="s">
        <v>1114</v>
      </c>
      <c r="F14" s="1" t="s">
        <v>13</v>
      </c>
      <c r="G14" s="1" t="s">
        <v>6</v>
      </c>
      <c r="H14" s="3">
        <v>15</v>
      </c>
      <c r="L14" s="3">
        <f t="shared" si="2"/>
        <v>720</v>
      </c>
    </row>
    <row r="15" spans="1:17">
      <c r="A15" s="1" t="s">
        <v>1122</v>
      </c>
      <c r="B15" s="2">
        <v>41821</v>
      </c>
      <c r="C15" s="60">
        <f t="shared" si="0"/>
        <v>2014</v>
      </c>
      <c r="D15" s="1" t="str">
        <f t="shared" ref="D15:D19" si="5">VLOOKUP(MONTH(B15),$P$1:$Q$13,2,0)</f>
        <v>Jul</v>
      </c>
      <c r="E15" s="1" t="s">
        <v>11</v>
      </c>
      <c r="F15" s="1" t="s">
        <v>13</v>
      </c>
      <c r="G15" s="1" t="s">
        <v>6</v>
      </c>
      <c r="H15" s="3">
        <v>100</v>
      </c>
      <c r="I15" s="1" t="s">
        <v>1115</v>
      </c>
      <c r="L15" s="3">
        <f t="shared" si="2"/>
        <v>4800</v>
      </c>
    </row>
    <row r="16" spans="1:17">
      <c r="A16" s="1" t="s">
        <v>1122</v>
      </c>
      <c r="B16" s="2">
        <v>41821</v>
      </c>
      <c r="C16" s="60">
        <f t="shared" si="0"/>
        <v>2014</v>
      </c>
      <c r="D16" s="1" t="str">
        <f t="shared" si="5"/>
        <v>Jul</v>
      </c>
      <c r="E16" s="1" t="s">
        <v>15</v>
      </c>
      <c r="F16" s="1" t="s">
        <v>13</v>
      </c>
      <c r="G16" s="1" t="s">
        <v>6</v>
      </c>
      <c r="H16" s="3">
        <v>100</v>
      </c>
      <c r="L16" s="3">
        <f t="shared" si="2"/>
        <v>4800</v>
      </c>
      <c r="O16" s="69">
        <v>41789</v>
      </c>
    </row>
    <row r="17" spans="1:18">
      <c r="A17" s="1" t="s">
        <v>1122</v>
      </c>
      <c r="B17" s="2">
        <v>41821</v>
      </c>
      <c r="C17" s="60">
        <f t="shared" si="0"/>
        <v>2014</v>
      </c>
      <c r="D17" s="1" t="str">
        <f t="shared" si="5"/>
        <v>Jul</v>
      </c>
      <c r="E17" s="1" t="s">
        <v>69</v>
      </c>
      <c r="F17" s="1" t="s">
        <v>13</v>
      </c>
      <c r="G17" s="1" t="s">
        <v>6</v>
      </c>
      <c r="H17" s="3">
        <v>460</v>
      </c>
      <c r="J17" s="1" t="s">
        <v>1221</v>
      </c>
      <c r="K17" s="1">
        <v>1</v>
      </c>
      <c r="L17" s="3">
        <f t="shared" si="2"/>
        <v>22080</v>
      </c>
      <c r="O17" s="47">
        <v>41826</v>
      </c>
      <c r="R17" s="1">
        <f>O17-O16</f>
        <v>37</v>
      </c>
    </row>
    <row r="18" spans="1:18">
      <c r="A18" s="1" t="s">
        <v>1122</v>
      </c>
      <c r="B18" s="2">
        <v>41821</v>
      </c>
      <c r="C18" s="60">
        <f t="shared" si="0"/>
        <v>2014</v>
      </c>
      <c r="D18" s="1" t="str">
        <f t="shared" si="5"/>
        <v>Jul</v>
      </c>
      <c r="E18" s="1" t="s">
        <v>69</v>
      </c>
      <c r="F18" s="1" t="s">
        <v>13</v>
      </c>
      <c r="G18" s="1" t="s">
        <v>6</v>
      </c>
      <c r="H18" s="3">
        <v>429.6</v>
      </c>
      <c r="J18" s="1" t="s">
        <v>1222</v>
      </c>
      <c r="K18" s="1">
        <v>4</v>
      </c>
      <c r="L18" s="3">
        <f t="shared" si="2"/>
        <v>20620.800000000003</v>
      </c>
    </row>
    <row r="19" spans="1:18">
      <c r="A19" s="1" t="s">
        <v>1122</v>
      </c>
      <c r="B19" s="2">
        <v>41821</v>
      </c>
      <c r="C19" s="60">
        <f t="shared" si="0"/>
        <v>2014</v>
      </c>
      <c r="D19" s="1" t="str">
        <f t="shared" si="5"/>
        <v>Jul</v>
      </c>
      <c r="E19" s="1" t="s">
        <v>69</v>
      </c>
      <c r="F19" s="1" t="s">
        <v>13</v>
      </c>
      <c r="G19" s="1" t="s">
        <v>6</v>
      </c>
      <c r="H19" s="3">
        <v>1044</v>
      </c>
      <c r="J19" s="1" t="s">
        <v>1223</v>
      </c>
      <c r="K19" s="1">
        <v>4</v>
      </c>
      <c r="L19" s="3">
        <f t="shared" si="2"/>
        <v>50112</v>
      </c>
    </row>
    <row r="20" spans="1:18">
      <c r="A20" s="1" t="s">
        <v>1122</v>
      </c>
      <c r="B20" s="2">
        <v>41821</v>
      </c>
      <c r="C20" s="60">
        <f t="shared" si="0"/>
        <v>2014</v>
      </c>
      <c r="D20" s="1" t="str">
        <f t="shared" ref="D20" si="6">VLOOKUP(MONTH(B20),$P$1:$Q$13,2,0)</f>
        <v>Jul</v>
      </c>
      <c r="E20" s="1" t="s">
        <v>1225</v>
      </c>
      <c r="F20" s="1" t="s">
        <v>12</v>
      </c>
      <c r="G20" s="1" t="s">
        <v>6</v>
      </c>
      <c r="H20" s="3">
        <v>310</v>
      </c>
      <c r="I20" s="1" t="s">
        <v>1226</v>
      </c>
      <c r="K20" s="1">
        <v>2</v>
      </c>
      <c r="L20" s="3">
        <f t="shared" si="2"/>
        <v>14880</v>
      </c>
    </row>
    <row r="21" spans="1:18">
      <c r="A21" s="1" t="s">
        <v>1122</v>
      </c>
      <c r="B21" s="2">
        <v>41821</v>
      </c>
      <c r="C21" s="60">
        <f t="shared" si="0"/>
        <v>2014</v>
      </c>
      <c r="D21" s="1" t="str">
        <f t="shared" ref="D21:D35" si="7">VLOOKUP(MONTH(B21),$P$1:$Q$13,2,0)</f>
        <v>Jul</v>
      </c>
      <c r="E21" s="1" t="s">
        <v>1224</v>
      </c>
      <c r="F21" s="1" t="s">
        <v>12</v>
      </c>
      <c r="G21" s="1" t="s">
        <v>6</v>
      </c>
      <c r="H21" s="3">
        <v>175</v>
      </c>
      <c r="L21" s="3">
        <f t="shared" si="2"/>
        <v>8400</v>
      </c>
    </row>
    <row r="22" spans="1:18">
      <c r="A22" s="1" t="s">
        <v>1122</v>
      </c>
      <c r="B22" s="2">
        <v>41821</v>
      </c>
      <c r="C22" s="60">
        <f t="shared" si="0"/>
        <v>2014</v>
      </c>
      <c r="D22" s="1" t="str">
        <f t="shared" si="7"/>
        <v>Jul</v>
      </c>
      <c r="E22" s="1" t="s">
        <v>9</v>
      </c>
      <c r="F22" s="1" t="s">
        <v>13</v>
      </c>
      <c r="G22" s="1" t="s">
        <v>6</v>
      </c>
      <c r="H22" s="3">
        <v>167</v>
      </c>
      <c r="I22" s="1" t="s">
        <v>1119</v>
      </c>
      <c r="L22" s="3">
        <f t="shared" si="2"/>
        <v>8016</v>
      </c>
    </row>
    <row r="23" spans="1:18">
      <c r="A23" s="1" t="s">
        <v>1122</v>
      </c>
      <c r="B23" s="2">
        <v>41821</v>
      </c>
      <c r="C23" s="60">
        <f t="shared" si="0"/>
        <v>2014</v>
      </c>
      <c r="D23" s="1" t="str">
        <f t="shared" si="7"/>
        <v>Jul</v>
      </c>
      <c r="E23" s="1" t="s">
        <v>1118</v>
      </c>
      <c r="F23" s="1" t="s">
        <v>13</v>
      </c>
      <c r="G23" s="1" t="s">
        <v>6</v>
      </c>
      <c r="H23" s="3">
        <v>196.05</v>
      </c>
      <c r="I23" s="1" t="s">
        <v>1120</v>
      </c>
      <c r="L23" s="3">
        <f t="shared" si="2"/>
        <v>9410.4000000000015</v>
      </c>
    </row>
    <row r="24" spans="1:18">
      <c r="A24" s="1" t="s">
        <v>1122</v>
      </c>
      <c r="B24" s="2">
        <v>41825</v>
      </c>
      <c r="C24" s="60">
        <f t="shared" si="0"/>
        <v>2014</v>
      </c>
      <c r="D24" s="1" t="str">
        <f t="shared" si="7"/>
        <v>Jul</v>
      </c>
      <c r="E24" s="1" t="s">
        <v>1114</v>
      </c>
      <c r="F24" s="1" t="s">
        <v>13</v>
      </c>
      <c r="G24" s="1" t="s">
        <v>6</v>
      </c>
      <c r="H24" s="3">
        <v>15</v>
      </c>
      <c r="L24" s="3">
        <f t="shared" si="2"/>
        <v>720</v>
      </c>
    </row>
    <row r="25" spans="1:18">
      <c r="A25" s="1" t="s">
        <v>1122</v>
      </c>
      <c r="B25" s="2">
        <v>41825</v>
      </c>
      <c r="C25" s="60">
        <f t="shared" si="0"/>
        <v>2014</v>
      </c>
      <c r="D25" s="1" t="str">
        <f t="shared" si="7"/>
        <v>Jul</v>
      </c>
      <c r="E25" s="1" t="s">
        <v>11</v>
      </c>
      <c r="F25" s="1" t="s">
        <v>13</v>
      </c>
      <c r="G25" s="1" t="s">
        <v>6</v>
      </c>
      <c r="H25" s="3">
        <v>100</v>
      </c>
      <c r="I25" s="1" t="s">
        <v>1115</v>
      </c>
      <c r="L25" s="3">
        <f t="shared" si="2"/>
        <v>4800</v>
      </c>
    </row>
    <row r="26" spans="1:18">
      <c r="A26" s="1" t="s">
        <v>1122</v>
      </c>
      <c r="B26" s="2">
        <v>41825</v>
      </c>
      <c r="C26" s="60">
        <f t="shared" si="0"/>
        <v>2014</v>
      </c>
      <c r="D26" s="1" t="str">
        <f t="shared" si="7"/>
        <v>Jul</v>
      </c>
      <c r="E26" s="1" t="s">
        <v>15</v>
      </c>
      <c r="F26" s="1" t="s">
        <v>13</v>
      </c>
      <c r="G26" s="1" t="s">
        <v>6</v>
      </c>
      <c r="H26" s="3">
        <v>100</v>
      </c>
      <c r="L26" s="3">
        <f t="shared" si="2"/>
        <v>4800</v>
      </c>
    </row>
    <row r="27" spans="1:18">
      <c r="A27" s="1" t="s">
        <v>1122</v>
      </c>
      <c r="B27" s="2">
        <v>41825</v>
      </c>
      <c r="C27" s="60">
        <f t="shared" si="0"/>
        <v>2014</v>
      </c>
      <c r="D27" s="1" t="str">
        <f t="shared" si="7"/>
        <v>Jul</v>
      </c>
      <c r="E27" s="1" t="s">
        <v>69</v>
      </c>
      <c r="F27" s="1" t="s">
        <v>13</v>
      </c>
      <c r="G27" s="1" t="s">
        <v>6</v>
      </c>
      <c r="H27" s="3">
        <v>341</v>
      </c>
      <c r="J27" s="1" t="s">
        <v>103</v>
      </c>
      <c r="K27" s="1">
        <v>1</v>
      </c>
      <c r="L27" s="3">
        <f t="shared" si="2"/>
        <v>16368</v>
      </c>
    </row>
    <row r="28" spans="1:18">
      <c r="A28" s="1" t="s">
        <v>1122</v>
      </c>
      <c r="B28" s="2">
        <v>41825</v>
      </c>
      <c r="C28" s="60">
        <f t="shared" si="0"/>
        <v>2014</v>
      </c>
      <c r="D28" s="1" t="str">
        <f t="shared" si="7"/>
        <v>Jul</v>
      </c>
      <c r="E28" s="1" t="s">
        <v>69</v>
      </c>
      <c r="F28" s="1" t="s">
        <v>13</v>
      </c>
      <c r="G28" s="1" t="s">
        <v>6</v>
      </c>
      <c r="H28" s="3">
        <v>214.8</v>
      </c>
      <c r="J28" s="1" t="s">
        <v>1222</v>
      </c>
      <c r="K28" s="1">
        <v>2</v>
      </c>
      <c r="L28" s="3">
        <f t="shared" si="2"/>
        <v>10310.400000000001</v>
      </c>
    </row>
    <row r="29" spans="1:18">
      <c r="A29" s="1" t="s">
        <v>1122</v>
      </c>
      <c r="B29" s="2">
        <v>41825</v>
      </c>
      <c r="C29" s="60">
        <f t="shared" si="0"/>
        <v>2014</v>
      </c>
      <c r="D29" s="1" t="str">
        <f t="shared" si="7"/>
        <v>Jul</v>
      </c>
      <c r="E29" s="1" t="s">
        <v>69</v>
      </c>
      <c r="F29" s="1" t="s">
        <v>13</v>
      </c>
      <c r="G29" s="1" t="s">
        <v>6</v>
      </c>
      <c r="H29" s="3">
        <v>522</v>
      </c>
      <c r="J29" s="1" t="s">
        <v>1223</v>
      </c>
      <c r="K29" s="1">
        <v>2</v>
      </c>
      <c r="L29" s="3">
        <f t="shared" si="2"/>
        <v>25056</v>
      </c>
    </row>
    <row r="30" spans="1:18">
      <c r="A30" s="1" t="s">
        <v>1122</v>
      </c>
      <c r="B30" s="2">
        <v>41825</v>
      </c>
      <c r="C30" s="60">
        <f t="shared" si="0"/>
        <v>2014</v>
      </c>
      <c r="D30" s="1" t="str">
        <f t="shared" si="7"/>
        <v>Jul</v>
      </c>
      <c r="E30" s="1" t="s">
        <v>1118</v>
      </c>
      <c r="F30" s="1" t="s">
        <v>13</v>
      </c>
      <c r="G30" s="1" t="s">
        <v>6</v>
      </c>
      <c r="H30" s="3">
        <v>90.5</v>
      </c>
      <c r="I30" s="1" t="s">
        <v>1120</v>
      </c>
      <c r="L30" s="3">
        <f t="shared" si="2"/>
        <v>4344</v>
      </c>
    </row>
    <row r="31" spans="1:18">
      <c r="A31" s="1" t="s">
        <v>1122</v>
      </c>
      <c r="B31" s="2">
        <v>41825</v>
      </c>
      <c r="C31" s="60">
        <f t="shared" si="0"/>
        <v>2014</v>
      </c>
      <c r="D31" s="1" t="str">
        <f t="shared" si="7"/>
        <v>Jul</v>
      </c>
      <c r="E31" s="1" t="s">
        <v>4</v>
      </c>
      <c r="F31" s="1" t="s">
        <v>12</v>
      </c>
      <c r="G31" s="1" t="s">
        <v>6</v>
      </c>
      <c r="H31" s="3">
        <v>125.19</v>
      </c>
      <c r="I31" s="1" t="s">
        <v>1232</v>
      </c>
      <c r="J31" s="1" t="s">
        <v>1236</v>
      </c>
      <c r="K31" s="1">
        <v>1</v>
      </c>
      <c r="L31" s="3">
        <f t="shared" si="2"/>
        <v>6009.12</v>
      </c>
      <c r="M31" s="1" t="s">
        <v>1235</v>
      </c>
    </row>
    <row r="32" spans="1:18">
      <c r="A32" s="1" t="s">
        <v>1122</v>
      </c>
      <c r="B32" s="2">
        <v>41825</v>
      </c>
      <c r="C32" s="60">
        <f t="shared" si="0"/>
        <v>2014</v>
      </c>
      <c r="D32" s="1" t="str">
        <f t="shared" si="7"/>
        <v>Jul</v>
      </c>
      <c r="E32" s="1" t="s">
        <v>4</v>
      </c>
      <c r="F32" s="1" t="s">
        <v>12</v>
      </c>
      <c r="G32" s="1" t="s">
        <v>6</v>
      </c>
      <c r="I32" s="1" t="s">
        <v>1232</v>
      </c>
      <c r="J32" s="1" t="s">
        <v>1233</v>
      </c>
      <c r="K32" s="1">
        <v>30</v>
      </c>
      <c r="L32" s="3">
        <f t="shared" si="2"/>
        <v>0</v>
      </c>
      <c r="M32" s="1" t="s">
        <v>1238</v>
      </c>
    </row>
    <row r="33" spans="1:13">
      <c r="A33" s="1" t="s">
        <v>1122</v>
      </c>
      <c r="B33" s="2">
        <v>41825</v>
      </c>
      <c r="C33" s="60">
        <f t="shared" si="0"/>
        <v>2014</v>
      </c>
      <c r="D33" s="1" t="str">
        <f t="shared" si="7"/>
        <v>Jul</v>
      </c>
      <c r="E33" s="1" t="s">
        <v>4</v>
      </c>
      <c r="F33" s="1" t="s">
        <v>12</v>
      </c>
      <c r="G33" s="1" t="s">
        <v>6</v>
      </c>
      <c r="I33" s="1" t="s">
        <v>1232</v>
      </c>
      <c r="J33" s="1" t="s">
        <v>1234</v>
      </c>
      <c r="K33" s="1">
        <v>30</v>
      </c>
      <c r="L33" s="3">
        <f t="shared" si="2"/>
        <v>0</v>
      </c>
      <c r="M33" s="1" t="s">
        <v>1237</v>
      </c>
    </row>
    <row r="34" spans="1:13">
      <c r="A34" s="1" t="s">
        <v>1122</v>
      </c>
      <c r="B34" s="2">
        <v>41826</v>
      </c>
      <c r="C34" s="60">
        <f t="shared" si="0"/>
        <v>2014</v>
      </c>
      <c r="D34" s="1" t="str">
        <f t="shared" si="7"/>
        <v>Jul</v>
      </c>
      <c r="E34" s="1" t="s">
        <v>4</v>
      </c>
      <c r="F34" s="1" t="s">
        <v>13</v>
      </c>
      <c r="G34" s="1" t="s">
        <v>6</v>
      </c>
      <c r="H34" s="3">
        <v>2.75</v>
      </c>
      <c r="J34" s="1" t="s">
        <v>1241</v>
      </c>
      <c r="K34" s="1">
        <v>50</v>
      </c>
      <c r="L34" s="3">
        <f t="shared" si="2"/>
        <v>132</v>
      </c>
    </row>
    <row r="35" spans="1:13">
      <c r="A35" s="1" t="s">
        <v>1122</v>
      </c>
      <c r="B35" s="2">
        <v>41827</v>
      </c>
      <c r="C35" s="60">
        <f t="shared" si="0"/>
        <v>2014</v>
      </c>
      <c r="D35" s="1" t="str">
        <f t="shared" si="7"/>
        <v>Jul</v>
      </c>
      <c r="E35" s="1" t="s">
        <v>1114</v>
      </c>
      <c r="F35" s="1" t="s">
        <v>13</v>
      </c>
      <c r="G35" s="1" t="s">
        <v>6</v>
      </c>
      <c r="H35" s="3">
        <v>15</v>
      </c>
      <c r="L35" s="3">
        <f t="shared" si="2"/>
        <v>720</v>
      </c>
    </row>
    <row r="36" spans="1:13">
      <c r="A36" s="1" t="s">
        <v>1122</v>
      </c>
      <c r="B36" s="2">
        <v>41827</v>
      </c>
      <c r="C36" s="60">
        <f t="shared" si="0"/>
        <v>2014</v>
      </c>
      <c r="D36" s="1" t="str">
        <f t="shared" ref="D36:D39" si="8">VLOOKUP(MONTH(B36),$P$1:$Q$13,2,0)</f>
        <v>Jul</v>
      </c>
      <c r="E36" s="1" t="s">
        <v>11</v>
      </c>
      <c r="F36" s="1" t="s">
        <v>13</v>
      </c>
      <c r="G36" s="1" t="s">
        <v>6</v>
      </c>
      <c r="H36" s="3">
        <v>100</v>
      </c>
      <c r="I36" s="1" t="s">
        <v>1115</v>
      </c>
      <c r="L36" s="3">
        <f t="shared" si="2"/>
        <v>4800</v>
      </c>
    </row>
    <row r="37" spans="1:13">
      <c r="A37" s="1" t="s">
        <v>1122</v>
      </c>
      <c r="B37" s="2">
        <v>41827</v>
      </c>
      <c r="C37" s="60">
        <f t="shared" si="0"/>
        <v>2014</v>
      </c>
      <c r="D37" s="1" t="str">
        <f t="shared" si="8"/>
        <v>Jul</v>
      </c>
      <c r="E37" s="1" t="s">
        <v>15</v>
      </c>
      <c r="F37" s="1" t="s">
        <v>13</v>
      </c>
      <c r="G37" s="1" t="s">
        <v>6</v>
      </c>
      <c r="H37" s="3">
        <v>100</v>
      </c>
      <c r="L37" s="3">
        <f t="shared" si="2"/>
        <v>4800</v>
      </c>
    </row>
    <row r="38" spans="1:13">
      <c r="A38" s="1" t="s">
        <v>1122</v>
      </c>
      <c r="B38" s="2">
        <v>41827</v>
      </c>
      <c r="C38" s="60">
        <f t="shared" si="0"/>
        <v>2014</v>
      </c>
      <c r="D38" s="1" t="str">
        <f t="shared" si="8"/>
        <v>Jul</v>
      </c>
      <c r="E38" s="1" t="s">
        <v>69</v>
      </c>
      <c r="F38" s="1" t="s">
        <v>13</v>
      </c>
      <c r="G38" s="1" t="s">
        <v>6</v>
      </c>
      <c r="H38" s="3">
        <v>86</v>
      </c>
      <c r="J38" s="1" t="s">
        <v>1243</v>
      </c>
      <c r="K38" s="1">
        <v>2</v>
      </c>
      <c r="L38" s="3">
        <f t="shared" si="2"/>
        <v>4128</v>
      </c>
    </row>
    <row r="39" spans="1:13">
      <c r="A39" s="1" t="s">
        <v>1122</v>
      </c>
      <c r="B39" s="2">
        <v>41827</v>
      </c>
      <c r="C39" s="60">
        <f t="shared" si="0"/>
        <v>2014</v>
      </c>
      <c r="D39" s="1" t="str">
        <f t="shared" si="8"/>
        <v>Jul</v>
      </c>
      <c r="E39" s="1" t="s">
        <v>69</v>
      </c>
      <c r="F39" s="1" t="s">
        <v>13</v>
      </c>
      <c r="G39" s="1" t="s">
        <v>6</v>
      </c>
      <c r="H39" s="3">
        <v>36.08</v>
      </c>
      <c r="J39" s="1" t="s">
        <v>1239</v>
      </c>
      <c r="K39" s="1">
        <v>4</v>
      </c>
      <c r="L39" s="3">
        <f t="shared" si="2"/>
        <v>1731.84</v>
      </c>
      <c r="M39" s="1" t="s">
        <v>1240</v>
      </c>
    </row>
    <row r="40" spans="1:13">
      <c r="A40" s="1" t="s">
        <v>1122</v>
      </c>
      <c r="B40" s="2">
        <v>41827</v>
      </c>
      <c r="C40" s="60">
        <f t="shared" si="0"/>
        <v>2014</v>
      </c>
      <c r="D40" s="1" t="str">
        <f t="shared" ref="D40:D41" si="9">VLOOKUP(MONTH(B40),$P$1:$Q$13,2,0)</f>
        <v>Jul</v>
      </c>
      <c r="E40" s="1" t="s">
        <v>1118</v>
      </c>
      <c r="F40" s="1" t="s">
        <v>13</v>
      </c>
      <c r="G40" s="1" t="s">
        <v>6</v>
      </c>
      <c r="H40" s="3">
        <v>23.62</v>
      </c>
      <c r="I40" s="1" t="s">
        <v>1120</v>
      </c>
      <c r="L40" s="3">
        <f t="shared" si="2"/>
        <v>1133.76</v>
      </c>
    </row>
    <row r="41" spans="1:13">
      <c r="A41" s="1" t="s">
        <v>1409</v>
      </c>
      <c r="B41" s="2">
        <v>41827</v>
      </c>
      <c r="C41" s="60">
        <f t="shared" si="0"/>
        <v>2014</v>
      </c>
      <c r="D41" s="1" t="str">
        <f t="shared" si="9"/>
        <v>Jul</v>
      </c>
      <c r="E41" s="1" t="s">
        <v>69</v>
      </c>
      <c r="F41" s="1" t="s">
        <v>13</v>
      </c>
      <c r="G41" s="1" t="s">
        <v>6</v>
      </c>
      <c r="H41" s="3">
        <v>25</v>
      </c>
      <c r="I41" s="1" t="s">
        <v>1247</v>
      </c>
      <c r="L41" s="3">
        <f t="shared" si="2"/>
        <v>1200</v>
      </c>
    </row>
    <row r="42" spans="1:13">
      <c r="A42" s="1" t="s">
        <v>1409</v>
      </c>
      <c r="B42" s="2">
        <v>41827</v>
      </c>
      <c r="C42" s="60">
        <f t="shared" si="0"/>
        <v>2014</v>
      </c>
      <c r="D42" s="1" t="str">
        <f t="shared" ref="D42:D43" si="10">VLOOKUP(MONTH(B42),$P$1:$Q$13,2,0)</f>
        <v>Jul</v>
      </c>
      <c r="E42" s="1" t="s">
        <v>1118</v>
      </c>
      <c r="F42" s="1" t="s">
        <v>13</v>
      </c>
      <c r="G42" s="1" t="s">
        <v>6</v>
      </c>
      <c r="H42" s="3">
        <v>1.75</v>
      </c>
      <c r="L42" s="3">
        <f t="shared" si="2"/>
        <v>84</v>
      </c>
    </row>
    <row r="43" spans="1:13">
      <c r="A43" s="1" t="s">
        <v>1122</v>
      </c>
      <c r="B43" s="2">
        <v>41829</v>
      </c>
      <c r="C43" s="60">
        <f t="shared" si="0"/>
        <v>2014</v>
      </c>
      <c r="D43" s="1" t="str">
        <f t="shared" si="10"/>
        <v>Jul</v>
      </c>
      <c r="E43" s="1" t="s">
        <v>166</v>
      </c>
      <c r="F43" s="1" t="s">
        <v>13</v>
      </c>
      <c r="G43" s="1" t="s">
        <v>6</v>
      </c>
      <c r="H43" s="3">
        <v>13.13</v>
      </c>
      <c r="J43" s="1" t="s">
        <v>1250</v>
      </c>
      <c r="L43" s="3">
        <f t="shared" si="2"/>
        <v>630.24</v>
      </c>
    </row>
    <row r="44" spans="1:13">
      <c r="A44" s="1" t="s">
        <v>1122</v>
      </c>
      <c r="B44" s="2">
        <v>41829</v>
      </c>
      <c r="C44" s="60">
        <f t="shared" si="0"/>
        <v>2014</v>
      </c>
      <c r="D44" s="1" t="str">
        <f t="shared" ref="D44" si="11">VLOOKUP(MONTH(B44),$P$1:$Q$13,2,0)</f>
        <v>Jul</v>
      </c>
      <c r="E44" s="1" t="s">
        <v>166</v>
      </c>
      <c r="F44" s="1" t="s">
        <v>13</v>
      </c>
      <c r="G44" s="1" t="s">
        <v>6</v>
      </c>
      <c r="H44" s="3">
        <v>14.75</v>
      </c>
      <c r="J44" s="1" t="s">
        <v>1251</v>
      </c>
      <c r="L44" s="3">
        <f t="shared" si="2"/>
        <v>708</v>
      </c>
    </row>
    <row r="45" spans="1:13">
      <c r="A45" s="1" t="s">
        <v>1122</v>
      </c>
      <c r="B45" s="2">
        <v>41829</v>
      </c>
      <c r="C45" s="60">
        <f t="shared" si="0"/>
        <v>2014</v>
      </c>
      <c r="D45" s="1" t="str">
        <f t="shared" ref="D45:D48" si="12">VLOOKUP(MONTH(B45),$P$1:$Q$13,2,0)</f>
        <v>Jul</v>
      </c>
      <c r="E45" s="1" t="s">
        <v>166</v>
      </c>
      <c r="F45" s="1" t="s">
        <v>13</v>
      </c>
      <c r="G45" s="1" t="s">
        <v>6</v>
      </c>
      <c r="H45" s="3">
        <v>13.62</v>
      </c>
      <c r="I45" s="1" t="s">
        <v>1252</v>
      </c>
      <c r="L45" s="3">
        <f t="shared" si="2"/>
        <v>653.76</v>
      </c>
    </row>
    <row r="46" spans="1:13">
      <c r="A46" s="1" t="s">
        <v>1122</v>
      </c>
      <c r="B46" s="2">
        <v>41829</v>
      </c>
      <c r="C46" s="60">
        <f t="shared" si="0"/>
        <v>2014</v>
      </c>
      <c r="D46" s="1" t="str">
        <f t="shared" si="12"/>
        <v>Jul</v>
      </c>
      <c r="E46" s="1" t="s">
        <v>166</v>
      </c>
      <c r="F46" s="1" t="s">
        <v>13</v>
      </c>
      <c r="G46" s="1" t="s">
        <v>6</v>
      </c>
      <c r="H46" s="3">
        <v>77.58</v>
      </c>
      <c r="I46" s="1" t="s">
        <v>1253</v>
      </c>
      <c r="L46" s="3">
        <f t="shared" si="2"/>
        <v>3723.84</v>
      </c>
    </row>
    <row r="47" spans="1:13">
      <c r="A47" s="1" t="s">
        <v>1122</v>
      </c>
      <c r="B47" s="2">
        <v>41829</v>
      </c>
      <c r="C47" s="60">
        <f t="shared" si="0"/>
        <v>2014</v>
      </c>
      <c r="D47" s="1" t="str">
        <f t="shared" si="12"/>
        <v>Jul</v>
      </c>
      <c r="E47" s="1" t="s">
        <v>166</v>
      </c>
      <c r="F47" s="1" t="s">
        <v>13</v>
      </c>
      <c r="G47" s="1" t="s">
        <v>6</v>
      </c>
      <c r="H47" s="3">
        <v>120</v>
      </c>
      <c r="I47" s="1" t="s">
        <v>1254</v>
      </c>
      <c r="L47" s="3">
        <f t="shared" si="2"/>
        <v>5760</v>
      </c>
    </row>
    <row r="48" spans="1:13">
      <c r="A48" s="1" t="s">
        <v>1122</v>
      </c>
      <c r="B48" s="2">
        <v>41829</v>
      </c>
      <c r="C48" s="60">
        <f t="shared" si="0"/>
        <v>2014</v>
      </c>
      <c r="D48" s="1" t="str">
        <f t="shared" si="12"/>
        <v>Jul</v>
      </c>
      <c r="E48" s="1" t="s">
        <v>166</v>
      </c>
      <c r="F48" s="1" t="s">
        <v>13</v>
      </c>
      <c r="G48" s="1" t="s">
        <v>6</v>
      </c>
      <c r="H48" s="3">
        <v>6800</v>
      </c>
      <c r="I48" s="1" t="s">
        <v>1255</v>
      </c>
      <c r="L48" s="3">
        <f t="shared" si="2"/>
        <v>326400</v>
      </c>
    </row>
    <row r="49" spans="1:12">
      <c r="A49" s="1" t="s">
        <v>1122</v>
      </c>
      <c r="B49" s="2">
        <v>41829</v>
      </c>
      <c r="C49" s="60">
        <f t="shared" si="0"/>
        <v>2014</v>
      </c>
      <c r="D49" s="1" t="str">
        <f t="shared" ref="D49:D51" si="13">VLOOKUP(MONTH(B49),$P$1:$Q$13,2,0)</f>
        <v>Jul</v>
      </c>
      <c r="E49" s="1" t="s">
        <v>1118</v>
      </c>
      <c r="F49" s="1" t="s">
        <v>13</v>
      </c>
      <c r="G49" s="1" t="s">
        <v>6</v>
      </c>
      <c r="H49" s="3">
        <v>492.72</v>
      </c>
      <c r="I49" s="1" t="s">
        <v>1120</v>
      </c>
      <c r="L49" s="3">
        <f t="shared" si="2"/>
        <v>23650.560000000001</v>
      </c>
    </row>
    <row r="50" spans="1:12">
      <c r="A50" s="1" t="s">
        <v>1122</v>
      </c>
      <c r="B50" s="2">
        <v>41829</v>
      </c>
      <c r="C50" s="60">
        <f t="shared" si="0"/>
        <v>2014</v>
      </c>
      <c r="D50" s="1" t="str">
        <f t="shared" si="13"/>
        <v>Jul</v>
      </c>
      <c r="E50" s="1" t="s">
        <v>166</v>
      </c>
      <c r="F50" s="1" t="s">
        <v>13</v>
      </c>
      <c r="G50" s="1" t="s">
        <v>6</v>
      </c>
      <c r="H50" s="3">
        <v>350</v>
      </c>
      <c r="I50" s="1" t="s">
        <v>1257</v>
      </c>
      <c r="L50" s="3">
        <f t="shared" si="2"/>
        <v>16800</v>
      </c>
    </row>
    <row r="51" spans="1:12">
      <c r="A51" s="1" t="s">
        <v>1122</v>
      </c>
      <c r="B51" s="2">
        <v>41831</v>
      </c>
      <c r="C51" s="60">
        <f t="shared" si="0"/>
        <v>2014</v>
      </c>
      <c r="D51" s="1" t="str">
        <f t="shared" si="13"/>
        <v>Jul</v>
      </c>
      <c r="E51" s="1" t="s">
        <v>178</v>
      </c>
      <c r="F51" s="1" t="s">
        <v>13</v>
      </c>
      <c r="G51" s="1" t="s">
        <v>6</v>
      </c>
      <c r="H51" s="3">
        <v>39.200000000000003</v>
      </c>
      <c r="J51" s="1" t="s">
        <v>1259</v>
      </c>
      <c r="K51" s="1">
        <v>56</v>
      </c>
      <c r="L51" s="3">
        <f t="shared" si="2"/>
        <v>1881.6000000000001</v>
      </c>
    </row>
    <row r="52" spans="1:12">
      <c r="A52" s="1" t="s">
        <v>1122</v>
      </c>
      <c r="B52" s="2">
        <v>41831</v>
      </c>
      <c r="C52" s="60">
        <f t="shared" si="0"/>
        <v>2014</v>
      </c>
      <c r="D52" s="1" t="str">
        <f t="shared" ref="D52:D60" si="14">VLOOKUP(MONTH(B52),$P$1:$Q$13,2,0)</f>
        <v>Jul</v>
      </c>
      <c r="E52" s="1" t="s">
        <v>178</v>
      </c>
      <c r="F52" s="1" t="s">
        <v>13</v>
      </c>
      <c r="G52" s="1" t="s">
        <v>6</v>
      </c>
      <c r="H52" s="3">
        <v>168</v>
      </c>
      <c r="J52" s="1" t="s">
        <v>1260</v>
      </c>
      <c r="K52" s="1">
        <v>120</v>
      </c>
      <c r="L52" s="3">
        <f t="shared" si="2"/>
        <v>8064</v>
      </c>
    </row>
    <row r="53" spans="1:12">
      <c r="A53" s="1" t="s">
        <v>1122</v>
      </c>
      <c r="B53" s="2">
        <v>41831</v>
      </c>
      <c r="C53" s="60">
        <f t="shared" si="0"/>
        <v>2014</v>
      </c>
      <c r="D53" s="1" t="str">
        <f t="shared" si="14"/>
        <v>Jul</v>
      </c>
      <c r="E53" s="1" t="s">
        <v>178</v>
      </c>
      <c r="F53" s="1" t="s">
        <v>13</v>
      </c>
      <c r="G53" s="1" t="s">
        <v>6</v>
      </c>
      <c r="H53" s="3">
        <v>85.18</v>
      </c>
      <c r="I53" s="1" t="s">
        <v>1261</v>
      </c>
      <c r="L53" s="3">
        <f t="shared" si="2"/>
        <v>4088.6400000000003</v>
      </c>
    </row>
    <row r="54" spans="1:12">
      <c r="A54" s="1" t="s">
        <v>1122</v>
      </c>
      <c r="B54" s="2">
        <v>41831</v>
      </c>
      <c r="C54" s="60">
        <f t="shared" si="0"/>
        <v>2014</v>
      </c>
      <c r="D54" s="1" t="str">
        <f t="shared" si="14"/>
        <v>Jul</v>
      </c>
      <c r="E54" s="1" t="s">
        <v>178</v>
      </c>
      <c r="F54" s="1" t="s">
        <v>13</v>
      </c>
      <c r="G54" s="1" t="s">
        <v>6</v>
      </c>
      <c r="H54" s="3">
        <v>35</v>
      </c>
      <c r="I54" s="1" t="s">
        <v>1262</v>
      </c>
      <c r="L54" s="3">
        <f t="shared" si="2"/>
        <v>1680</v>
      </c>
    </row>
    <row r="55" spans="1:12">
      <c r="A55" s="1" t="s">
        <v>1122</v>
      </c>
      <c r="B55" s="2">
        <v>41831</v>
      </c>
      <c r="C55" s="60">
        <f t="shared" si="0"/>
        <v>2014</v>
      </c>
      <c r="D55" s="1" t="str">
        <f t="shared" si="14"/>
        <v>Jul</v>
      </c>
      <c r="E55" s="1" t="s">
        <v>178</v>
      </c>
      <c r="F55" s="1" t="s">
        <v>13</v>
      </c>
      <c r="G55" s="1" t="s">
        <v>6</v>
      </c>
      <c r="H55" s="3">
        <v>35</v>
      </c>
      <c r="I55" s="1" t="s">
        <v>1263</v>
      </c>
      <c r="L55" s="3">
        <f t="shared" si="2"/>
        <v>1680</v>
      </c>
    </row>
    <row r="56" spans="1:12">
      <c r="A56" s="1" t="s">
        <v>1122</v>
      </c>
      <c r="B56" s="2">
        <v>41831</v>
      </c>
      <c r="C56" s="60">
        <f t="shared" si="0"/>
        <v>2014</v>
      </c>
      <c r="D56" s="1" t="str">
        <f t="shared" si="14"/>
        <v>Jul</v>
      </c>
      <c r="E56" s="1" t="s">
        <v>178</v>
      </c>
      <c r="F56" s="1" t="s">
        <v>13</v>
      </c>
      <c r="G56" s="1" t="s">
        <v>6</v>
      </c>
      <c r="H56" s="3">
        <v>120</v>
      </c>
      <c r="I56" s="1" t="s">
        <v>1254</v>
      </c>
      <c r="L56" s="3">
        <f t="shared" si="2"/>
        <v>5760</v>
      </c>
    </row>
    <row r="57" spans="1:12">
      <c r="A57" s="1" t="s">
        <v>1122</v>
      </c>
      <c r="B57" s="2">
        <v>41831</v>
      </c>
      <c r="C57" s="60">
        <f t="shared" si="0"/>
        <v>2014</v>
      </c>
      <c r="D57" s="1" t="str">
        <f t="shared" si="14"/>
        <v>Jul</v>
      </c>
      <c r="E57" s="1" t="s">
        <v>1265</v>
      </c>
      <c r="F57" s="1" t="s">
        <v>13</v>
      </c>
      <c r="G57" s="1" t="s">
        <v>6</v>
      </c>
      <c r="H57" s="3">
        <v>900</v>
      </c>
      <c r="I57" s="1" t="s">
        <v>1264</v>
      </c>
      <c r="L57" s="3">
        <f t="shared" si="2"/>
        <v>43200</v>
      </c>
    </row>
    <row r="58" spans="1:12">
      <c r="A58" s="1" t="s">
        <v>1122</v>
      </c>
      <c r="B58" s="2">
        <v>41831</v>
      </c>
      <c r="C58" s="60">
        <f t="shared" si="0"/>
        <v>2014</v>
      </c>
      <c r="D58" s="1" t="str">
        <f t="shared" si="14"/>
        <v>Jul</v>
      </c>
      <c r="E58" s="1" t="s">
        <v>1118</v>
      </c>
      <c r="F58" s="1" t="s">
        <v>13</v>
      </c>
      <c r="G58" s="1" t="s">
        <v>6</v>
      </c>
      <c r="H58" s="3">
        <v>96.77</v>
      </c>
      <c r="I58" s="1" t="s">
        <v>1120</v>
      </c>
      <c r="L58" s="3">
        <f t="shared" si="2"/>
        <v>4644.96</v>
      </c>
    </row>
    <row r="59" spans="1:12">
      <c r="A59" s="1" t="s">
        <v>1122</v>
      </c>
      <c r="B59" s="2">
        <v>41887</v>
      </c>
      <c r="C59" s="60">
        <f t="shared" si="0"/>
        <v>2014</v>
      </c>
      <c r="D59" s="1" t="str">
        <f t="shared" si="14"/>
        <v>Sep</v>
      </c>
      <c r="E59" s="1" t="s">
        <v>4</v>
      </c>
      <c r="F59" s="1" t="s">
        <v>13</v>
      </c>
      <c r="G59" s="1" t="s">
        <v>6</v>
      </c>
      <c r="H59" s="3">
        <v>2.75</v>
      </c>
      <c r="J59" s="1" t="s">
        <v>1241</v>
      </c>
      <c r="K59" s="1">
        <v>50</v>
      </c>
      <c r="L59" s="3">
        <f t="shared" si="2"/>
        <v>132</v>
      </c>
    </row>
    <row r="60" spans="1:12">
      <c r="A60" s="1" t="s">
        <v>1122</v>
      </c>
      <c r="B60" s="2">
        <v>41892</v>
      </c>
      <c r="C60" s="60">
        <f t="shared" si="0"/>
        <v>2014</v>
      </c>
      <c r="D60" s="1" t="str">
        <f t="shared" si="14"/>
        <v>Sep</v>
      </c>
      <c r="E60" s="1" t="s">
        <v>1114</v>
      </c>
      <c r="F60" s="1" t="s">
        <v>13</v>
      </c>
      <c r="G60" s="1" t="s">
        <v>6</v>
      </c>
      <c r="H60" s="3">
        <v>15</v>
      </c>
      <c r="L60" s="3">
        <f t="shared" si="2"/>
        <v>720</v>
      </c>
    </row>
    <row r="61" spans="1:12">
      <c r="A61" s="1" t="s">
        <v>1122</v>
      </c>
      <c r="B61" s="2">
        <v>41892</v>
      </c>
      <c r="C61" s="60">
        <f t="shared" si="0"/>
        <v>2014</v>
      </c>
      <c r="D61" s="1" t="str">
        <f t="shared" ref="D61:D64" si="15">VLOOKUP(MONTH(B61),$P$1:$Q$13,2,0)</f>
        <v>Sep</v>
      </c>
      <c r="E61" s="1" t="s">
        <v>11</v>
      </c>
      <c r="F61" s="1" t="s">
        <v>13</v>
      </c>
      <c r="G61" s="1" t="s">
        <v>6</v>
      </c>
      <c r="H61" s="3">
        <v>100</v>
      </c>
      <c r="I61" s="1" t="s">
        <v>1115</v>
      </c>
      <c r="L61" s="3">
        <f t="shared" si="2"/>
        <v>4800</v>
      </c>
    </row>
    <row r="62" spans="1:12">
      <c r="A62" s="1" t="s">
        <v>1122</v>
      </c>
      <c r="B62" s="2">
        <v>41892</v>
      </c>
      <c r="C62" s="60">
        <f t="shared" si="0"/>
        <v>2014</v>
      </c>
      <c r="D62" s="1" t="str">
        <f t="shared" si="15"/>
        <v>Sep</v>
      </c>
      <c r="E62" s="1" t="s">
        <v>15</v>
      </c>
      <c r="F62" s="1" t="s">
        <v>13</v>
      </c>
      <c r="G62" s="1" t="s">
        <v>6</v>
      </c>
      <c r="H62" s="3">
        <v>100</v>
      </c>
      <c r="L62" s="3">
        <f t="shared" si="2"/>
        <v>4800</v>
      </c>
    </row>
    <row r="63" spans="1:12">
      <c r="A63" s="1" t="s">
        <v>1122</v>
      </c>
      <c r="B63" s="2">
        <v>41892</v>
      </c>
      <c r="C63" s="60">
        <f t="shared" si="0"/>
        <v>2014</v>
      </c>
      <c r="D63" s="1" t="str">
        <f t="shared" si="15"/>
        <v>Sep</v>
      </c>
      <c r="E63" s="1" t="s">
        <v>1118</v>
      </c>
      <c r="F63" s="1" t="s">
        <v>13</v>
      </c>
      <c r="G63" s="1" t="s">
        <v>6</v>
      </c>
      <c r="H63" s="3">
        <v>15.05</v>
      </c>
      <c r="I63" s="1" t="s">
        <v>1120</v>
      </c>
      <c r="L63" s="3">
        <f t="shared" si="2"/>
        <v>722.40000000000009</v>
      </c>
    </row>
    <row r="64" spans="1:12">
      <c r="A64" s="1" t="s">
        <v>1122</v>
      </c>
      <c r="B64" s="2">
        <v>41892</v>
      </c>
      <c r="C64" s="60">
        <f t="shared" si="0"/>
        <v>2014</v>
      </c>
      <c r="D64" s="1" t="str">
        <f t="shared" si="15"/>
        <v>Sep</v>
      </c>
      <c r="E64" s="1" t="s">
        <v>4</v>
      </c>
      <c r="F64" s="1" t="s">
        <v>13</v>
      </c>
      <c r="G64" s="1" t="s">
        <v>6</v>
      </c>
      <c r="H64" s="3">
        <v>51</v>
      </c>
      <c r="I64" s="1" t="s">
        <v>1337</v>
      </c>
      <c r="K64" s="1">
        <v>5</v>
      </c>
      <c r="L64" s="3">
        <f t="shared" si="2"/>
        <v>2448</v>
      </c>
    </row>
    <row r="65" spans="1:12">
      <c r="A65" s="1" t="s">
        <v>1122</v>
      </c>
      <c r="B65" s="2">
        <v>41897</v>
      </c>
      <c r="C65" s="60">
        <f t="shared" si="0"/>
        <v>2014</v>
      </c>
      <c r="D65" s="1" t="str">
        <f t="shared" ref="D65" si="16">VLOOKUP(MONTH(B65),$P$1:$Q$13,2,0)</f>
        <v>Sep</v>
      </c>
      <c r="E65" s="1" t="s">
        <v>4</v>
      </c>
      <c r="F65" s="1" t="s">
        <v>13</v>
      </c>
      <c r="G65" s="1" t="s">
        <v>6</v>
      </c>
      <c r="H65" s="3">
        <v>68.599999999999994</v>
      </c>
      <c r="I65" s="1" t="s">
        <v>1338</v>
      </c>
      <c r="K65" s="1">
        <v>7</v>
      </c>
      <c r="L65" s="3">
        <f t="shared" si="2"/>
        <v>3292.7999999999997</v>
      </c>
    </row>
    <row r="66" spans="1:12">
      <c r="A66" s="1" t="s">
        <v>1122</v>
      </c>
      <c r="B66" s="2">
        <v>41897</v>
      </c>
      <c r="C66" s="60">
        <f t="shared" si="0"/>
        <v>2014</v>
      </c>
      <c r="D66" s="1" t="str">
        <f t="shared" ref="D66:D70" si="17">VLOOKUP(MONTH(B66),$P$1:$Q$13,2,0)</f>
        <v>Sep</v>
      </c>
      <c r="E66" s="1" t="s">
        <v>1114</v>
      </c>
      <c r="F66" s="1" t="s">
        <v>13</v>
      </c>
      <c r="G66" s="1" t="s">
        <v>6</v>
      </c>
      <c r="H66" s="3">
        <v>15</v>
      </c>
      <c r="L66" s="3">
        <f t="shared" si="2"/>
        <v>720</v>
      </c>
    </row>
    <row r="67" spans="1:12">
      <c r="A67" s="1" t="s">
        <v>1122</v>
      </c>
      <c r="B67" s="2">
        <v>41897</v>
      </c>
      <c r="C67" s="60">
        <f t="shared" ref="C67:C118" si="18">YEAR(B67)</f>
        <v>2014</v>
      </c>
      <c r="D67" s="1" t="str">
        <f t="shared" si="17"/>
        <v>Sep</v>
      </c>
      <c r="E67" s="1" t="s">
        <v>11</v>
      </c>
      <c r="F67" s="1" t="s">
        <v>13</v>
      </c>
      <c r="G67" s="1" t="s">
        <v>6</v>
      </c>
      <c r="H67" s="3">
        <v>100</v>
      </c>
      <c r="I67" s="1" t="s">
        <v>1115</v>
      </c>
      <c r="L67" s="3">
        <f t="shared" ref="L67:L71" si="19">H67*$M$1</f>
        <v>4800</v>
      </c>
    </row>
    <row r="68" spans="1:12">
      <c r="A68" s="1" t="s">
        <v>1122</v>
      </c>
      <c r="B68" s="2">
        <v>41897</v>
      </c>
      <c r="C68" s="60">
        <f t="shared" si="18"/>
        <v>2014</v>
      </c>
      <c r="D68" s="1" t="str">
        <f t="shared" si="17"/>
        <v>Sep</v>
      </c>
      <c r="E68" s="1" t="s">
        <v>15</v>
      </c>
      <c r="F68" s="1" t="s">
        <v>13</v>
      </c>
      <c r="G68" s="1" t="s">
        <v>6</v>
      </c>
      <c r="H68" s="3">
        <v>100</v>
      </c>
      <c r="L68" s="3">
        <f t="shared" si="19"/>
        <v>4800</v>
      </c>
    </row>
    <row r="69" spans="1:12">
      <c r="A69" s="1" t="s">
        <v>1122</v>
      </c>
      <c r="B69" s="2">
        <v>41897</v>
      </c>
      <c r="C69" s="60">
        <f t="shared" si="18"/>
        <v>2014</v>
      </c>
      <c r="D69" s="1" t="str">
        <f t="shared" si="17"/>
        <v>Sep</v>
      </c>
      <c r="E69" s="1" t="s">
        <v>1118</v>
      </c>
      <c r="F69" s="1" t="s">
        <v>13</v>
      </c>
      <c r="G69" s="1" t="s">
        <v>6</v>
      </c>
      <c r="H69" s="3">
        <v>19.850000000000001</v>
      </c>
      <c r="I69" s="1" t="s">
        <v>1120</v>
      </c>
      <c r="L69" s="3">
        <f t="shared" si="19"/>
        <v>952.80000000000007</v>
      </c>
    </row>
    <row r="70" spans="1:12">
      <c r="A70" s="1" t="s">
        <v>1122</v>
      </c>
      <c r="B70" s="2">
        <v>41899</v>
      </c>
      <c r="C70" s="60">
        <f t="shared" si="18"/>
        <v>2014</v>
      </c>
      <c r="D70" s="1" t="str">
        <f t="shared" si="17"/>
        <v>Sep</v>
      </c>
      <c r="E70" s="1" t="s">
        <v>1225</v>
      </c>
      <c r="F70" s="1" t="s">
        <v>12</v>
      </c>
      <c r="G70" s="1" t="s">
        <v>6</v>
      </c>
      <c r="H70" s="3">
        <v>-310</v>
      </c>
      <c r="I70" s="1" t="s">
        <v>1349</v>
      </c>
      <c r="L70" s="3">
        <f t="shared" si="19"/>
        <v>-14880</v>
      </c>
    </row>
    <row r="71" spans="1:12">
      <c r="A71" s="1" t="s">
        <v>1122</v>
      </c>
      <c r="B71" s="2">
        <v>41899</v>
      </c>
      <c r="C71" s="60">
        <f t="shared" si="18"/>
        <v>2014</v>
      </c>
      <c r="D71" s="1" t="str">
        <f t="shared" ref="D71" si="20">VLOOKUP(MONTH(B71),$P$1:$Q$13,2,0)</f>
        <v>Sep</v>
      </c>
      <c r="E71" s="1" t="s">
        <v>1118</v>
      </c>
      <c r="F71" s="1" t="s">
        <v>12</v>
      </c>
      <c r="G71" s="1" t="s">
        <v>6</v>
      </c>
      <c r="H71" s="3">
        <v>-21.7</v>
      </c>
      <c r="I71" s="1" t="s">
        <v>1349</v>
      </c>
      <c r="L71" s="3">
        <f t="shared" si="19"/>
        <v>-1041.5999999999999</v>
      </c>
    </row>
    <row r="72" spans="1:12">
      <c r="A72" s="1" t="s">
        <v>1122</v>
      </c>
      <c r="B72" s="2">
        <v>41901</v>
      </c>
      <c r="C72" s="60">
        <f t="shared" si="18"/>
        <v>2014</v>
      </c>
      <c r="D72" s="1" t="str">
        <f>VLOOKUP(MONTH(B72),$P$1:$Q$13,2,0)</f>
        <v>Sep</v>
      </c>
      <c r="E72" s="1" t="s">
        <v>35</v>
      </c>
      <c r="F72" s="1" t="s">
        <v>13</v>
      </c>
      <c r="G72" s="1" t="s">
        <v>6</v>
      </c>
      <c r="H72" s="3">
        <v>84</v>
      </c>
      <c r="J72" s="1" t="s">
        <v>1260</v>
      </c>
      <c r="K72" s="1">
        <v>60</v>
      </c>
      <c r="L72" s="3">
        <f>H72*$M$1</f>
        <v>4032</v>
      </c>
    </row>
    <row r="73" spans="1:12">
      <c r="A73" s="1" t="s">
        <v>1122</v>
      </c>
      <c r="B73" s="2">
        <v>41901</v>
      </c>
      <c r="C73" s="60">
        <f t="shared" si="18"/>
        <v>2014</v>
      </c>
      <c r="D73" s="1" t="str">
        <f>VLOOKUP(MONTH(B73),$P$1:$Q$13,2,0)</f>
        <v>Sep</v>
      </c>
      <c r="E73" s="1" t="s">
        <v>35</v>
      </c>
      <c r="F73" s="1" t="s">
        <v>13</v>
      </c>
      <c r="G73" s="1" t="s">
        <v>6</v>
      </c>
      <c r="H73" s="3">
        <v>85.18</v>
      </c>
      <c r="I73" s="1" t="s">
        <v>1261</v>
      </c>
      <c r="L73" s="3">
        <f>H73*$M$1</f>
        <v>4088.6400000000003</v>
      </c>
    </row>
    <row r="74" spans="1:12">
      <c r="A74" s="1" t="s">
        <v>1122</v>
      </c>
      <c r="B74" s="2">
        <v>41901</v>
      </c>
      <c r="C74" s="60">
        <f t="shared" si="18"/>
        <v>2014</v>
      </c>
      <c r="D74" s="1" t="str">
        <f>VLOOKUP(MONTH(B74),$P$1:$Q$13,2,0)</f>
        <v>Sep</v>
      </c>
      <c r="E74" s="1" t="s">
        <v>35</v>
      </c>
      <c r="F74" s="1" t="s">
        <v>13</v>
      </c>
      <c r="G74" s="1" t="s">
        <v>6</v>
      </c>
      <c r="H74" s="3">
        <v>20</v>
      </c>
      <c r="I74" s="1" t="s">
        <v>1346</v>
      </c>
      <c r="L74" s="3">
        <f>H74*$M$1</f>
        <v>960</v>
      </c>
    </row>
    <row r="75" spans="1:12">
      <c r="A75" s="1" t="s">
        <v>1122</v>
      </c>
      <c r="B75" s="2">
        <v>41901</v>
      </c>
      <c r="C75" s="60">
        <f t="shared" si="18"/>
        <v>2014</v>
      </c>
      <c r="D75" s="1" t="str">
        <f t="shared" ref="D75:D80" si="21">VLOOKUP(MONTH(B75),$P$1:$Q$13,2,0)</f>
        <v>Sep</v>
      </c>
      <c r="E75" s="1" t="s">
        <v>35</v>
      </c>
      <c r="F75" s="1" t="s">
        <v>13</v>
      </c>
      <c r="G75" s="1" t="s">
        <v>6</v>
      </c>
      <c r="H75" s="3">
        <v>35</v>
      </c>
      <c r="I75" s="1" t="s">
        <v>1262</v>
      </c>
      <c r="L75" s="3">
        <f t="shared" ref="L75:L109" si="22">H75*$M$1</f>
        <v>1680</v>
      </c>
    </row>
    <row r="76" spans="1:12">
      <c r="A76" s="1" t="s">
        <v>1122</v>
      </c>
      <c r="B76" s="2">
        <v>41901</v>
      </c>
      <c r="C76" s="60">
        <f t="shared" si="18"/>
        <v>2014</v>
      </c>
      <c r="D76" s="1" t="str">
        <f t="shared" si="21"/>
        <v>Sep</v>
      </c>
      <c r="E76" s="1" t="s">
        <v>35</v>
      </c>
      <c r="F76" s="1" t="s">
        <v>13</v>
      </c>
      <c r="G76" s="1" t="s">
        <v>6</v>
      </c>
      <c r="H76" s="3">
        <v>120</v>
      </c>
      <c r="I76" s="1" t="s">
        <v>1254</v>
      </c>
      <c r="L76" s="3">
        <f t="shared" si="22"/>
        <v>5760</v>
      </c>
    </row>
    <row r="77" spans="1:12">
      <c r="A77" s="1" t="s">
        <v>1122</v>
      </c>
      <c r="B77" s="2">
        <v>41901</v>
      </c>
      <c r="C77" s="60">
        <f t="shared" si="18"/>
        <v>2014</v>
      </c>
      <c r="D77" s="1" t="str">
        <f t="shared" si="21"/>
        <v>Sep</v>
      </c>
      <c r="E77" s="1" t="s">
        <v>35</v>
      </c>
      <c r="F77" s="1" t="s">
        <v>13</v>
      </c>
      <c r="G77" s="1" t="s">
        <v>6</v>
      </c>
      <c r="H77" s="3">
        <v>1500</v>
      </c>
      <c r="I77" s="1" t="s">
        <v>1347</v>
      </c>
      <c r="L77" s="3">
        <f t="shared" si="22"/>
        <v>72000</v>
      </c>
    </row>
    <row r="78" spans="1:12">
      <c r="A78" s="1" t="s">
        <v>1122</v>
      </c>
      <c r="B78" s="2">
        <v>41901</v>
      </c>
      <c r="C78" s="60">
        <f t="shared" si="18"/>
        <v>2014</v>
      </c>
      <c r="D78" s="1" t="str">
        <f t="shared" si="21"/>
        <v>Sep</v>
      </c>
      <c r="E78" s="1" t="s">
        <v>35</v>
      </c>
      <c r="F78" s="1" t="s">
        <v>13</v>
      </c>
      <c r="G78" s="1" t="s">
        <v>6</v>
      </c>
      <c r="H78" s="3">
        <v>700</v>
      </c>
      <c r="I78" s="1" t="s">
        <v>1348</v>
      </c>
      <c r="L78" s="3">
        <f t="shared" si="22"/>
        <v>33600</v>
      </c>
    </row>
    <row r="79" spans="1:12">
      <c r="A79" s="1" t="s">
        <v>1122</v>
      </c>
      <c r="B79" s="2">
        <v>41901</v>
      </c>
      <c r="C79" s="60">
        <f t="shared" si="18"/>
        <v>2014</v>
      </c>
      <c r="D79" s="1" t="str">
        <f t="shared" si="21"/>
        <v>Sep</v>
      </c>
      <c r="E79" s="1" t="s">
        <v>1118</v>
      </c>
      <c r="F79" s="1" t="s">
        <v>13</v>
      </c>
      <c r="G79" s="1" t="s">
        <v>6</v>
      </c>
      <c r="H79" s="3">
        <v>178.07</v>
      </c>
      <c r="I79" s="1" t="s">
        <v>1120</v>
      </c>
      <c r="L79" s="3">
        <f t="shared" si="22"/>
        <v>8547.36</v>
      </c>
    </row>
    <row r="80" spans="1:12">
      <c r="A80" s="1" t="s">
        <v>1122</v>
      </c>
      <c r="B80" s="2">
        <v>41922</v>
      </c>
      <c r="C80" s="60">
        <f t="shared" si="18"/>
        <v>2014</v>
      </c>
      <c r="D80" s="1" t="str">
        <f t="shared" si="21"/>
        <v>Oct</v>
      </c>
      <c r="E80" s="1" t="s">
        <v>4</v>
      </c>
      <c r="F80" s="1" t="s">
        <v>13</v>
      </c>
      <c r="G80" s="1" t="s">
        <v>6</v>
      </c>
      <c r="H80" s="3">
        <v>42</v>
      </c>
      <c r="J80" s="1" t="s">
        <v>1260</v>
      </c>
      <c r="K80" s="1">
        <v>30</v>
      </c>
      <c r="L80" s="3">
        <f t="shared" si="22"/>
        <v>2016</v>
      </c>
    </row>
    <row r="81" spans="1:12">
      <c r="A81" s="1" t="s">
        <v>1122</v>
      </c>
      <c r="B81" s="2">
        <v>41922</v>
      </c>
      <c r="C81" s="60">
        <f t="shared" si="18"/>
        <v>2014</v>
      </c>
      <c r="D81" s="1" t="str">
        <f t="shared" ref="D81:D82" si="23">VLOOKUP(MONTH(B81),$P$1:$Q$13,2,0)</f>
        <v>Oct</v>
      </c>
      <c r="E81" s="1" t="s">
        <v>1118</v>
      </c>
      <c r="F81" s="1" t="s">
        <v>13</v>
      </c>
      <c r="G81" s="1" t="s">
        <v>6</v>
      </c>
      <c r="H81" s="3">
        <v>2.95</v>
      </c>
      <c r="L81" s="3">
        <f t="shared" si="22"/>
        <v>141.60000000000002</v>
      </c>
    </row>
    <row r="82" spans="1:12">
      <c r="A82" s="1" t="s">
        <v>1122</v>
      </c>
      <c r="B82" s="2">
        <v>41926</v>
      </c>
      <c r="C82" s="60">
        <f t="shared" si="18"/>
        <v>2014</v>
      </c>
      <c r="D82" s="1" t="str">
        <f t="shared" si="23"/>
        <v>Oct</v>
      </c>
      <c r="E82" s="1" t="s">
        <v>4</v>
      </c>
      <c r="F82" s="1" t="s">
        <v>13</v>
      </c>
      <c r="G82" s="1" t="s">
        <v>6</v>
      </c>
      <c r="H82" s="3">
        <v>20</v>
      </c>
      <c r="I82" s="1" t="s">
        <v>1382</v>
      </c>
      <c r="J82" s="1" t="s">
        <v>1380</v>
      </c>
      <c r="L82" s="3">
        <f t="shared" si="22"/>
        <v>960</v>
      </c>
    </row>
    <row r="83" spans="1:12">
      <c r="A83" s="1" t="s">
        <v>1122</v>
      </c>
      <c r="B83" s="2">
        <v>41926</v>
      </c>
      <c r="C83" s="60">
        <f t="shared" si="18"/>
        <v>2014</v>
      </c>
      <c r="D83" s="1" t="str">
        <f t="shared" ref="D83:D84" si="24">VLOOKUP(MONTH(B83),$P$1:$Q$13,2,0)</f>
        <v>Oct</v>
      </c>
      <c r="E83" s="1" t="s">
        <v>1118</v>
      </c>
      <c r="F83" s="1" t="s">
        <v>13</v>
      </c>
      <c r="G83" s="1" t="s">
        <v>6</v>
      </c>
      <c r="H83" s="3">
        <v>1.4</v>
      </c>
      <c r="L83" s="3">
        <f t="shared" si="22"/>
        <v>67.199999999999989</v>
      </c>
    </row>
    <row r="84" spans="1:12">
      <c r="A84" s="1" t="s">
        <v>1122</v>
      </c>
      <c r="B84" s="2">
        <v>41930</v>
      </c>
      <c r="C84" s="60">
        <f t="shared" si="18"/>
        <v>2014</v>
      </c>
      <c r="D84" s="1" t="str">
        <f t="shared" si="24"/>
        <v>Oct</v>
      </c>
      <c r="E84" s="1" t="s">
        <v>4</v>
      </c>
      <c r="F84" s="1" t="s">
        <v>13</v>
      </c>
      <c r="G84" s="1" t="s">
        <v>6</v>
      </c>
      <c r="H84" s="3">
        <v>84</v>
      </c>
      <c r="J84" s="1" t="s">
        <v>1260</v>
      </c>
      <c r="K84" s="1">
        <v>60</v>
      </c>
      <c r="L84" s="3">
        <f t="shared" si="22"/>
        <v>4032</v>
      </c>
    </row>
    <row r="85" spans="1:12">
      <c r="A85" s="1" t="s">
        <v>1122</v>
      </c>
      <c r="B85" s="2">
        <v>41930</v>
      </c>
      <c r="C85" s="60">
        <f t="shared" si="18"/>
        <v>2014</v>
      </c>
      <c r="D85" s="1" t="str">
        <f t="shared" ref="D85:D91" si="25">VLOOKUP(MONTH(B85),$P$1:$Q$13,2,0)</f>
        <v>Oct</v>
      </c>
      <c r="E85" s="1" t="s">
        <v>4</v>
      </c>
      <c r="F85" s="1" t="s">
        <v>13</v>
      </c>
      <c r="G85" s="1" t="s">
        <v>6</v>
      </c>
      <c r="H85" s="3">
        <v>60</v>
      </c>
      <c r="J85" s="1" t="s">
        <v>1381</v>
      </c>
      <c r="K85" s="1">
        <v>30</v>
      </c>
      <c r="L85" s="3">
        <f t="shared" si="22"/>
        <v>2880</v>
      </c>
    </row>
    <row r="86" spans="1:12">
      <c r="A86" s="1" t="s">
        <v>1122</v>
      </c>
      <c r="B86" s="2">
        <v>41930</v>
      </c>
      <c r="C86" s="60">
        <f t="shared" si="18"/>
        <v>2014</v>
      </c>
      <c r="D86" s="1" t="str">
        <f t="shared" si="25"/>
        <v>Oct</v>
      </c>
      <c r="E86" s="1" t="s">
        <v>4</v>
      </c>
      <c r="F86" s="1" t="s">
        <v>13</v>
      </c>
      <c r="G86" s="1" t="s">
        <v>6</v>
      </c>
      <c r="H86" s="3">
        <v>20</v>
      </c>
      <c r="I86" s="1" t="s">
        <v>1382</v>
      </c>
      <c r="J86" s="1" t="s">
        <v>1380</v>
      </c>
      <c r="L86" s="3">
        <f t="shared" si="22"/>
        <v>960</v>
      </c>
    </row>
    <row r="87" spans="1:12">
      <c r="A87" s="1" t="s">
        <v>1122</v>
      </c>
      <c r="B87" s="2">
        <v>41930</v>
      </c>
      <c r="C87" s="60">
        <f t="shared" si="18"/>
        <v>2014</v>
      </c>
      <c r="D87" s="1" t="str">
        <f t="shared" si="25"/>
        <v>Oct</v>
      </c>
      <c r="E87" s="1" t="s">
        <v>1114</v>
      </c>
      <c r="F87" s="1" t="s">
        <v>13</v>
      </c>
      <c r="G87" s="1" t="s">
        <v>6</v>
      </c>
      <c r="H87" s="3">
        <v>15</v>
      </c>
      <c r="L87" s="3">
        <f t="shared" si="22"/>
        <v>720</v>
      </c>
    </row>
    <row r="88" spans="1:12">
      <c r="A88" s="1" t="s">
        <v>1122</v>
      </c>
      <c r="B88" s="2">
        <v>41930</v>
      </c>
      <c r="C88" s="60">
        <f t="shared" si="18"/>
        <v>2014</v>
      </c>
      <c r="D88" s="1" t="str">
        <f t="shared" si="25"/>
        <v>Oct</v>
      </c>
      <c r="E88" s="1" t="s">
        <v>11</v>
      </c>
      <c r="F88" s="1" t="s">
        <v>13</v>
      </c>
      <c r="G88" s="1" t="s">
        <v>6</v>
      </c>
      <c r="H88" s="3">
        <v>100</v>
      </c>
      <c r="I88" s="1" t="s">
        <v>1115</v>
      </c>
      <c r="L88" s="3">
        <f t="shared" si="22"/>
        <v>4800</v>
      </c>
    </row>
    <row r="89" spans="1:12">
      <c r="A89" s="1" t="s">
        <v>1122</v>
      </c>
      <c r="B89" s="2">
        <v>41930</v>
      </c>
      <c r="C89" s="60">
        <f t="shared" si="18"/>
        <v>2014</v>
      </c>
      <c r="D89" s="1" t="str">
        <f t="shared" si="25"/>
        <v>Oct</v>
      </c>
      <c r="E89" s="1" t="s">
        <v>15</v>
      </c>
      <c r="F89" s="1" t="s">
        <v>13</v>
      </c>
      <c r="G89" s="1" t="s">
        <v>6</v>
      </c>
      <c r="H89" s="3">
        <v>100</v>
      </c>
      <c r="L89" s="3">
        <f t="shared" si="22"/>
        <v>4800</v>
      </c>
    </row>
    <row r="90" spans="1:12">
      <c r="A90" s="1" t="s">
        <v>1122</v>
      </c>
      <c r="B90" s="2">
        <v>41930</v>
      </c>
      <c r="C90" s="60">
        <f t="shared" si="18"/>
        <v>2014</v>
      </c>
      <c r="D90" s="1" t="str">
        <f t="shared" si="25"/>
        <v>Oct</v>
      </c>
      <c r="E90" s="1" t="s">
        <v>1118</v>
      </c>
      <c r="F90" s="1" t="s">
        <v>13</v>
      </c>
      <c r="G90" s="1" t="s">
        <v>6</v>
      </c>
      <c r="H90" s="3">
        <v>26.55</v>
      </c>
      <c r="I90" s="1" t="s">
        <v>1120</v>
      </c>
      <c r="L90" s="3">
        <f t="shared" si="22"/>
        <v>1274.4000000000001</v>
      </c>
    </row>
    <row r="91" spans="1:12">
      <c r="A91" s="1" t="s">
        <v>1122</v>
      </c>
      <c r="B91" s="2">
        <v>41944</v>
      </c>
      <c r="C91" s="60">
        <f t="shared" si="18"/>
        <v>2014</v>
      </c>
      <c r="D91" s="1" t="str">
        <f t="shared" si="25"/>
        <v>Nov</v>
      </c>
      <c r="E91" s="1" t="s">
        <v>4</v>
      </c>
      <c r="F91" s="1" t="s">
        <v>13</v>
      </c>
      <c r="G91" s="1" t="s">
        <v>6</v>
      </c>
      <c r="H91" s="3">
        <v>126</v>
      </c>
      <c r="J91" s="1" t="s">
        <v>1260</v>
      </c>
      <c r="K91" s="1">
        <v>90</v>
      </c>
      <c r="L91" s="3">
        <f t="shared" si="22"/>
        <v>6048</v>
      </c>
    </row>
    <row r="92" spans="1:12">
      <c r="A92" s="1" t="s">
        <v>1122</v>
      </c>
      <c r="B92" s="2">
        <v>41944</v>
      </c>
      <c r="C92" s="60">
        <f t="shared" si="18"/>
        <v>2014</v>
      </c>
      <c r="D92" s="1" t="str">
        <f t="shared" ref="D92:D93" si="26">VLOOKUP(MONTH(B92),$P$1:$Q$13,2,0)</f>
        <v>Nov</v>
      </c>
      <c r="E92" s="1" t="s">
        <v>4</v>
      </c>
      <c r="F92" s="1" t="s">
        <v>13</v>
      </c>
      <c r="G92" s="1" t="s">
        <v>6</v>
      </c>
      <c r="H92" s="3">
        <v>60</v>
      </c>
      <c r="J92" s="1" t="s">
        <v>1381</v>
      </c>
      <c r="K92" s="1">
        <v>30</v>
      </c>
      <c r="L92" s="3">
        <f t="shared" si="22"/>
        <v>2880</v>
      </c>
    </row>
    <row r="93" spans="1:12">
      <c r="A93" s="1" t="s">
        <v>1122</v>
      </c>
      <c r="B93" s="2">
        <v>41944</v>
      </c>
      <c r="C93" s="60">
        <f t="shared" si="18"/>
        <v>2014</v>
      </c>
      <c r="D93" s="1" t="str">
        <f t="shared" si="26"/>
        <v>Nov</v>
      </c>
      <c r="E93" s="1" t="s">
        <v>1114</v>
      </c>
      <c r="F93" s="1" t="s">
        <v>13</v>
      </c>
      <c r="G93" s="1" t="s">
        <v>6</v>
      </c>
      <c r="H93" s="3">
        <v>15</v>
      </c>
      <c r="L93" s="3">
        <f t="shared" si="22"/>
        <v>720</v>
      </c>
    </row>
    <row r="94" spans="1:12">
      <c r="A94" s="1" t="s">
        <v>1122</v>
      </c>
      <c r="B94" s="2">
        <v>41944</v>
      </c>
      <c r="C94" s="60">
        <f t="shared" si="18"/>
        <v>2014</v>
      </c>
      <c r="D94" s="1" t="str">
        <f t="shared" ref="D94:D97" si="27">VLOOKUP(MONTH(B94),$P$1:$Q$13,2,0)</f>
        <v>Nov</v>
      </c>
      <c r="E94" s="1" t="s">
        <v>11</v>
      </c>
      <c r="F94" s="1" t="s">
        <v>13</v>
      </c>
      <c r="G94" s="1" t="s">
        <v>6</v>
      </c>
      <c r="H94" s="3">
        <v>100</v>
      </c>
      <c r="L94" s="3">
        <f t="shared" si="22"/>
        <v>4800</v>
      </c>
    </row>
    <row r="95" spans="1:12">
      <c r="A95" s="1" t="s">
        <v>1122</v>
      </c>
      <c r="B95" s="2">
        <v>41944</v>
      </c>
      <c r="C95" s="60">
        <f t="shared" si="18"/>
        <v>2014</v>
      </c>
      <c r="D95" s="1" t="str">
        <f t="shared" si="27"/>
        <v>Nov</v>
      </c>
      <c r="E95" s="1" t="s">
        <v>15</v>
      </c>
      <c r="F95" s="1" t="s">
        <v>13</v>
      </c>
      <c r="G95" s="1" t="s">
        <v>6</v>
      </c>
      <c r="H95" s="3">
        <v>100</v>
      </c>
      <c r="L95" s="3">
        <f t="shared" si="22"/>
        <v>4800</v>
      </c>
    </row>
    <row r="96" spans="1:12" ht="13.5" thickBot="1">
      <c r="A96" s="79" t="s">
        <v>1122</v>
      </c>
      <c r="B96" s="80">
        <v>41944</v>
      </c>
      <c r="C96" s="91">
        <f t="shared" si="18"/>
        <v>2014</v>
      </c>
      <c r="D96" s="79" t="str">
        <f t="shared" si="27"/>
        <v>Nov</v>
      </c>
      <c r="E96" s="79" t="s">
        <v>1118</v>
      </c>
      <c r="F96" s="79" t="s">
        <v>13</v>
      </c>
      <c r="G96" s="79" t="s">
        <v>6</v>
      </c>
      <c r="H96" s="81">
        <v>28.05</v>
      </c>
      <c r="I96" s="79"/>
      <c r="J96" s="79"/>
      <c r="K96" s="79"/>
      <c r="L96" s="81">
        <f t="shared" si="22"/>
        <v>1346.4</v>
      </c>
    </row>
    <row r="97" spans="1:12">
      <c r="A97" s="78" t="s">
        <v>1409</v>
      </c>
      <c r="B97" s="2">
        <v>41964</v>
      </c>
      <c r="C97" s="60">
        <f t="shared" si="18"/>
        <v>2014</v>
      </c>
      <c r="D97" s="1" t="str">
        <f t="shared" si="27"/>
        <v>Nov</v>
      </c>
      <c r="E97" s="1" t="s">
        <v>11</v>
      </c>
      <c r="F97" s="1" t="s">
        <v>13</v>
      </c>
      <c r="G97" s="1" t="s">
        <v>6</v>
      </c>
      <c r="H97" s="3">
        <v>90</v>
      </c>
      <c r="L97" s="3">
        <f t="shared" si="22"/>
        <v>4320</v>
      </c>
    </row>
    <row r="98" spans="1:12">
      <c r="A98" s="78" t="s">
        <v>1409</v>
      </c>
      <c r="B98" s="2">
        <v>41964</v>
      </c>
      <c r="C98" s="60">
        <f t="shared" si="18"/>
        <v>2014</v>
      </c>
      <c r="D98" s="1" t="str">
        <f t="shared" ref="D98:D103" si="28">VLOOKUP(MONTH(B98),$P$1:$Q$13,2,0)</f>
        <v>Nov</v>
      </c>
      <c r="E98" s="1" t="s">
        <v>1410</v>
      </c>
      <c r="F98" s="1" t="s">
        <v>13</v>
      </c>
      <c r="G98" s="1" t="s">
        <v>6</v>
      </c>
      <c r="H98" s="3">
        <v>10</v>
      </c>
      <c r="I98" s="1" t="s">
        <v>1411</v>
      </c>
      <c r="L98" s="3">
        <f t="shared" si="22"/>
        <v>480</v>
      </c>
    </row>
    <row r="99" spans="1:12">
      <c r="A99" s="78" t="s">
        <v>1409</v>
      </c>
      <c r="B99" s="2">
        <v>41964</v>
      </c>
      <c r="C99" s="60">
        <f t="shared" si="18"/>
        <v>2014</v>
      </c>
      <c r="D99" s="1" t="str">
        <f t="shared" si="28"/>
        <v>Nov</v>
      </c>
      <c r="E99" s="1" t="s">
        <v>15</v>
      </c>
      <c r="F99" s="1" t="s">
        <v>13</v>
      </c>
      <c r="G99" s="1" t="s">
        <v>6</v>
      </c>
      <c r="H99" s="3">
        <v>50</v>
      </c>
      <c r="L99" s="3">
        <f t="shared" si="22"/>
        <v>2400</v>
      </c>
    </row>
    <row r="100" spans="1:12">
      <c r="A100" s="78" t="s">
        <v>1409</v>
      </c>
      <c r="B100" s="2">
        <v>41964</v>
      </c>
      <c r="C100" s="60">
        <f t="shared" si="18"/>
        <v>2014</v>
      </c>
      <c r="D100" s="1" t="str">
        <f t="shared" si="28"/>
        <v>Nov</v>
      </c>
      <c r="E100" s="1" t="s">
        <v>1412</v>
      </c>
      <c r="F100" s="1" t="s">
        <v>13</v>
      </c>
      <c r="G100" s="1" t="s">
        <v>6</v>
      </c>
      <c r="H100" s="3">
        <v>1300</v>
      </c>
      <c r="I100" s="1" t="s">
        <v>1413</v>
      </c>
      <c r="L100" s="3">
        <f t="shared" si="22"/>
        <v>62400</v>
      </c>
    </row>
    <row r="101" spans="1:12">
      <c r="A101" s="78" t="s">
        <v>1409</v>
      </c>
      <c r="B101" s="2">
        <v>41964</v>
      </c>
      <c r="C101" s="60">
        <f t="shared" si="18"/>
        <v>2014</v>
      </c>
      <c r="D101" s="1" t="str">
        <f t="shared" si="28"/>
        <v>Nov</v>
      </c>
      <c r="E101" s="1" t="s">
        <v>4</v>
      </c>
      <c r="F101" s="1" t="s">
        <v>13</v>
      </c>
      <c r="G101" s="1" t="s">
        <v>6</v>
      </c>
      <c r="H101" s="3">
        <v>48</v>
      </c>
      <c r="I101" s="1" t="s">
        <v>1415</v>
      </c>
      <c r="J101" s="1" t="s">
        <v>1414</v>
      </c>
      <c r="K101" s="1">
        <v>60</v>
      </c>
      <c r="L101" s="3">
        <f t="shared" si="22"/>
        <v>2304</v>
      </c>
    </row>
    <row r="102" spans="1:12">
      <c r="A102" s="78" t="s">
        <v>1409</v>
      </c>
      <c r="B102" s="2">
        <v>41964</v>
      </c>
      <c r="C102" s="60">
        <f t="shared" si="18"/>
        <v>2014</v>
      </c>
      <c r="D102" s="1" t="str">
        <f t="shared" si="28"/>
        <v>Nov</v>
      </c>
      <c r="E102" s="1" t="s">
        <v>1118</v>
      </c>
      <c r="F102" s="1" t="s">
        <v>13</v>
      </c>
      <c r="G102" s="1" t="s">
        <v>6</v>
      </c>
      <c r="H102" s="3">
        <v>104.86</v>
      </c>
      <c r="L102" s="3">
        <f t="shared" si="22"/>
        <v>5033.28</v>
      </c>
    </row>
    <row r="103" spans="1:12">
      <c r="A103" s="78" t="s">
        <v>1409</v>
      </c>
      <c r="B103" s="2">
        <v>41992</v>
      </c>
      <c r="C103" s="60">
        <f t="shared" si="18"/>
        <v>2014</v>
      </c>
      <c r="D103" s="1" t="str">
        <f t="shared" si="28"/>
        <v>Dec</v>
      </c>
      <c r="E103" s="1" t="s">
        <v>11</v>
      </c>
      <c r="F103" s="1" t="s">
        <v>13</v>
      </c>
      <c r="G103" s="1" t="s">
        <v>6</v>
      </c>
      <c r="H103" s="3">
        <v>90</v>
      </c>
      <c r="L103" s="3">
        <f t="shared" si="22"/>
        <v>4320</v>
      </c>
    </row>
    <row r="104" spans="1:12">
      <c r="A104" s="78" t="s">
        <v>1409</v>
      </c>
      <c r="B104" s="2">
        <v>41992</v>
      </c>
      <c r="C104" s="60">
        <f t="shared" si="18"/>
        <v>2014</v>
      </c>
      <c r="D104" s="1" t="str">
        <f t="shared" ref="D104:D108" si="29">VLOOKUP(MONTH(B104),$P$1:$Q$13,2,0)</f>
        <v>Dec</v>
      </c>
      <c r="E104" s="1" t="s">
        <v>1410</v>
      </c>
      <c r="F104" s="1" t="s">
        <v>13</v>
      </c>
      <c r="G104" s="1" t="s">
        <v>6</v>
      </c>
      <c r="H104" s="3">
        <v>10</v>
      </c>
      <c r="I104" s="1" t="s">
        <v>1411</v>
      </c>
      <c r="L104" s="3">
        <f t="shared" si="22"/>
        <v>480</v>
      </c>
    </row>
    <row r="105" spans="1:12">
      <c r="A105" s="78" t="s">
        <v>1409</v>
      </c>
      <c r="B105" s="2">
        <v>41992</v>
      </c>
      <c r="C105" s="60">
        <f t="shared" si="18"/>
        <v>2014</v>
      </c>
      <c r="D105" s="1" t="str">
        <f t="shared" si="29"/>
        <v>Dec</v>
      </c>
      <c r="E105" s="1" t="s">
        <v>15</v>
      </c>
      <c r="F105" s="1" t="s">
        <v>13</v>
      </c>
      <c r="G105" s="1" t="s">
        <v>6</v>
      </c>
      <c r="H105" s="3">
        <v>50</v>
      </c>
      <c r="L105" s="3">
        <f t="shared" si="22"/>
        <v>2400</v>
      </c>
    </row>
    <row r="106" spans="1:12">
      <c r="A106" s="78" t="s">
        <v>1409</v>
      </c>
      <c r="B106" s="2">
        <v>41992</v>
      </c>
      <c r="C106" s="60">
        <f t="shared" si="18"/>
        <v>2014</v>
      </c>
      <c r="D106" s="1" t="str">
        <f t="shared" si="29"/>
        <v>Dec</v>
      </c>
      <c r="E106" s="1" t="s">
        <v>4</v>
      </c>
      <c r="F106" s="1" t="s">
        <v>13</v>
      </c>
      <c r="G106" s="1" t="s">
        <v>6</v>
      </c>
      <c r="H106" s="3">
        <v>48</v>
      </c>
      <c r="I106" s="1" t="s">
        <v>1415</v>
      </c>
      <c r="J106" s="1" t="s">
        <v>1414</v>
      </c>
      <c r="K106" s="1">
        <v>60</v>
      </c>
      <c r="L106" s="3">
        <f t="shared" si="22"/>
        <v>2304</v>
      </c>
    </row>
    <row r="107" spans="1:12">
      <c r="A107" s="78" t="s">
        <v>1409</v>
      </c>
      <c r="B107" s="2">
        <v>41992</v>
      </c>
      <c r="C107" s="60">
        <f t="shared" si="18"/>
        <v>2014</v>
      </c>
      <c r="D107" s="1" t="str">
        <f t="shared" si="29"/>
        <v>Dec</v>
      </c>
      <c r="E107" s="1" t="s">
        <v>1118</v>
      </c>
      <c r="F107" s="1" t="s">
        <v>13</v>
      </c>
      <c r="G107" s="1" t="s">
        <v>6</v>
      </c>
      <c r="H107" s="3">
        <v>13.86</v>
      </c>
      <c r="L107" s="3">
        <f t="shared" si="22"/>
        <v>665.28</v>
      </c>
    </row>
    <row r="108" spans="1:12">
      <c r="A108" s="78" t="s">
        <v>1409</v>
      </c>
      <c r="B108" s="2">
        <v>42023</v>
      </c>
      <c r="C108" s="60">
        <f t="shared" si="18"/>
        <v>2015</v>
      </c>
      <c r="D108" s="1" t="str">
        <f t="shared" si="29"/>
        <v>Jan</v>
      </c>
      <c r="E108" s="1" t="s">
        <v>15</v>
      </c>
      <c r="F108" s="1" t="s">
        <v>13</v>
      </c>
      <c r="G108" s="1" t="s">
        <v>6</v>
      </c>
      <c r="H108" s="3">
        <v>153</v>
      </c>
      <c r="I108" s="1" t="s">
        <v>1530</v>
      </c>
      <c r="L108" s="3">
        <f t="shared" si="22"/>
        <v>7344</v>
      </c>
    </row>
    <row r="109" spans="1:12">
      <c r="A109" s="78" t="s">
        <v>1409</v>
      </c>
      <c r="B109" s="2">
        <v>42023</v>
      </c>
      <c r="C109" s="60">
        <f t="shared" si="18"/>
        <v>2015</v>
      </c>
      <c r="D109" s="1" t="str">
        <f t="shared" ref="D109" si="30">VLOOKUP(MONTH(B109),$P$1:$Q$13,2,0)</f>
        <v>Jan</v>
      </c>
      <c r="E109" s="1" t="s">
        <v>1118</v>
      </c>
      <c r="F109" s="1" t="s">
        <v>13</v>
      </c>
      <c r="G109" s="1" t="s">
        <v>6</v>
      </c>
      <c r="H109" s="3">
        <v>10.7</v>
      </c>
      <c r="L109" s="3">
        <f t="shared" si="22"/>
        <v>513.59999999999991</v>
      </c>
    </row>
    <row r="110" spans="1:12">
      <c r="A110" s="78" t="s">
        <v>1409</v>
      </c>
      <c r="B110" s="2">
        <v>42023</v>
      </c>
      <c r="C110" s="60">
        <f t="shared" si="18"/>
        <v>2015</v>
      </c>
      <c r="D110" s="1" t="str">
        <f>VLOOKUP(MONTH(B110),$P$1:$Q$13,2,0)</f>
        <v>Jan</v>
      </c>
      <c r="E110" s="1" t="s">
        <v>11</v>
      </c>
      <c r="F110" s="1" t="s">
        <v>13</v>
      </c>
      <c r="G110" s="1" t="s">
        <v>6</v>
      </c>
      <c r="H110" s="3">
        <v>90</v>
      </c>
      <c r="L110" s="3">
        <f>H110*$M$1</f>
        <v>4320</v>
      </c>
    </row>
    <row r="111" spans="1:12">
      <c r="A111" s="78" t="s">
        <v>1409</v>
      </c>
      <c r="B111" s="2">
        <v>42023</v>
      </c>
      <c r="C111" s="60">
        <f t="shared" si="18"/>
        <v>2015</v>
      </c>
      <c r="D111" s="1" t="str">
        <f>VLOOKUP(MONTH(B111),$P$1:$Q$13,2,0)</f>
        <v>Jan</v>
      </c>
      <c r="E111" s="1" t="s">
        <v>1410</v>
      </c>
      <c r="F111" s="1" t="s">
        <v>13</v>
      </c>
      <c r="G111" s="1" t="s">
        <v>6</v>
      </c>
      <c r="H111" s="3">
        <v>10</v>
      </c>
      <c r="I111" s="1" t="s">
        <v>1411</v>
      </c>
      <c r="L111" s="3">
        <f>H111*$M$1</f>
        <v>480</v>
      </c>
    </row>
    <row r="112" spans="1:12">
      <c r="A112" s="78" t="s">
        <v>1409</v>
      </c>
      <c r="B112" s="2">
        <v>42023</v>
      </c>
      <c r="C112" s="60">
        <f t="shared" si="18"/>
        <v>2015</v>
      </c>
      <c r="D112" s="1" t="str">
        <f t="shared" ref="D112:D114" si="31">VLOOKUP(MONTH(B112),$P$1:$Q$13,2,0)</f>
        <v>Jan</v>
      </c>
      <c r="E112" s="1" t="s">
        <v>4</v>
      </c>
      <c r="F112" s="1" t="s">
        <v>13</v>
      </c>
      <c r="G112" s="1" t="s">
        <v>6</v>
      </c>
      <c r="H112" s="3">
        <v>48</v>
      </c>
      <c r="I112" s="1" t="s">
        <v>1415</v>
      </c>
      <c r="J112" s="1" t="s">
        <v>1414</v>
      </c>
      <c r="K112" s="1">
        <v>60</v>
      </c>
      <c r="L112" s="3">
        <f>H112*$M$1</f>
        <v>2304</v>
      </c>
    </row>
    <row r="113" spans="1:12" ht="13.5" thickBot="1">
      <c r="A113" s="216" t="s">
        <v>1409</v>
      </c>
      <c r="B113" s="80">
        <v>42023</v>
      </c>
      <c r="C113" s="91">
        <f t="shared" si="18"/>
        <v>2015</v>
      </c>
      <c r="D113" s="79" t="str">
        <f t="shared" si="31"/>
        <v>Jan</v>
      </c>
      <c r="E113" s="79" t="s">
        <v>1118</v>
      </c>
      <c r="F113" s="79" t="s">
        <v>13</v>
      </c>
      <c r="G113" s="79" t="s">
        <v>6</v>
      </c>
      <c r="H113" s="81">
        <v>10.36</v>
      </c>
      <c r="I113" s="79"/>
      <c r="J113" s="79"/>
      <c r="K113" s="79"/>
      <c r="L113" s="81">
        <f>H113*$M$1</f>
        <v>497.28</v>
      </c>
    </row>
    <row r="114" spans="1:12">
      <c r="A114" s="78" t="s">
        <v>1122</v>
      </c>
      <c r="B114" s="2">
        <v>42216</v>
      </c>
      <c r="C114" s="60">
        <f t="shared" si="18"/>
        <v>2015</v>
      </c>
      <c r="D114" s="1" t="str">
        <f t="shared" si="31"/>
        <v>Jul</v>
      </c>
      <c r="E114" s="1" t="s">
        <v>1265</v>
      </c>
      <c r="F114" s="1" t="s">
        <v>13</v>
      </c>
      <c r="G114" s="1" t="s">
        <v>6</v>
      </c>
      <c r="H114" s="3">
        <v>840</v>
      </c>
      <c r="I114" s="1" t="s">
        <v>1264</v>
      </c>
      <c r="J114" s="1" t="s">
        <v>1788</v>
      </c>
      <c r="L114" s="3">
        <f t="shared" ref="L114:L157" si="32">H114*$M$1</f>
        <v>40320</v>
      </c>
    </row>
    <row r="115" spans="1:12">
      <c r="A115" s="78" t="s">
        <v>1122</v>
      </c>
      <c r="B115" s="2">
        <v>42216</v>
      </c>
      <c r="C115" s="60">
        <f t="shared" si="18"/>
        <v>2015</v>
      </c>
      <c r="D115" s="1" t="str">
        <f t="shared" ref="D115:D116" si="33">VLOOKUP(MONTH(B115),$P$1:$Q$13,2,0)</f>
        <v>Jul</v>
      </c>
      <c r="E115" s="1" t="s">
        <v>1118</v>
      </c>
      <c r="F115" s="1" t="s">
        <v>13</v>
      </c>
      <c r="G115" s="1" t="s">
        <v>6</v>
      </c>
      <c r="H115" s="3">
        <v>58.8</v>
      </c>
      <c r="I115" s="1" t="s">
        <v>1120</v>
      </c>
      <c r="J115" s="1" t="s">
        <v>1788</v>
      </c>
      <c r="L115" s="3">
        <f t="shared" si="32"/>
        <v>2822.3999999999996</v>
      </c>
    </row>
    <row r="116" spans="1:12">
      <c r="A116" s="78" t="s">
        <v>1122</v>
      </c>
      <c r="B116" s="2">
        <v>42903</v>
      </c>
      <c r="C116" s="60">
        <f t="shared" si="18"/>
        <v>2017</v>
      </c>
      <c r="D116" s="1" t="str">
        <f t="shared" si="33"/>
        <v>Jun</v>
      </c>
      <c r="E116" s="1" t="s">
        <v>1265</v>
      </c>
      <c r="F116" s="1" t="s">
        <v>13</v>
      </c>
      <c r="G116" s="1" t="s">
        <v>6</v>
      </c>
      <c r="H116" s="3">
        <v>980</v>
      </c>
      <c r="I116" s="1" t="s">
        <v>1264</v>
      </c>
      <c r="J116" s="1" t="s">
        <v>1793</v>
      </c>
      <c r="L116" s="3">
        <f t="shared" si="32"/>
        <v>47040</v>
      </c>
    </row>
    <row r="117" spans="1:12">
      <c r="A117" s="78" t="s">
        <v>1122</v>
      </c>
      <c r="B117" s="2">
        <v>42903</v>
      </c>
      <c r="C117" s="60">
        <f t="shared" si="18"/>
        <v>2017</v>
      </c>
      <c r="D117" s="1" t="str">
        <f t="shared" ref="D117:D118" si="34">VLOOKUP(MONTH(B117),$P$1:$Q$13,2,0)</f>
        <v>Jun</v>
      </c>
      <c r="E117" s="1" t="s">
        <v>1118</v>
      </c>
      <c r="F117" s="1" t="s">
        <v>13</v>
      </c>
      <c r="G117" s="1" t="s">
        <v>6</v>
      </c>
      <c r="H117" s="3">
        <v>68.599999999999994</v>
      </c>
      <c r="I117" s="1" t="s">
        <v>1120</v>
      </c>
      <c r="J117" s="1" t="s">
        <v>1793</v>
      </c>
      <c r="L117" s="3">
        <f t="shared" si="32"/>
        <v>3292.7999999999997</v>
      </c>
    </row>
    <row r="118" spans="1:12">
      <c r="A118" s="78" t="s">
        <v>1122</v>
      </c>
      <c r="B118" s="2">
        <v>42993</v>
      </c>
      <c r="C118" s="60">
        <f t="shared" si="18"/>
        <v>2017</v>
      </c>
      <c r="D118" s="1" t="str">
        <f t="shared" si="34"/>
        <v>Sep</v>
      </c>
      <c r="E118" s="1" t="s">
        <v>1265</v>
      </c>
      <c r="F118" s="1" t="s">
        <v>13</v>
      </c>
      <c r="G118" s="1" t="s">
        <v>6</v>
      </c>
      <c r="H118" s="3">
        <v>420</v>
      </c>
      <c r="I118" s="1" t="s">
        <v>1264</v>
      </c>
      <c r="J118" s="1" t="s">
        <v>1794</v>
      </c>
      <c r="L118" s="3">
        <f t="shared" si="32"/>
        <v>20160</v>
      </c>
    </row>
    <row r="119" spans="1:12">
      <c r="A119" s="78" t="s">
        <v>1122</v>
      </c>
      <c r="B119" s="2">
        <v>42993</v>
      </c>
      <c r="C119" s="60">
        <f t="shared" ref="C119:C120" si="35">YEAR(B119)</f>
        <v>2017</v>
      </c>
      <c r="D119" s="1" t="str">
        <f t="shared" ref="D119:D120" si="36">VLOOKUP(MONTH(B119),$P$1:$Q$13,2,0)</f>
        <v>Sep</v>
      </c>
      <c r="E119" s="1" t="s">
        <v>1118</v>
      </c>
      <c r="F119" s="1" t="s">
        <v>13</v>
      </c>
      <c r="G119" s="1" t="s">
        <v>6</v>
      </c>
      <c r="H119" s="3">
        <v>29.4</v>
      </c>
      <c r="I119" s="1" t="s">
        <v>1120</v>
      </c>
      <c r="J119" s="1" t="s">
        <v>1794</v>
      </c>
      <c r="L119" s="3">
        <f t="shared" si="32"/>
        <v>1411.1999999999998</v>
      </c>
    </row>
    <row r="120" spans="1:12">
      <c r="A120" s="78" t="s">
        <v>1122</v>
      </c>
      <c r="B120" s="2">
        <v>43080</v>
      </c>
      <c r="C120" s="60">
        <f t="shared" si="35"/>
        <v>2017</v>
      </c>
      <c r="D120" s="1" t="str">
        <f t="shared" si="36"/>
        <v>Dec</v>
      </c>
      <c r="E120" s="1" t="s">
        <v>11</v>
      </c>
      <c r="F120" s="1" t="s">
        <v>13</v>
      </c>
      <c r="G120" s="1" t="s">
        <v>6</v>
      </c>
      <c r="H120" s="3">
        <v>100</v>
      </c>
      <c r="I120" s="1" t="s">
        <v>1115</v>
      </c>
      <c r="J120" s="1" t="s">
        <v>2792</v>
      </c>
      <c r="L120" s="3">
        <f t="shared" si="32"/>
        <v>4800</v>
      </c>
    </row>
    <row r="121" spans="1:12">
      <c r="A121" s="78" t="s">
        <v>1122</v>
      </c>
      <c r="B121" s="2">
        <v>43080</v>
      </c>
      <c r="C121" s="60">
        <f t="shared" ref="C121:C124" si="37">YEAR(B121)</f>
        <v>2017</v>
      </c>
      <c r="D121" s="1" t="str">
        <f t="shared" ref="D121:D124" si="38">VLOOKUP(MONTH(B121),$P$1:$Q$13,2,0)</f>
        <v>Dec</v>
      </c>
      <c r="E121" s="1" t="s">
        <v>15</v>
      </c>
      <c r="F121" s="1" t="s">
        <v>13</v>
      </c>
      <c r="G121" s="1" t="s">
        <v>6</v>
      </c>
      <c r="H121" s="3">
        <v>100</v>
      </c>
      <c r="L121" s="3">
        <f t="shared" si="32"/>
        <v>4800</v>
      </c>
    </row>
    <row r="122" spans="1:12">
      <c r="A122" s="78" t="s">
        <v>1122</v>
      </c>
      <c r="B122" s="2">
        <v>43080</v>
      </c>
      <c r="C122" s="60">
        <f t="shared" si="37"/>
        <v>2017</v>
      </c>
      <c r="D122" s="1" t="str">
        <f t="shared" si="38"/>
        <v>Dec</v>
      </c>
      <c r="E122" s="1" t="s">
        <v>1114</v>
      </c>
      <c r="F122" s="1" t="s">
        <v>13</v>
      </c>
      <c r="G122" s="1" t="s">
        <v>6</v>
      </c>
      <c r="H122" s="3">
        <v>15</v>
      </c>
      <c r="L122" s="3">
        <f t="shared" si="32"/>
        <v>720</v>
      </c>
    </row>
    <row r="123" spans="1:12">
      <c r="A123" s="78" t="s">
        <v>1122</v>
      </c>
      <c r="B123" s="2">
        <v>43080</v>
      </c>
      <c r="C123" s="60">
        <f t="shared" si="37"/>
        <v>2017</v>
      </c>
      <c r="D123" s="1" t="str">
        <f t="shared" si="38"/>
        <v>Dec</v>
      </c>
      <c r="E123" s="1" t="s">
        <v>1118</v>
      </c>
      <c r="F123" s="1" t="s">
        <v>13</v>
      </c>
      <c r="G123" s="1" t="s">
        <v>6</v>
      </c>
      <c r="H123" s="3">
        <v>15.05</v>
      </c>
      <c r="I123" s="1" t="s">
        <v>1120</v>
      </c>
      <c r="L123" s="3">
        <f t="shared" si="32"/>
        <v>722.40000000000009</v>
      </c>
    </row>
    <row r="124" spans="1:12">
      <c r="A124" s="1" t="s">
        <v>1409</v>
      </c>
      <c r="B124" s="2">
        <v>43104</v>
      </c>
      <c r="C124" s="60">
        <f t="shared" si="37"/>
        <v>2018</v>
      </c>
      <c r="D124" s="1" t="str">
        <f t="shared" si="38"/>
        <v>Jan</v>
      </c>
      <c r="E124" s="1" t="s">
        <v>1795</v>
      </c>
      <c r="F124" s="1" t="s">
        <v>13</v>
      </c>
      <c r="G124" s="1" t="s">
        <v>6</v>
      </c>
      <c r="H124" s="3">
        <v>1295</v>
      </c>
      <c r="I124" s="1" t="s">
        <v>1807</v>
      </c>
      <c r="L124" s="3">
        <f t="shared" si="32"/>
        <v>62160</v>
      </c>
    </row>
    <row r="125" spans="1:12">
      <c r="A125" s="1" t="s">
        <v>1409</v>
      </c>
      <c r="B125" s="2">
        <v>43104</v>
      </c>
      <c r="C125" s="60">
        <f t="shared" ref="C125:C135" si="39">YEAR(B125)</f>
        <v>2018</v>
      </c>
      <c r="D125" s="1" t="str">
        <f t="shared" ref="D125:D135" si="40">VLOOKUP(MONTH(B125),$P$1:$Q$13,2,0)</f>
        <v>Jan</v>
      </c>
      <c r="E125" s="1" t="s">
        <v>1795</v>
      </c>
      <c r="F125" s="1" t="s">
        <v>13</v>
      </c>
      <c r="G125" s="1" t="s">
        <v>6</v>
      </c>
      <c r="H125" s="3">
        <v>6.46</v>
      </c>
      <c r="J125" s="1" t="s">
        <v>1796</v>
      </c>
      <c r="K125" s="1">
        <v>2</v>
      </c>
      <c r="L125" s="3">
        <f t="shared" si="32"/>
        <v>310.08</v>
      </c>
    </row>
    <row r="126" spans="1:12">
      <c r="A126" s="1" t="s">
        <v>1409</v>
      </c>
      <c r="B126" s="2">
        <v>43104</v>
      </c>
      <c r="C126" s="60">
        <f t="shared" si="39"/>
        <v>2018</v>
      </c>
      <c r="D126" s="1" t="str">
        <f t="shared" si="40"/>
        <v>Jan</v>
      </c>
      <c r="E126" s="1" t="s">
        <v>1795</v>
      </c>
      <c r="F126" s="1" t="s">
        <v>13</v>
      </c>
      <c r="G126" s="1" t="s">
        <v>6</v>
      </c>
      <c r="H126" s="3">
        <v>25</v>
      </c>
      <c r="J126" s="1" t="s">
        <v>1797</v>
      </c>
      <c r="K126" s="1">
        <v>10</v>
      </c>
      <c r="L126" s="3">
        <f t="shared" si="32"/>
        <v>1200</v>
      </c>
    </row>
    <row r="127" spans="1:12">
      <c r="A127" s="1" t="s">
        <v>1409</v>
      </c>
      <c r="B127" s="2">
        <v>43104</v>
      </c>
      <c r="C127" s="60">
        <f t="shared" si="39"/>
        <v>2018</v>
      </c>
      <c r="D127" s="1" t="str">
        <f t="shared" si="40"/>
        <v>Jan</v>
      </c>
      <c r="E127" s="1" t="s">
        <v>1795</v>
      </c>
      <c r="F127" s="1" t="s">
        <v>13</v>
      </c>
      <c r="G127" s="1" t="s">
        <v>6</v>
      </c>
      <c r="H127" s="3">
        <v>82.8</v>
      </c>
      <c r="J127" s="1" t="s">
        <v>1798</v>
      </c>
      <c r="K127" s="1">
        <v>60</v>
      </c>
      <c r="L127" s="3">
        <f t="shared" si="32"/>
        <v>3974.3999999999996</v>
      </c>
    </row>
    <row r="128" spans="1:12">
      <c r="A128" s="1" t="s">
        <v>1409</v>
      </c>
      <c r="B128" s="2">
        <v>43104</v>
      </c>
      <c r="C128" s="60">
        <f t="shared" si="39"/>
        <v>2018</v>
      </c>
      <c r="D128" s="1" t="str">
        <f t="shared" si="40"/>
        <v>Jan</v>
      </c>
      <c r="E128" s="1" t="s">
        <v>1795</v>
      </c>
      <c r="F128" s="1" t="s">
        <v>13</v>
      </c>
      <c r="G128" s="1" t="s">
        <v>6</v>
      </c>
      <c r="H128" s="3">
        <v>18</v>
      </c>
      <c r="I128" s="1" t="s">
        <v>1799</v>
      </c>
      <c r="K128" s="1">
        <v>1</v>
      </c>
      <c r="L128" s="3">
        <f t="shared" si="32"/>
        <v>864</v>
      </c>
    </row>
    <row r="129" spans="1:12">
      <c r="A129" s="1" t="s">
        <v>1409</v>
      </c>
      <c r="B129" s="2">
        <v>43104</v>
      </c>
      <c r="C129" s="60">
        <f t="shared" si="39"/>
        <v>2018</v>
      </c>
      <c r="D129" s="1" t="str">
        <f t="shared" si="40"/>
        <v>Jan</v>
      </c>
      <c r="E129" s="1" t="s">
        <v>1795</v>
      </c>
      <c r="F129" s="1" t="s">
        <v>13</v>
      </c>
      <c r="G129" s="1" t="s">
        <v>6</v>
      </c>
      <c r="H129" s="3">
        <v>3</v>
      </c>
      <c r="I129" s="1" t="s">
        <v>1800</v>
      </c>
      <c r="K129" s="1">
        <v>3</v>
      </c>
      <c r="L129" s="3">
        <f t="shared" si="32"/>
        <v>144</v>
      </c>
    </row>
    <row r="130" spans="1:12">
      <c r="A130" s="1" t="s">
        <v>1409</v>
      </c>
      <c r="B130" s="2">
        <v>43104</v>
      </c>
      <c r="C130" s="60">
        <f t="shared" si="39"/>
        <v>2018</v>
      </c>
      <c r="D130" s="1" t="str">
        <f t="shared" si="40"/>
        <v>Jan</v>
      </c>
      <c r="E130" s="1" t="s">
        <v>1795</v>
      </c>
      <c r="F130" s="1" t="s">
        <v>13</v>
      </c>
      <c r="G130" s="1" t="s">
        <v>6</v>
      </c>
      <c r="H130" s="3">
        <v>8.3000000000000007</v>
      </c>
      <c r="I130" s="1" t="s">
        <v>1801</v>
      </c>
      <c r="K130" s="1">
        <v>3</v>
      </c>
      <c r="L130" s="3">
        <f t="shared" si="32"/>
        <v>398.40000000000003</v>
      </c>
    </row>
    <row r="131" spans="1:12">
      <c r="A131" s="1" t="s">
        <v>1409</v>
      </c>
      <c r="B131" s="2">
        <v>43104</v>
      </c>
      <c r="C131" s="60">
        <f t="shared" si="39"/>
        <v>2018</v>
      </c>
      <c r="D131" s="1" t="str">
        <f t="shared" si="40"/>
        <v>Jan</v>
      </c>
      <c r="E131" s="1" t="s">
        <v>1795</v>
      </c>
      <c r="F131" s="1" t="s">
        <v>13</v>
      </c>
      <c r="G131" s="1" t="s">
        <v>6</v>
      </c>
      <c r="H131" s="3">
        <v>76</v>
      </c>
      <c r="I131" s="1" t="s">
        <v>1802</v>
      </c>
      <c r="K131" s="1">
        <v>4</v>
      </c>
      <c r="L131" s="3">
        <f t="shared" si="32"/>
        <v>3648</v>
      </c>
    </row>
    <row r="132" spans="1:12">
      <c r="A132" s="1" t="s">
        <v>1409</v>
      </c>
      <c r="B132" s="2">
        <v>43104</v>
      </c>
      <c r="C132" s="60">
        <f t="shared" si="39"/>
        <v>2018</v>
      </c>
      <c r="D132" s="1" t="str">
        <f t="shared" si="40"/>
        <v>Jan</v>
      </c>
      <c r="E132" s="1" t="s">
        <v>1795</v>
      </c>
      <c r="F132" s="1" t="s">
        <v>13</v>
      </c>
      <c r="G132" s="1" t="s">
        <v>6</v>
      </c>
      <c r="H132" s="3">
        <v>35.5</v>
      </c>
      <c r="I132" s="1" t="s">
        <v>1803</v>
      </c>
      <c r="K132" s="1">
        <v>1</v>
      </c>
      <c r="L132" s="3">
        <f t="shared" si="32"/>
        <v>1704</v>
      </c>
    </row>
    <row r="133" spans="1:12">
      <c r="A133" s="1" t="s">
        <v>1409</v>
      </c>
      <c r="B133" s="2">
        <v>43104</v>
      </c>
      <c r="C133" s="60">
        <f t="shared" si="39"/>
        <v>2018</v>
      </c>
      <c r="D133" s="1" t="str">
        <f t="shared" si="40"/>
        <v>Jan</v>
      </c>
      <c r="E133" s="1" t="s">
        <v>1795</v>
      </c>
      <c r="F133" s="1" t="s">
        <v>13</v>
      </c>
      <c r="G133" s="1" t="s">
        <v>6</v>
      </c>
      <c r="H133" s="3">
        <v>10.6</v>
      </c>
      <c r="I133" s="1" t="s">
        <v>1804</v>
      </c>
      <c r="K133" s="1">
        <v>2</v>
      </c>
      <c r="L133" s="3">
        <f t="shared" si="32"/>
        <v>508.79999999999995</v>
      </c>
    </row>
    <row r="134" spans="1:12">
      <c r="A134" s="1" t="s">
        <v>1409</v>
      </c>
      <c r="B134" s="2">
        <v>43104</v>
      </c>
      <c r="C134" s="60">
        <f t="shared" si="39"/>
        <v>2018</v>
      </c>
      <c r="D134" s="1" t="str">
        <f t="shared" si="40"/>
        <v>Jan</v>
      </c>
      <c r="E134" s="1" t="s">
        <v>1795</v>
      </c>
      <c r="F134" s="1" t="s">
        <v>13</v>
      </c>
      <c r="G134" s="1" t="s">
        <v>6</v>
      </c>
      <c r="H134" s="3">
        <v>120</v>
      </c>
      <c r="I134" s="1" t="s">
        <v>1805</v>
      </c>
      <c r="L134" s="3">
        <f t="shared" si="32"/>
        <v>5760</v>
      </c>
    </row>
    <row r="135" spans="1:12">
      <c r="A135" s="1" t="s">
        <v>1409</v>
      </c>
      <c r="B135" s="2">
        <v>43104</v>
      </c>
      <c r="C135" s="60">
        <f t="shared" si="39"/>
        <v>2018</v>
      </c>
      <c r="D135" s="1" t="str">
        <f t="shared" si="40"/>
        <v>Jan</v>
      </c>
      <c r="E135" s="1" t="s">
        <v>1795</v>
      </c>
      <c r="F135" s="1" t="s">
        <v>13</v>
      </c>
      <c r="G135" s="1" t="s">
        <v>6</v>
      </c>
      <c r="H135" s="3">
        <v>35</v>
      </c>
      <c r="I135" s="1" t="s">
        <v>1806</v>
      </c>
      <c r="L135" s="3">
        <f t="shared" si="32"/>
        <v>1680</v>
      </c>
    </row>
    <row r="136" spans="1:12">
      <c r="A136" s="1" t="s">
        <v>1409</v>
      </c>
      <c r="B136" s="2">
        <v>43104</v>
      </c>
      <c r="C136" s="60">
        <f t="shared" ref="C136:C140" si="41">YEAR(B136)</f>
        <v>2018</v>
      </c>
      <c r="D136" s="1" t="str">
        <f t="shared" ref="D136:D140" si="42">VLOOKUP(MONTH(B136),$P$1:$Q$13,2,0)</f>
        <v>Jan</v>
      </c>
      <c r="E136" s="1" t="s">
        <v>1118</v>
      </c>
      <c r="F136" s="1" t="s">
        <v>13</v>
      </c>
      <c r="G136" s="1" t="s">
        <v>6</v>
      </c>
      <c r="H136" s="3">
        <v>119.65</v>
      </c>
      <c r="L136" s="3">
        <f t="shared" si="32"/>
        <v>5743.2000000000007</v>
      </c>
    </row>
    <row r="137" spans="1:12">
      <c r="A137" s="1" t="s">
        <v>1409</v>
      </c>
      <c r="B137" s="2">
        <v>43104</v>
      </c>
      <c r="C137" s="60">
        <f t="shared" si="41"/>
        <v>2018</v>
      </c>
      <c r="D137" s="1" t="str">
        <f t="shared" si="42"/>
        <v>Jan</v>
      </c>
      <c r="E137" s="1" t="s">
        <v>1811</v>
      </c>
      <c r="F137" s="1" t="s">
        <v>13</v>
      </c>
      <c r="G137" s="1" t="s">
        <v>6</v>
      </c>
      <c r="H137" s="3">
        <v>321</v>
      </c>
      <c r="I137" s="1" t="s">
        <v>1808</v>
      </c>
      <c r="L137" s="3">
        <f t="shared" si="32"/>
        <v>15408</v>
      </c>
    </row>
    <row r="138" spans="1:12">
      <c r="A138" s="1" t="s">
        <v>1409</v>
      </c>
      <c r="B138" s="2">
        <v>43104</v>
      </c>
      <c r="C138" s="60">
        <f t="shared" si="41"/>
        <v>2018</v>
      </c>
      <c r="D138" s="1" t="str">
        <f t="shared" si="42"/>
        <v>Jan</v>
      </c>
      <c r="E138" s="1" t="s">
        <v>1811</v>
      </c>
      <c r="F138" s="1" t="s">
        <v>13</v>
      </c>
      <c r="G138" s="1" t="s">
        <v>6</v>
      </c>
      <c r="H138" s="3">
        <v>2996</v>
      </c>
      <c r="I138" s="1" t="s">
        <v>1809</v>
      </c>
      <c r="L138" s="3">
        <f t="shared" si="32"/>
        <v>143808</v>
      </c>
    </row>
    <row r="139" spans="1:12">
      <c r="A139" s="1" t="s">
        <v>1409</v>
      </c>
      <c r="B139" s="2">
        <v>43104</v>
      </c>
      <c r="C139" s="60">
        <f t="shared" si="41"/>
        <v>2018</v>
      </c>
      <c r="D139" s="1" t="str">
        <f t="shared" si="42"/>
        <v>Jan</v>
      </c>
      <c r="E139" s="1" t="s">
        <v>1812</v>
      </c>
      <c r="F139" s="1" t="s">
        <v>13</v>
      </c>
      <c r="G139" s="1" t="s">
        <v>6</v>
      </c>
      <c r="H139" s="3">
        <v>749</v>
      </c>
      <c r="I139" s="1" t="s">
        <v>1810</v>
      </c>
      <c r="L139" s="3">
        <f t="shared" si="32"/>
        <v>35952</v>
      </c>
    </row>
    <row r="140" spans="1:12">
      <c r="A140" s="1" t="s">
        <v>1409</v>
      </c>
      <c r="B140" s="2">
        <v>43136</v>
      </c>
      <c r="C140" s="60">
        <f t="shared" si="41"/>
        <v>2018</v>
      </c>
      <c r="D140" s="1" t="str">
        <f t="shared" si="42"/>
        <v>Feb</v>
      </c>
      <c r="E140" s="1" t="s">
        <v>11</v>
      </c>
      <c r="F140" s="1" t="s">
        <v>13</v>
      </c>
      <c r="G140" s="1" t="s">
        <v>6</v>
      </c>
      <c r="H140" s="3">
        <v>90</v>
      </c>
      <c r="I140" s="1" t="s">
        <v>1115</v>
      </c>
      <c r="L140" s="3">
        <f t="shared" si="32"/>
        <v>4320</v>
      </c>
    </row>
    <row r="141" spans="1:12">
      <c r="A141" s="1" t="s">
        <v>1409</v>
      </c>
      <c r="B141" s="2">
        <v>43136</v>
      </c>
      <c r="C141" s="60">
        <f t="shared" ref="C141:C142" si="43">YEAR(B141)</f>
        <v>2018</v>
      </c>
      <c r="D141" s="1" t="str">
        <f t="shared" ref="D141:D142" si="44">VLOOKUP(MONTH(B141),$P$1:$Q$13,2,0)</f>
        <v>Feb</v>
      </c>
      <c r="E141" s="1" t="s">
        <v>4</v>
      </c>
      <c r="F141" s="1" t="s">
        <v>13</v>
      </c>
      <c r="G141" s="1" t="s">
        <v>6</v>
      </c>
      <c r="H141" s="3">
        <v>60</v>
      </c>
      <c r="I141" s="1" t="s">
        <v>1870</v>
      </c>
      <c r="J141" s="1" t="s">
        <v>1259</v>
      </c>
      <c r="K141" s="1">
        <v>30</v>
      </c>
      <c r="L141" s="3">
        <f t="shared" si="32"/>
        <v>2880</v>
      </c>
    </row>
    <row r="142" spans="1:12">
      <c r="A142" s="1" t="s">
        <v>1409</v>
      </c>
      <c r="B142" s="2">
        <v>43136</v>
      </c>
      <c r="C142" s="60">
        <f t="shared" si="43"/>
        <v>2018</v>
      </c>
      <c r="D142" s="1" t="str">
        <f t="shared" si="44"/>
        <v>Feb</v>
      </c>
      <c r="E142" s="1" t="s">
        <v>9</v>
      </c>
      <c r="F142" s="1" t="s">
        <v>13</v>
      </c>
      <c r="G142" s="1" t="s">
        <v>6</v>
      </c>
      <c r="H142" s="3">
        <v>200</v>
      </c>
      <c r="I142" s="1" t="s">
        <v>1871</v>
      </c>
      <c r="L142" s="3">
        <f t="shared" si="32"/>
        <v>9600</v>
      </c>
    </row>
    <row r="143" spans="1:12">
      <c r="A143" s="1" t="s">
        <v>1409</v>
      </c>
      <c r="B143" s="2">
        <v>43136</v>
      </c>
      <c r="C143" s="60">
        <f t="shared" ref="C143:C144" si="45">YEAR(B143)</f>
        <v>2018</v>
      </c>
      <c r="D143" s="1" t="str">
        <f t="shared" ref="D143:D144" si="46">VLOOKUP(MONTH(B143),$P$1:$Q$13,2,0)</f>
        <v>Feb</v>
      </c>
      <c r="E143" s="1" t="s">
        <v>1118</v>
      </c>
      <c r="F143" s="1" t="s">
        <v>13</v>
      </c>
      <c r="G143" s="1" t="s">
        <v>6</v>
      </c>
      <c r="H143" s="3">
        <v>24.500000000000004</v>
      </c>
      <c r="I143" s="1">
        <f>H143*100/7</f>
        <v>350.00000000000006</v>
      </c>
      <c r="L143" s="3">
        <f t="shared" si="32"/>
        <v>1176.0000000000002</v>
      </c>
    </row>
    <row r="144" spans="1:12">
      <c r="A144" s="1" t="s">
        <v>1409</v>
      </c>
      <c r="B144" s="2">
        <v>43164</v>
      </c>
      <c r="C144" s="60">
        <f t="shared" si="45"/>
        <v>2018</v>
      </c>
      <c r="D144" s="1" t="str">
        <f t="shared" si="46"/>
        <v>Mar</v>
      </c>
      <c r="E144" s="1" t="s">
        <v>2793</v>
      </c>
      <c r="F144" s="1" t="s">
        <v>13</v>
      </c>
      <c r="G144" s="1" t="s">
        <v>6</v>
      </c>
      <c r="H144" s="3">
        <v>242.80440000000002</v>
      </c>
      <c r="I144" s="1" t="s">
        <v>2796</v>
      </c>
      <c r="L144" s="3">
        <f t="shared" si="32"/>
        <v>11654.611200000001</v>
      </c>
    </row>
    <row r="145" spans="1:12">
      <c r="A145" s="1" t="s">
        <v>1409</v>
      </c>
      <c r="B145" s="2">
        <v>43164</v>
      </c>
      <c r="C145" s="60">
        <f t="shared" ref="C145" si="47">YEAR(B145)</f>
        <v>2018</v>
      </c>
      <c r="D145" s="1" t="str">
        <f t="shared" ref="D145" si="48">VLOOKUP(MONTH(B145),$P$1:$Q$13,2,0)</f>
        <v>Mar</v>
      </c>
      <c r="E145" s="1" t="s">
        <v>1118</v>
      </c>
      <c r="F145" s="1" t="s">
        <v>13</v>
      </c>
      <c r="G145" s="1" t="s">
        <v>6</v>
      </c>
      <c r="H145" s="3">
        <v>18.275600000000001</v>
      </c>
      <c r="L145" s="3">
        <f t="shared" si="32"/>
        <v>877.22880000000009</v>
      </c>
    </row>
    <row r="146" spans="1:12">
      <c r="A146" s="1" t="s">
        <v>1409</v>
      </c>
      <c r="B146" s="2">
        <v>43164</v>
      </c>
      <c r="C146" s="60">
        <f t="shared" ref="C146:C156" si="49">YEAR(B146)</f>
        <v>2018</v>
      </c>
      <c r="D146" s="1" t="str">
        <f t="shared" ref="D146:D156" si="50">VLOOKUP(MONTH(B146),$P$1:$Q$13,2,0)</f>
        <v>Mar</v>
      </c>
      <c r="E146" s="1" t="s">
        <v>2794</v>
      </c>
      <c r="F146" s="1" t="s">
        <v>13</v>
      </c>
      <c r="G146" s="1" t="s">
        <v>6</v>
      </c>
      <c r="H146" s="3">
        <v>14.322000000000001</v>
      </c>
      <c r="I146" s="1" t="s">
        <v>2797</v>
      </c>
      <c r="L146" s="3">
        <f t="shared" si="32"/>
        <v>687.45600000000002</v>
      </c>
    </row>
    <row r="147" spans="1:12">
      <c r="A147" s="1" t="s">
        <v>1409</v>
      </c>
      <c r="B147" s="2">
        <v>43164</v>
      </c>
      <c r="C147" s="60">
        <f t="shared" ref="C147" si="51">YEAR(B147)</f>
        <v>2018</v>
      </c>
      <c r="D147" s="1" t="str">
        <f t="shared" ref="D147" si="52">VLOOKUP(MONTH(B147),$P$1:$Q$13,2,0)</f>
        <v>Mar</v>
      </c>
      <c r="E147" s="1" t="s">
        <v>1118</v>
      </c>
      <c r="F147" s="1" t="s">
        <v>13</v>
      </c>
      <c r="G147" s="1" t="s">
        <v>6</v>
      </c>
      <c r="H147" s="3">
        <v>1.0780000000000001</v>
      </c>
      <c r="L147" s="3">
        <f t="shared" si="32"/>
        <v>51.744</v>
      </c>
    </row>
    <row r="148" spans="1:12">
      <c r="A148" s="1" t="s">
        <v>1122</v>
      </c>
      <c r="B148" s="2">
        <v>43167</v>
      </c>
      <c r="C148" s="60">
        <f t="shared" si="49"/>
        <v>2018</v>
      </c>
      <c r="D148" s="1" t="str">
        <f t="shared" si="50"/>
        <v>Mar</v>
      </c>
      <c r="E148" s="1" t="s">
        <v>2795</v>
      </c>
      <c r="F148" s="1" t="s">
        <v>13</v>
      </c>
      <c r="G148" s="1" t="s">
        <v>6</v>
      </c>
      <c r="H148" s="3">
        <v>2721.7845000000007</v>
      </c>
      <c r="I148" s="1" t="s">
        <v>2800</v>
      </c>
      <c r="L148" s="3">
        <f t="shared" si="32"/>
        <v>130645.65600000003</v>
      </c>
    </row>
    <row r="149" spans="1:12">
      <c r="A149" s="1" t="s">
        <v>1122</v>
      </c>
      <c r="B149" s="2">
        <v>43167</v>
      </c>
      <c r="C149" s="60">
        <f t="shared" ref="C149" si="53">YEAR(B149)</f>
        <v>2018</v>
      </c>
      <c r="D149" s="1" t="str">
        <f t="shared" ref="D149" si="54">VLOOKUP(MONTH(B149),$P$1:$Q$13,2,0)</f>
        <v>Mar</v>
      </c>
      <c r="E149" s="1" t="s">
        <v>1118</v>
      </c>
      <c r="F149" s="1" t="s">
        <v>13</v>
      </c>
      <c r="G149" s="1" t="s">
        <v>6</v>
      </c>
      <c r="H149" s="3">
        <v>204.86550000000003</v>
      </c>
      <c r="L149" s="3">
        <f t="shared" si="32"/>
        <v>9833.5440000000017</v>
      </c>
    </row>
    <row r="150" spans="1:12">
      <c r="A150" s="1" t="s">
        <v>1122</v>
      </c>
      <c r="B150" s="2">
        <v>43187</v>
      </c>
      <c r="C150" s="60">
        <f t="shared" si="49"/>
        <v>2018</v>
      </c>
      <c r="D150" s="1" t="str">
        <f t="shared" si="50"/>
        <v>Mar</v>
      </c>
      <c r="E150" s="1" t="s">
        <v>2795</v>
      </c>
      <c r="F150" s="1" t="s">
        <v>13</v>
      </c>
      <c r="G150" s="1" t="s">
        <v>6</v>
      </c>
      <c r="H150" s="3">
        <v>39.013500000000008</v>
      </c>
      <c r="L150" s="3">
        <f t="shared" si="32"/>
        <v>1872.6480000000004</v>
      </c>
    </row>
    <row r="151" spans="1:12">
      <c r="A151" s="1" t="s">
        <v>1122</v>
      </c>
      <c r="B151" s="2">
        <v>43187</v>
      </c>
      <c r="C151" s="60">
        <f t="shared" ref="C151" si="55">YEAR(B151)</f>
        <v>2018</v>
      </c>
      <c r="D151" s="1" t="str">
        <f t="shared" ref="D151" si="56">VLOOKUP(MONTH(B151),$P$1:$Q$13,2,0)</f>
        <v>Mar</v>
      </c>
      <c r="E151" s="1" t="s">
        <v>1118</v>
      </c>
      <c r="F151" s="1" t="s">
        <v>13</v>
      </c>
      <c r="G151" s="1" t="s">
        <v>6</v>
      </c>
      <c r="H151" s="3">
        <v>2.9365000000000006</v>
      </c>
      <c r="L151" s="3">
        <f t="shared" si="32"/>
        <v>140.95200000000003</v>
      </c>
    </row>
    <row r="152" spans="1:12">
      <c r="A152" s="1" t="s">
        <v>1409</v>
      </c>
      <c r="B152" s="2">
        <v>43197</v>
      </c>
      <c r="C152" s="60">
        <f t="shared" si="49"/>
        <v>2018</v>
      </c>
      <c r="D152" s="1" t="str">
        <f t="shared" si="50"/>
        <v>Apr</v>
      </c>
      <c r="E152" s="1" t="s">
        <v>2793</v>
      </c>
      <c r="F152" s="1" t="s">
        <v>13</v>
      </c>
      <c r="G152" s="1" t="s">
        <v>6</v>
      </c>
      <c r="H152" s="3">
        <v>218.92200000000003</v>
      </c>
      <c r="L152" s="3">
        <f t="shared" si="32"/>
        <v>10508.256000000001</v>
      </c>
    </row>
    <row r="153" spans="1:12">
      <c r="A153" s="1" t="s">
        <v>1409</v>
      </c>
      <c r="B153" s="2">
        <v>43197</v>
      </c>
      <c r="C153" s="60">
        <f t="shared" ref="C153" si="57">YEAR(B153)</f>
        <v>2018</v>
      </c>
      <c r="D153" s="1" t="str">
        <f t="shared" ref="D153" si="58">VLOOKUP(MONTH(B153),$P$1:$Q$13,2,0)</f>
        <v>Apr</v>
      </c>
      <c r="E153" s="1" t="s">
        <v>1118</v>
      </c>
      <c r="F153" s="1" t="s">
        <v>13</v>
      </c>
      <c r="G153" s="1" t="s">
        <v>6</v>
      </c>
      <c r="H153" s="3">
        <v>16.478000000000002</v>
      </c>
      <c r="L153" s="3">
        <f t="shared" si="32"/>
        <v>790.94400000000007</v>
      </c>
    </row>
    <row r="154" spans="1:12">
      <c r="A154" s="1" t="s">
        <v>1122</v>
      </c>
      <c r="B154" s="2">
        <v>43197</v>
      </c>
      <c r="C154" s="60">
        <f t="shared" si="49"/>
        <v>2018</v>
      </c>
      <c r="D154" s="1" t="str">
        <f t="shared" si="50"/>
        <v>Apr</v>
      </c>
      <c r="E154" s="1" t="s">
        <v>2795</v>
      </c>
      <c r="F154" s="1" t="s">
        <v>13</v>
      </c>
      <c r="G154" s="1" t="s">
        <v>6</v>
      </c>
      <c r="H154" s="3">
        <v>213.94650000000004</v>
      </c>
      <c r="I154" s="1" t="s">
        <v>2799</v>
      </c>
      <c r="L154" s="3">
        <f t="shared" si="32"/>
        <v>10269.432000000003</v>
      </c>
    </row>
    <row r="155" spans="1:12">
      <c r="A155" s="1" t="s">
        <v>1122</v>
      </c>
      <c r="B155" s="2">
        <v>43197</v>
      </c>
      <c r="C155" s="60">
        <f t="shared" ref="C155" si="59">YEAR(B155)</f>
        <v>2018</v>
      </c>
      <c r="D155" s="1" t="str">
        <f t="shared" ref="D155" si="60">VLOOKUP(MONTH(B155),$P$1:$Q$13,2,0)</f>
        <v>Apr</v>
      </c>
      <c r="E155" s="1" t="s">
        <v>1118</v>
      </c>
      <c r="F155" s="1" t="s">
        <v>13</v>
      </c>
      <c r="G155" s="1" t="s">
        <v>6</v>
      </c>
      <c r="H155" s="3">
        <v>16.103500000000004</v>
      </c>
      <c r="L155" s="3">
        <f t="shared" si="32"/>
        <v>772.96800000000019</v>
      </c>
    </row>
    <row r="156" spans="1:12">
      <c r="A156" s="1" t="s">
        <v>1122</v>
      </c>
      <c r="B156" s="2">
        <v>43200</v>
      </c>
      <c r="C156" s="60">
        <f t="shared" si="49"/>
        <v>2018</v>
      </c>
      <c r="D156" s="1" t="str">
        <f t="shared" si="50"/>
        <v>Apr</v>
      </c>
      <c r="E156" s="1" t="s">
        <v>2795</v>
      </c>
      <c r="F156" s="1" t="s">
        <v>13</v>
      </c>
      <c r="G156" s="1" t="s">
        <v>6</v>
      </c>
      <c r="H156" s="3">
        <v>2558.1974999999998</v>
      </c>
      <c r="I156" s="1" t="s">
        <v>2801</v>
      </c>
      <c r="L156" s="3">
        <f t="shared" si="32"/>
        <v>122793.47999999998</v>
      </c>
    </row>
    <row r="157" spans="1:12">
      <c r="A157" s="1" t="s">
        <v>1122</v>
      </c>
      <c r="B157" s="2">
        <v>43200</v>
      </c>
      <c r="C157" s="60">
        <f t="shared" ref="C157:C158" si="61">YEAR(B157)</f>
        <v>2018</v>
      </c>
      <c r="D157" s="1" t="str">
        <f t="shared" ref="D157:D158" si="62">VLOOKUP(MONTH(B157),$P$1:$Q$13,2,0)</f>
        <v>Apr</v>
      </c>
      <c r="E157" s="1" t="s">
        <v>1118</v>
      </c>
      <c r="F157" s="1" t="s">
        <v>13</v>
      </c>
      <c r="G157" s="1" t="s">
        <v>6</v>
      </c>
      <c r="H157" s="3">
        <v>192.55250000000001</v>
      </c>
      <c r="L157" s="3">
        <f t="shared" si="32"/>
        <v>9242.52</v>
      </c>
    </row>
    <row r="158" spans="1:12">
      <c r="A158" s="1" t="s">
        <v>1122</v>
      </c>
      <c r="B158" s="2">
        <v>43738</v>
      </c>
      <c r="C158" s="60">
        <f t="shared" si="61"/>
        <v>2019</v>
      </c>
      <c r="D158" s="1" t="str">
        <f t="shared" si="62"/>
        <v>Sep</v>
      </c>
      <c r="E158" s="1" t="s">
        <v>11</v>
      </c>
      <c r="F158" s="1" t="s">
        <v>13</v>
      </c>
      <c r="G158" s="1" t="s">
        <v>6</v>
      </c>
      <c r="H158" s="3">
        <v>100</v>
      </c>
      <c r="L158" s="3">
        <f>H158*$N$1</f>
        <v>5100</v>
      </c>
    </row>
    <row r="159" spans="1:12">
      <c r="A159" s="1" t="s">
        <v>1122</v>
      </c>
      <c r="B159" s="2">
        <v>43738</v>
      </c>
      <c r="C159" s="60">
        <f t="shared" ref="C159:C166" si="63">YEAR(B159)</f>
        <v>2019</v>
      </c>
      <c r="D159" s="1" t="str">
        <f t="shared" ref="D159:D166" si="64">VLOOKUP(MONTH(B159),$P$1:$Q$13,2,0)</f>
        <v>Sep</v>
      </c>
      <c r="E159" s="1" t="s">
        <v>15</v>
      </c>
      <c r="F159" s="1" t="s">
        <v>13</v>
      </c>
      <c r="G159" s="1" t="s">
        <v>6</v>
      </c>
      <c r="H159" s="3">
        <v>100</v>
      </c>
      <c r="L159" s="3">
        <f t="shared" ref="L159:L165" si="65">H159*$N$1</f>
        <v>5100</v>
      </c>
    </row>
    <row r="160" spans="1:12">
      <c r="A160" s="1" t="s">
        <v>1122</v>
      </c>
      <c r="B160" s="2">
        <v>43738</v>
      </c>
      <c r="C160" s="60">
        <f t="shared" si="63"/>
        <v>2019</v>
      </c>
      <c r="D160" s="1" t="str">
        <f t="shared" si="64"/>
        <v>Sep</v>
      </c>
      <c r="E160" s="1" t="s">
        <v>9</v>
      </c>
      <c r="F160" s="1" t="s">
        <v>13</v>
      </c>
      <c r="G160" s="1" t="s">
        <v>6</v>
      </c>
      <c r="H160" s="3">
        <v>260</v>
      </c>
      <c r="L160" s="3">
        <f t="shared" si="65"/>
        <v>13260</v>
      </c>
    </row>
    <row r="161" spans="1:12">
      <c r="A161" s="1" t="s">
        <v>1122</v>
      </c>
      <c r="B161" s="2">
        <v>43738</v>
      </c>
      <c r="C161" s="60">
        <f t="shared" si="63"/>
        <v>2019</v>
      </c>
      <c r="D161" s="1" t="str">
        <f t="shared" si="64"/>
        <v>Sep</v>
      </c>
      <c r="E161" s="1" t="s">
        <v>1114</v>
      </c>
      <c r="F161" s="1" t="s">
        <v>13</v>
      </c>
      <c r="G161" s="1" t="s">
        <v>6</v>
      </c>
      <c r="H161" s="3">
        <v>15</v>
      </c>
      <c r="L161" s="3">
        <f t="shared" si="65"/>
        <v>765</v>
      </c>
    </row>
    <row r="162" spans="1:12">
      <c r="A162" s="1" t="s">
        <v>1122</v>
      </c>
      <c r="B162" s="2">
        <v>43738</v>
      </c>
      <c r="C162" s="60">
        <f t="shared" si="63"/>
        <v>2019</v>
      </c>
      <c r="D162" s="1" t="str">
        <f t="shared" si="64"/>
        <v>Sep</v>
      </c>
      <c r="E162" s="1" t="s">
        <v>69</v>
      </c>
      <c r="F162" s="1" t="s">
        <v>13</v>
      </c>
      <c r="G162" s="1" t="s">
        <v>6</v>
      </c>
      <c r="H162" s="3">
        <v>800</v>
      </c>
      <c r="J162" s="1" t="s">
        <v>3446</v>
      </c>
      <c r="K162" s="1">
        <v>4</v>
      </c>
      <c r="L162" s="3">
        <f t="shared" si="65"/>
        <v>40800</v>
      </c>
    </row>
    <row r="163" spans="1:12">
      <c r="A163" s="1" t="s">
        <v>1122</v>
      </c>
      <c r="B163" s="2">
        <v>43738</v>
      </c>
      <c r="C163" s="60">
        <f t="shared" si="63"/>
        <v>2019</v>
      </c>
      <c r="D163" s="1" t="str">
        <f t="shared" si="64"/>
        <v>Sep</v>
      </c>
      <c r="E163" s="1" t="s">
        <v>69</v>
      </c>
      <c r="F163" s="1" t="s">
        <v>13</v>
      </c>
      <c r="G163" s="1" t="s">
        <v>6</v>
      </c>
      <c r="H163" s="3">
        <v>1000</v>
      </c>
      <c r="J163" s="1" t="s">
        <v>3447</v>
      </c>
      <c r="K163" s="1">
        <v>1</v>
      </c>
      <c r="L163" s="3">
        <f t="shared" si="65"/>
        <v>51000</v>
      </c>
    </row>
    <row r="164" spans="1:12">
      <c r="A164" s="1" t="s">
        <v>1122</v>
      </c>
      <c r="B164" s="2">
        <v>43738</v>
      </c>
      <c r="C164" s="60">
        <f t="shared" si="63"/>
        <v>2019</v>
      </c>
      <c r="D164" s="1" t="str">
        <f t="shared" si="64"/>
        <v>Sep</v>
      </c>
      <c r="E164" s="1" t="s">
        <v>4</v>
      </c>
      <c r="F164" s="1" t="s">
        <v>13</v>
      </c>
      <c r="G164" s="1" t="s">
        <v>6</v>
      </c>
      <c r="H164" s="3">
        <v>39.25</v>
      </c>
      <c r="J164" s="1" t="s">
        <v>3448</v>
      </c>
      <c r="K164" s="1">
        <v>30</v>
      </c>
      <c r="L164" s="3">
        <f t="shared" si="65"/>
        <v>2001.75</v>
      </c>
    </row>
    <row r="165" spans="1:12">
      <c r="A165" s="1" t="s">
        <v>1122</v>
      </c>
      <c r="B165" s="2">
        <v>43738</v>
      </c>
      <c r="C165" s="60">
        <f t="shared" si="63"/>
        <v>2019</v>
      </c>
      <c r="D165" s="1" t="str">
        <f t="shared" si="64"/>
        <v>Sep</v>
      </c>
      <c r="E165" s="1" t="s">
        <v>1118</v>
      </c>
      <c r="F165" s="1" t="s">
        <v>13</v>
      </c>
      <c r="G165" s="1" t="s">
        <v>6</v>
      </c>
      <c r="H165" s="3">
        <v>162</v>
      </c>
      <c r="L165" s="3">
        <f t="shared" si="65"/>
        <v>8262</v>
      </c>
    </row>
    <row r="166" spans="1:12">
      <c r="A166" s="1" t="s">
        <v>1122</v>
      </c>
      <c r="B166" s="2">
        <v>43742</v>
      </c>
      <c r="C166" s="60">
        <f t="shared" si="63"/>
        <v>2019</v>
      </c>
      <c r="D166" s="1" t="str">
        <f t="shared" si="64"/>
        <v>Oct</v>
      </c>
      <c r="E166" s="1" t="s">
        <v>11</v>
      </c>
      <c r="F166" s="1" t="s">
        <v>13</v>
      </c>
      <c r="G166" s="1" t="s">
        <v>6</v>
      </c>
      <c r="H166" s="3">
        <v>100</v>
      </c>
      <c r="L166" s="3">
        <f>H166*$N$1</f>
        <v>5100</v>
      </c>
    </row>
    <row r="167" spans="1:12">
      <c r="A167" s="1" t="s">
        <v>1122</v>
      </c>
      <c r="B167" s="2">
        <v>43742</v>
      </c>
      <c r="C167" s="60">
        <f t="shared" ref="C167:C173" si="66">YEAR(B167)</f>
        <v>2019</v>
      </c>
      <c r="D167" s="1" t="str">
        <f t="shared" ref="D167:D173" si="67">VLOOKUP(MONTH(B167),$P$1:$Q$13,2,0)</f>
        <v>Oct</v>
      </c>
      <c r="E167" s="1" t="s">
        <v>15</v>
      </c>
      <c r="F167" s="1" t="s">
        <v>13</v>
      </c>
      <c r="G167" s="1" t="s">
        <v>6</v>
      </c>
      <c r="H167" s="3">
        <v>100</v>
      </c>
      <c r="L167" s="3">
        <f t="shared" ref="L167:L171" si="68">H167*$N$1</f>
        <v>5100</v>
      </c>
    </row>
    <row r="168" spans="1:12">
      <c r="A168" s="1" t="s">
        <v>1122</v>
      </c>
      <c r="B168" s="2">
        <v>43742</v>
      </c>
      <c r="C168" s="60">
        <f t="shared" si="66"/>
        <v>2019</v>
      </c>
      <c r="D168" s="1" t="str">
        <f t="shared" si="67"/>
        <v>Oct</v>
      </c>
      <c r="E168" s="1" t="s">
        <v>1114</v>
      </c>
      <c r="F168" s="1" t="s">
        <v>13</v>
      </c>
      <c r="G168" s="1" t="s">
        <v>6</v>
      </c>
      <c r="H168" s="3">
        <v>15</v>
      </c>
      <c r="L168" s="3">
        <f t="shared" si="68"/>
        <v>765</v>
      </c>
    </row>
    <row r="169" spans="1:12">
      <c r="A169" s="1" t="s">
        <v>1122</v>
      </c>
      <c r="B169" s="2">
        <v>43742</v>
      </c>
      <c r="C169" s="60">
        <f t="shared" si="66"/>
        <v>2019</v>
      </c>
      <c r="D169" s="1" t="str">
        <f t="shared" si="67"/>
        <v>Oct</v>
      </c>
      <c r="E169" s="1" t="s">
        <v>69</v>
      </c>
      <c r="F169" s="1" t="s">
        <v>13</v>
      </c>
      <c r="G169" s="1" t="s">
        <v>6</v>
      </c>
      <c r="H169" s="3">
        <v>322.2</v>
      </c>
      <c r="J169" s="1" t="s">
        <v>3470</v>
      </c>
      <c r="K169" s="1">
        <v>3</v>
      </c>
      <c r="L169" s="3">
        <f t="shared" si="68"/>
        <v>16432.2</v>
      </c>
    </row>
    <row r="170" spans="1:12">
      <c r="A170" s="1" t="s">
        <v>1122</v>
      </c>
      <c r="B170" s="2">
        <v>43742</v>
      </c>
      <c r="C170" s="60">
        <f t="shared" si="66"/>
        <v>2019</v>
      </c>
      <c r="D170" s="1" t="str">
        <f t="shared" si="67"/>
        <v>Oct</v>
      </c>
      <c r="E170" s="1" t="s">
        <v>69</v>
      </c>
      <c r="F170" s="1" t="s">
        <v>13</v>
      </c>
      <c r="G170" s="1" t="s">
        <v>6</v>
      </c>
      <c r="H170" s="3">
        <v>600</v>
      </c>
      <c r="J170" s="1" t="s">
        <v>3446</v>
      </c>
      <c r="K170" s="1">
        <v>3</v>
      </c>
      <c r="L170" s="3">
        <f t="shared" si="68"/>
        <v>30600</v>
      </c>
    </row>
    <row r="171" spans="1:12">
      <c r="A171" s="1" t="s">
        <v>1122</v>
      </c>
      <c r="B171" s="2">
        <v>43742</v>
      </c>
      <c r="C171" s="60">
        <f t="shared" si="66"/>
        <v>2019</v>
      </c>
      <c r="D171" s="1" t="str">
        <f t="shared" si="67"/>
        <v>Oct</v>
      </c>
      <c r="E171" s="1" t="s">
        <v>69</v>
      </c>
      <c r="F171" s="1" t="s">
        <v>13</v>
      </c>
      <c r="G171" s="1" t="s">
        <v>6</v>
      </c>
      <c r="H171" s="3">
        <v>1000</v>
      </c>
      <c r="J171" s="1" t="s">
        <v>3447</v>
      </c>
      <c r="K171" s="1">
        <v>1</v>
      </c>
      <c r="L171" s="3">
        <f t="shared" si="68"/>
        <v>51000</v>
      </c>
    </row>
    <row r="172" spans="1:12">
      <c r="A172" s="1" t="s">
        <v>1122</v>
      </c>
      <c r="B172" s="2">
        <v>43742</v>
      </c>
      <c r="C172" s="60">
        <f t="shared" si="66"/>
        <v>2019</v>
      </c>
      <c r="D172" s="1" t="str">
        <f t="shared" si="67"/>
        <v>Oct</v>
      </c>
      <c r="E172" s="1" t="s">
        <v>1118</v>
      </c>
      <c r="F172" s="1" t="s">
        <v>13</v>
      </c>
      <c r="G172" s="1" t="s">
        <v>6</v>
      </c>
      <c r="H172" s="3">
        <v>149.6</v>
      </c>
    </row>
    <row r="173" spans="1:12">
      <c r="A173" s="1" t="s">
        <v>1122</v>
      </c>
      <c r="B173" s="2">
        <v>43745</v>
      </c>
      <c r="C173" s="60">
        <f t="shared" si="66"/>
        <v>2019</v>
      </c>
      <c r="D173" s="1" t="str">
        <f t="shared" si="67"/>
        <v>Oct</v>
      </c>
      <c r="E173" s="1" t="s">
        <v>11</v>
      </c>
      <c r="F173" s="1" t="s">
        <v>13</v>
      </c>
      <c r="G173" s="1" t="s">
        <v>6</v>
      </c>
      <c r="H173" s="3">
        <v>100</v>
      </c>
      <c r="L173" s="3">
        <f>H173*$N$1</f>
        <v>5100</v>
      </c>
    </row>
    <row r="174" spans="1:12">
      <c r="A174" s="1" t="s">
        <v>1122</v>
      </c>
      <c r="B174" s="2">
        <v>43745</v>
      </c>
      <c r="C174" s="60">
        <f t="shared" ref="C174:C178" si="69">YEAR(B174)</f>
        <v>2019</v>
      </c>
      <c r="D174" s="1" t="str">
        <f t="shared" ref="D174:D178" si="70">VLOOKUP(MONTH(B174),$P$1:$Q$13,2,0)</f>
        <v>Oct</v>
      </c>
      <c r="E174" s="1" t="s">
        <v>15</v>
      </c>
      <c r="F174" s="1" t="s">
        <v>13</v>
      </c>
      <c r="G174" s="1" t="s">
        <v>6</v>
      </c>
      <c r="H174" s="3">
        <v>100</v>
      </c>
      <c r="L174" s="3">
        <f t="shared" ref="L174:L210" si="71">H174*$N$1</f>
        <v>5100</v>
      </c>
    </row>
    <row r="175" spans="1:12">
      <c r="A175" s="1" t="s">
        <v>1122</v>
      </c>
      <c r="B175" s="2">
        <v>43745</v>
      </c>
      <c r="C175" s="60">
        <f t="shared" si="69"/>
        <v>2019</v>
      </c>
      <c r="D175" s="1" t="str">
        <f t="shared" si="70"/>
        <v>Oct</v>
      </c>
      <c r="E175" s="1" t="s">
        <v>1114</v>
      </c>
      <c r="F175" s="1" t="s">
        <v>13</v>
      </c>
      <c r="G175" s="1" t="s">
        <v>6</v>
      </c>
      <c r="H175" s="3">
        <v>15</v>
      </c>
      <c r="L175" s="3">
        <f t="shared" si="71"/>
        <v>765</v>
      </c>
    </row>
    <row r="176" spans="1:12">
      <c r="A176" s="1" t="s">
        <v>1122</v>
      </c>
      <c r="B176" s="2">
        <v>43745</v>
      </c>
      <c r="C176" s="60">
        <f t="shared" si="69"/>
        <v>2019</v>
      </c>
      <c r="D176" s="1" t="str">
        <f t="shared" si="70"/>
        <v>Oct</v>
      </c>
      <c r="E176" s="1" t="s">
        <v>69</v>
      </c>
      <c r="F176" s="1" t="s">
        <v>13</v>
      </c>
      <c r="G176" s="1" t="s">
        <v>6</v>
      </c>
      <c r="H176" s="3">
        <v>214.8</v>
      </c>
      <c r="J176" s="1" t="s">
        <v>3470</v>
      </c>
      <c r="K176" s="1">
        <v>2</v>
      </c>
      <c r="L176" s="3">
        <f t="shared" si="71"/>
        <v>10954.800000000001</v>
      </c>
    </row>
    <row r="177" spans="1:12">
      <c r="A177" s="1" t="s">
        <v>1122</v>
      </c>
      <c r="B177" s="2">
        <v>43745</v>
      </c>
      <c r="C177" s="60">
        <f t="shared" si="69"/>
        <v>2019</v>
      </c>
      <c r="D177" s="1" t="str">
        <f t="shared" si="70"/>
        <v>Oct</v>
      </c>
      <c r="E177" s="1" t="s">
        <v>69</v>
      </c>
      <c r="F177" s="1" t="s">
        <v>13</v>
      </c>
      <c r="G177" s="1" t="s">
        <v>6</v>
      </c>
      <c r="H177" s="3">
        <v>400</v>
      </c>
      <c r="J177" s="1" t="s">
        <v>3446</v>
      </c>
      <c r="K177" s="1">
        <v>2</v>
      </c>
      <c r="L177" s="3">
        <f t="shared" si="71"/>
        <v>20400</v>
      </c>
    </row>
    <row r="178" spans="1:12">
      <c r="A178" s="1" t="s">
        <v>1122</v>
      </c>
      <c r="B178" s="2">
        <v>43745</v>
      </c>
      <c r="C178" s="60">
        <f t="shared" si="69"/>
        <v>2019</v>
      </c>
      <c r="D178" s="1" t="str">
        <f t="shared" si="70"/>
        <v>Oct</v>
      </c>
      <c r="E178" s="1" t="s">
        <v>69</v>
      </c>
      <c r="F178" s="1" t="s">
        <v>13</v>
      </c>
      <c r="G178" s="1" t="s">
        <v>6</v>
      </c>
      <c r="H178" s="3">
        <v>682</v>
      </c>
      <c r="J178" s="1" t="s">
        <v>3471</v>
      </c>
      <c r="K178" s="1">
        <v>2</v>
      </c>
      <c r="L178" s="3">
        <f t="shared" si="71"/>
        <v>34782</v>
      </c>
    </row>
    <row r="179" spans="1:12">
      <c r="A179" s="1" t="s">
        <v>1122</v>
      </c>
      <c r="B179" s="2">
        <v>43745</v>
      </c>
      <c r="C179" s="60">
        <f t="shared" ref="C179" si="72">YEAR(B179)</f>
        <v>2019</v>
      </c>
      <c r="D179" s="1" t="str">
        <f t="shared" ref="D179" si="73">VLOOKUP(MONTH(B179),$P$1:$Q$13,2,0)</f>
        <v>Oct</v>
      </c>
      <c r="E179" s="1" t="s">
        <v>69</v>
      </c>
      <c r="F179" s="1" t="s">
        <v>13</v>
      </c>
      <c r="G179" s="1" t="s">
        <v>6</v>
      </c>
      <c r="H179" s="3">
        <v>86</v>
      </c>
      <c r="J179" s="1" t="s">
        <v>3472</v>
      </c>
      <c r="K179" s="1">
        <v>2</v>
      </c>
      <c r="L179" s="3">
        <f t="shared" si="71"/>
        <v>4386</v>
      </c>
    </row>
    <row r="180" spans="1:12">
      <c r="A180" s="1" t="s">
        <v>1122</v>
      </c>
      <c r="B180" s="2">
        <v>43745</v>
      </c>
      <c r="C180" s="60">
        <f t="shared" ref="C180:C182" si="74">YEAR(B180)</f>
        <v>2019</v>
      </c>
      <c r="D180" s="1" t="str">
        <f t="shared" ref="D180:D182" si="75">VLOOKUP(MONTH(B180),$P$1:$Q$13,2,0)</f>
        <v>Oct</v>
      </c>
      <c r="E180" s="1" t="s">
        <v>4</v>
      </c>
      <c r="F180" s="1" t="s">
        <v>13</v>
      </c>
      <c r="G180" s="1" t="s">
        <v>6</v>
      </c>
      <c r="H180" s="3">
        <v>38.799999999999997</v>
      </c>
      <c r="J180" s="1" t="s">
        <v>3473</v>
      </c>
      <c r="K180" s="1">
        <v>4</v>
      </c>
      <c r="L180" s="3">
        <f t="shared" si="71"/>
        <v>1978.8</v>
      </c>
    </row>
    <row r="181" spans="1:12">
      <c r="A181" s="1" t="s">
        <v>1122</v>
      </c>
      <c r="B181" s="2">
        <v>43745</v>
      </c>
      <c r="C181" s="60">
        <f t="shared" si="74"/>
        <v>2019</v>
      </c>
      <c r="D181" s="1" t="str">
        <f t="shared" si="75"/>
        <v>Oct</v>
      </c>
      <c r="E181" s="1" t="s">
        <v>1118</v>
      </c>
      <c r="F181" s="1" t="s">
        <v>13</v>
      </c>
      <c r="G181" s="1" t="s">
        <v>6</v>
      </c>
      <c r="H181" s="3">
        <v>114.55</v>
      </c>
      <c r="L181" s="3">
        <f t="shared" si="71"/>
        <v>5842.05</v>
      </c>
    </row>
    <row r="182" spans="1:12">
      <c r="A182" s="1" t="s">
        <v>1409</v>
      </c>
      <c r="B182" s="2">
        <v>43747</v>
      </c>
      <c r="C182" s="60">
        <f t="shared" si="74"/>
        <v>2019</v>
      </c>
      <c r="D182" s="1" t="str">
        <f t="shared" si="75"/>
        <v>Oct</v>
      </c>
      <c r="E182" s="1" t="s">
        <v>69</v>
      </c>
      <c r="F182" s="1" t="s">
        <v>13</v>
      </c>
      <c r="G182" s="1" t="s">
        <v>6</v>
      </c>
      <c r="H182" s="3">
        <v>25</v>
      </c>
      <c r="I182" s="1" t="s">
        <v>1247</v>
      </c>
      <c r="L182" s="3">
        <f t="shared" si="71"/>
        <v>1275</v>
      </c>
    </row>
    <row r="183" spans="1:12">
      <c r="A183" s="1" t="s">
        <v>1409</v>
      </c>
      <c r="B183" s="2">
        <v>43747</v>
      </c>
      <c r="C183" s="60">
        <f t="shared" ref="C183:C184" si="76">YEAR(B183)</f>
        <v>2019</v>
      </c>
      <c r="D183" s="1" t="str">
        <f t="shared" ref="D183:D184" si="77">VLOOKUP(MONTH(B183),$P$1:$Q$13,2,0)</f>
        <v>Oct</v>
      </c>
      <c r="E183" s="1" t="s">
        <v>1118</v>
      </c>
      <c r="F183" s="1" t="s">
        <v>13</v>
      </c>
      <c r="G183" s="1" t="s">
        <v>6</v>
      </c>
      <c r="H183" s="3">
        <v>1.75</v>
      </c>
      <c r="L183" s="3">
        <f t="shared" si="71"/>
        <v>89.25</v>
      </c>
    </row>
    <row r="184" spans="1:12">
      <c r="A184" s="1" t="s">
        <v>1122</v>
      </c>
      <c r="B184" s="2">
        <v>43749</v>
      </c>
      <c r="C184" s="60">
        <f t="shared" si="76"/>
        <v>2019</v>
      </c>
      <c r="D184" s="1" t="str">
        <f t="shared" si="77"/>
        <v>Oct</v>
      </c>
      <c r="E184" s="1" t="s">
        <v>166</v>
      </c>
      <c r="F184" s="1" t="s">
        <v>13</v>
      </c>
      <c r="G184" s="1" t="s">
        <v>6</v>
      </c>
      <c r="H184" s="3">
        <v>13.15</v>
      </c>
      <c r="J184" s="1" t="s">
        <v>1250</v>
      </c>
      <c r="L184" s="3">
        <f t="shared" si="71"/>
        <v>670.65</v>
      </c>
    </row>
    <row r="185" spans="1:12">
      <c r="A185" s="1" t="s">
        <v>1122</v>
      </c>
      <c r="B185" s="2">
        <v>43749</v>
      </c>
      <c r="C185" s="60">
        <f t="shared" ref="C185:C195" si="78">YEAR(B185)</f>
        <v>2019</v>
      </c>
      <c r="D185" s="1" t="str">
        <f t="shared" ref="D185:D195" si="79">VLOOKUP(MONTH(B185),$P$1:$Q$13,2,0)</f>
        <v>Oct</v>
      </c>
      <c r="E185" s="1" t="s">
        <v>166</v>
      </c>
      <c r="F185" s="1" t="s">
        <v>13</v>
      </c>
      <c r="G185" s="1" t="s">
        <v>6</v>
      </c>
      <c r="H185" s="3">
        <v>14.75</v>
      </c>
      <c r="J185" s="1" t="s">
        <v>1251</v>
      </c>
      <c r="L185" s="3">
        <f t="shared" si="71"/>
        <v>752.25</v>
      </c>
    </row>
    <row r="186" spans="1:12">
      <c r="A186" s="1" t="s">
        <v>1122</v>
      </c>
      <c r="B186" s="2">
        <v>43749</v>
      </c>
      <c r="C186" s="60">
        <f t="shared" si="78"/>
        <v>2019</v>
      </c>
      <c r="D186" s="1" t="str">
        <f t="shared" si="79"/>
        <v>Oct</v>
      </c>
      <c r="E186" s="1" t="s">
        <v>166</v>
      </c>
      <c r="F186" s="1" t="s">
        <v>13</v>
      </c>
      <c r="G186" s="1" t="s">
        <v>6</v>
      </c>
      <c r="H186" s="3">
        <v>11.4</v>
      </c>
      <c r="I186" s="1" t="s">
        <v>3481</v>
      </c>
      <c r="L186" s="3">
        <f t="shared" si="71"/>
        <v>581.4</v>
      </c>
    </row>
    <row r="187" spans="1:12">
      <c r="A187" s="1" t="s">
        <v>1122</v>
      </c>
      <c r="B187" s="2">
        <v>43749</v>
      </c>
      <c r="C187" s="60">
        <f t="shared" si="78"/>
        <v>2019</v>
      </c>
      <c r="D187" s="1" t="str">
        <f t="shared" si="79"/>
        <v>Oct</v>
      </c>
      <c r="E187" s="1" t="s">
        <v>166</v>
      </c>
      <c r="F187" s="1" t="s">
        <v>13</v>
      </c>
      <c r="G187" s="1" t="s">
        <v>6</v>
      </c>
      <c r="H187" s="3">
        <v>21</v>
      </c>
      <c r="I187" s="1" t="s">
        <v>1346</v>
      </c>
      <c r="L187" s="3">
        <f t="shared" si="71"/>
        <v>1071</v>
      </c>
    </row>
    <row r="188" spans="1:12">
      <c r="A188" s="1" t="s">
        <v>1122</v>
      </c>
      <c r="B188" s="2">
        <v>43749</v>
      </c>
      <c r="C188" s="60">
        <f t="shared" si="78"/>
        <v>2019</v>
      </c>
      <c r="D188" s="1" t="str">
        <f t="shared" si="79"/>
        <v>Oct</v>
      </c>
      <c r="E188" s="1" t="s">
        <v>166</v>
      </c>
      <c r="F188" s="1" t="s">
        <v>13</v>
      </c>
      <c r="G188" s="1" t="s">
        <v>6</v>
      </c>
      <c r="H188" s="3">
        <v>98.7</v>
      </c>
      <c r="I188" s="1" t="s">
        <v>1253</v>
      </c>
      <c r="L188" s="3">
        <f t="shared" si="71"/>
        <v>5033.7</v>
      </c>
    </row>
    <row r="189" spans="1:12">
      <c r="A189" s="1" t="s">
        <v>1122</v>
      </c>
      <c r="B189" s="2">
        <v>43749</v>
      </c>
      <c r="C189" s="60">
        <f t="shared" si="78"/>
        <v>2019</v>
      </c>
      <c r="D189" s="1" t="str">
        <f t="shared" si="79"/>
        <v>Oct</v>
      </c>
      <c r="E189" s="1" t="s">
        <v>166</v>
      </c>
      <c r="F189" s="1" t="s">
        <v>13</v>
      </c>
      <c r="G189" s="1" t="s">
        <v>6</v>
      </c>
      <c r="H189" s="3">
        <v>17.399999999999999</v>
      </c>
      <c r="I189" s="1" t="s">
        <v>1252</v>
      </c>
      <c r="L189" s="3">
        <f t="shared" si="71"/>
        <v>887.4</v>
      </c>
    </row>
    <row r="190" spans="1:12">
      <c r="A190" s="1" t="s">
        <v>1122</v>
      </c>
      <c r="B190" s="2">
        <v>43749</v>
      </c>
      <c r="C190" s="60">
        <f t="shared" si="78"/>
        <v>2019</v>
      </c>
      <c r="D190" s="1" t="str">
        <f t="shared" si="79"/>
        <v>Oct</v>
      </c>
      <c r="E190" s="1" t="s">
        <v>166</v>
      </c>
      <c r="F190" s="1" t="s">
        <v>13</v>
      </c>
      <c r="G190" s="1" t="s">
        <v>6</v>
      </c>
      <c r="H190" s="3">
        <v>1500</v>
      </c>
      <c r="I190" s="1" t="s">
        <v>3480</v>
      </c>
      <c r="L190" s="3">
        <f t="shared" si="71"/>
        <v>76500</v>
      </c>
    </row>
    <row r="191" spans="1:12">
      <c r="A191" s="1" t="s">
        <v>1122</v>
      </c>
      <c r="B191" s="2">
        <v>43749</v>
      </c>
      <c r="C191" s="60">
        <f t="shared" si="78"/>
        <v>2019</v>
      </c>
      <c r="D191" s="1" t="str">
        <f t="shared" si="79"/>
        <v>Oct</v>
      </c>
      <c r="E191" s="1" t="s">
        <v>166</v>
      </c>
      <c r="F191" s="1" t="s">
        <v>13</v>
      </c>
      <c r="G191" s="1" t="s">
        <v>6</v>
      </c>
      <c r="H191" s="3">
        <v>120</v>
      </c>
      <c r="I191" s="1" t="s">
        <v>1254</v>
      </c>
      <c r="L191" s="3">
        <f t="shared" si="71"/>
        <v>6120</v>
      </c>
    </row>
    <row r="192" spans="1:12">
      <c r="A192" s="1" t="s">
        <v>1122</v>
      </c>
      <c r="B192" s="2">
        <v>43749</v>
      </c>
      <c r="C192" s="60">
        <f t="shared" si="78"/>
        <v>2019</v>
      </c>
      <c r="D192" s="1" t="str">
        <f t="shared" si="79"/>
        <v>Oct</v>
      </c>
      <c r="E192" s="1" t="s">
        <v>166</v>
      </c>
      <c r="F192" s="1" t="s">
        <v>13</v>
      </c>
      <c r="G192" s="1" t="s">
        <v>6</v>
      </c>
      <c r="H192" s="3">
        <v>2950</v>
      </c>
      <c r="I192" s="1" t="s">
        <v>3479</v>
      </c>
      <c r="L192" s="3">
        <f t="shared" si="71"/>
        <v>150450</v>
      </c>
    </row>
    <row r="193" spans="1:12">
      <c r="A193" s="1" t="s">
        <v>1122</v>
      </c>
      <c r="B193" s="2">
        <v>43749</v>
      </c>
      <c r="C193" s="60">
        <f t="shared" si="78"/>
        <v>2019</v>
      </c>
      <c r="D193" s="1" t="str">
        <f t="shared" si="79"/>
        <v>Oct</v>
      </c>
      <c r="E193" s="1" t="s">
        <v>1118</v>
      </c>
      <c r="F193" s="1" t="s">
        <v>13</v>
      </c>
      <c r="G193" s="1" t="s">
        <v>6</v>
      </c>
      <c r="H193" s="3">
        <v>332.25</v>
      </c>
      <c r="L193" s="3">
        <f>H193*$N$1</f>
        <v>16944.75</v>
      </c>
    </row>
    <row r="194" spans="1:12">
      <c r="A194" s="1" t="s">
        <v>1122</v>
      </c>
      <c r="B194" s="2">
        <v>43749</v>
      </c>
      <c r="C194" s="60">
        <f t="shared" si="78"/>
        <v>2019</v>
      </c>
      <c r="D194" s="1" t="str">
        <f t="shared" si="79"/>
        <v>Oct</v>
      </c>
      <c r="E194" s="1" t="s">
        <v>166</v>
      </c>
      <c r="F194" s="1" t="s">
        <v>13</v>
      </c>
      <c r="G194" s="1" t="s">
        <v>6</v>
      </c>
      <c r="H194" s="3">
        <v>535</v>
      </c>
      <c r="I194" s="1" t="s">
        <v>1257</v>
      </c>
      <c r="L194" s="3">
        <f t="shared" si="71"/>
        <v>27285</v>
      </c>
    </row>
    <row r="195" spans="1:12">
      <c r="A195" s="1" t="s">
        <v>1122</v>
      </c>
      <c r="B195" s="2">
        <v>43752</v>
      </c>
      <c r="C195" s="60">
        <f t="shared" si="78"/>
        <v>2019</v>
      </c>
      <c r="D195" s="1" t="str">
        <f t="shared" si="79"/>
        <v>Oct</v>
      </c>
      <c r="E195" s="1" t="s">
        <v>178</v>
      </c>
      <c r="F195" s="1" t="s">
        <v>13</v>
      </c>
      <c r="G195" s="1" t="s">
        <v>6</v>
      </c>
      <c r="H195" s="3">
        <v>20</v>
      </c>
      <c r="J195" s="1" t="s">
        <v>3477</v>
      </c>
      <c r="K195" s="1">
        <f>10*10</f>
        <v>100</v>
      </c>
      <c r="L195" s="3">
        <f t="shared" si="71"/>
        <v>1020</v>
      </c>
    </row>
    <row r="196" spans="1:12">
      <c r="A196" s="1" t="s">
        <v>1122</v>
      </c>
      <c r="B196" s="2">
        <v>43752</v>
      </c>
      <c r="C196" s="60">
        <f t="shared" ref="C196:C205" si="80">YEAR(B196)</f>
        <v>2019</v>
      </c>
      <c r="D196" s="1" t="str">
        <f t="shared" ref="D196:D205" si="81">VLOOKUP(MONTH(B196),$P$1:$Q$13,2,0)</f>
        <v>Oct</v>
      </c>
      <c r="E196" s="1" t="s">
        <v>178</v>
      </c>
      <c r="F196" s="1" t="s">
        <v>13</v>
      </c>
      <c r="G196" s="1" t="s">
        <v>6</v>
      </c>
      <c r="H196" s="3">
        <v>128</v>
      </c>
      <c r="J196" s="1" t="s">
        <v>3478</v>
      </c>
      <c r="K196" s="1">
        <f>15*4</f>
        <v>60</v>
      </c>
      <c r="L196" s="3">
        <f t="shared" si="71"/>
        <v>6528</v>
      </c>
    </row>
    <row r="197" spans="1:12">
      <c r="A197" s="1" t="s">
        <v>1122</v>
      </c>
      <c r="B197" s="2">
        <v>43752</v>
      </c>
      <c r="C197" s="60">
        <f t="shared" si="80"/>
        <v>2019</v>
      </c>
      <c r="D197" s="1" t="str">
        <f t="shared" si="81"/>
        <v>Oct</v>
      </c>
      <c r="E197" s="1" t="s">
        <v>178</v>
      </c>
      <c r="F197" s="1" t="s">
        <v>13</v>
      </c>
      <c r="G197" s="1" t="s">
        <v>6</v>
      </c>
      <c r="H197" s="3">
        <v>39.200000000000003</v>
      </c>
      <c r="J197" s="1" t="s">
        <v>1259</v>
      </c>
      <c r="K197" s="1">
        <f>28*2</f>
        <v>56</v>
      </c>
      <c r="L197" s="3">
        <f t="shared" si="71"/>
        <v>1999.2</v>
      </c>
    </row>
    <row r="198" spans="1:12">
      <c r="A198" s="1" t="s">
        <v>1122</v>
      </c>
      <c r="B198" s="2">
        <v>43752</v>
      </c>
      <c r="C198" s="60">
        <f t="shared" si="80"/>
        <v>2019</v>
      </c>
      <c r="D198" s="1" t="str">
        <f t="shared" si="81"/>
        <v>Oct</v>
      </c>
      <c r="E198" s="1" t="s">
        <v>178</v>
      </c>
      <c r="F198" s="1" t="s">
        <v>13</v>
      </c>
      <c r="G198" s="1" t="s">
        <v>6</v>
      </c>
      <c r="H198" s="3">
        <v>108.2</v>
      </c>
      <c r="I198" s="1" t="s">
        <v>1261</v>
      </c>
      <c r="L198" s="3">
        <f t="shared" si="71"/>
        <v>5518.2</v>
      </c>
    </row>
    <row r="199" spans="1:12">
      <c r="A199" s="1" t="s">
        <v>1122</v>
      </c>
      <c r="B199" s="2">
        <v>43752</v>
      </c>
      <c r="C199" s="60">
        <f t="shared" si="80"/>
        <v>2019</v>
      </c>
      <c r="D199" s="1" t="str">
        <f t="shared" si="81"/>
        <v>Oct</v>
      </c>
      <c r="E199" s="1" t="s">
        <v>178</v>
      </c>
      <c r="F199" s="1" t="s">
        <v>13</v>
      </c>
      <c r="G199" s="1" t="s">
        <v>6</v>
      </c>
      <c r="H199" s="3">
        <v>21</v>
      </c>
      <c r="I199" s="1" t="s">
        <v>1346</v>
      </c>
      <c r="L199" s="3">
        <f t="shared" si="71"/>
        <v>1071</v>
      </c>
    </row>
    <row r="200" spans="1:12">
      <c r="A200" s="1" t="s">
        <v>1122</v>
      </c>
      <c r="B200" s="2">
        <v>43752</v>
      </c>
      <c r="C200" s="60">
        <f t="shared" si="80"/>
        <v>2019</v>
      </c>
      <c r="D200" s="1" t="str">
        <f t="shared" si="81"/>
        <v>Oct</v>
      </c>
      <c r="E200" s="1" t="s">
        <v>178</v>
      </c>
      <c r="F200" s="1" t="s">
        <v>13</v>
      </c>
      <c r="G200" s="1" t="s">
        <v>6</v>
      </c>
      <c r="H200" s="3">
        <v>39</v>
      </c>
      <c r="I200" s="1" t="s">
        <v>1263</v>
      </c>
      <c r="L200" s="3">
        <f t="shared" si="71"/>
        <v>1989</v>
      </c>
    </row>
    <row r="201" spans="1:12">
      <c r="A201" s="1" t="s">
        <v>1122</v>
      </c>
      <c r="B201" s="2">
        <v>43752</v>
      </c>
      <c r="C201" s="60">
        <f t="shared" si="80"/>
        <v>2019</v>
      </c>
      <c r="D201" s="1" t="str">
        <f t="shared" si="81"/>
        <v>Oct</v>
      </c>
      <c r="E201" s="1" t="s">
        <v>178</v>
      </c>
      <c r="F201" s="1" t="s">
        <v>13</v>
      </c>
      <c r="G201" s="1" t="s">
        <v>6</v>
      </c>
      <c r="H201" s="3">
        <v>39</v>
      </c>
      <c r="I201" s="1" t="s">
        <v>1262</v>
      </c>
      <c r="L201" s="3">
        <f t="shared" si="71"/>
        <v>1989</v>
      </c>
    </row>
    <row r="202" spans="1:12">
      <c r="A202" s="1" t="s">
        <v>1122</v>
      </c>
      <c r="B202" s="2">
        <v>43752</v>
      </c>
      <c r="C202" s="60">
        <f t="shared" si="80"/>
        <v>2019</v>
      </c>
      <c r="D202" s="1" t="str">
        <f t="shared" si="81"/>
        <v>Oct</v>
      </c>
      <c r="E202" s="1" t="s">
        <v>178</v>
      </c>
      <c r="F202" s="1" t="s">
        <v>13</v>
      </c>
      <c r="G202" s="1" t="s">
        <v>6</v>
      </c>
      <c r="H202" s="3">
        <v>800</v>
      </c>
      <c r="I202" s="1" t="s">
        <v>3482</v>
      </c>
      <c r="L202" s="3">
        <f t="shared" si="71"/>
        <v>40800</v>
      </c>
    </row>
    <row r="203" spans="1:12">
      <c r="A203" s="1" t="s">
        <v>1122</v>
      </c>
      <c r="B203" s="2">
        <v>43752</v>
      </c>
      <c r="C203" s="60">
        <f t="shared" si="80"/>
        <v>2019</v>
      </c>
      <c r="D203" s="1" t="str">
        <f t="shared" si="81"/>
        <v>Oct</v>
      </c>
      <c r="E203" s="1" t="s">
        <v>178</v>
      </c>
      <c r="F203" s="1" t="s">
        <v>13</v>
      </c>
      <c r="G203" s="1" t="s">
        <v>6</v>
      </c>
      <c r="H203" s="3">
        <v>120</v>
      </c>
      <c r="I203" s="1" t="s">
        <v>1254</v>
      </c>
      <c r="L203" s="3">
        <f t="shared" si="71"/>
        <v>6120</v>
      </c>
    </row>
    <row r="204" spans="1:12">
      <c r="A204" s="1" t="s">
        <v>1122</v>
      </c>
      <c r="B204" s="2">
        <v>43752</v>
      </c>
      <c r="C204" s="60">
        <f t="shared" si="80"/>
        <v>2019</v>
      </c>
      <c r="D204" s="1" t="str">
        <f t="shared" si="81"/>
        <v>Oct</v>
      </c>
      <c r="E204" s="1" t="s">
        <v>178</v>
      </c>
      <c r="F204" s="1" t="s">
        <v>13</v>
      </c>
      <c r="G204" s="1" t="s">
        <v>6</v>
      </c>
      <c r="H204" s="3">
        <v>900</v>
      </c>
      <c r="L204" s="3">
        <f t="shared" si="71"/>
        <v>45900</v>
      </c>
    </row>
    <row r="205" spans="1:12">
      <c r="A205" s="1" t="s">
        <v>1122</v>
      </c>
      <c r="B205" s="2">
        <v>43752</v>
      </c>
      <c r="C205" s="60">
        <f t="shared" si="80"/>
        <v>2019</v>
      </c>
      <c r="D205" s="1" t="str">
        <f t="shared" si="81"/>
        <v>Oct</v>
      </c>
      <c r="E205" s="1" t="s">
        <v>178</v>
      </c>
      <c r="F205" s="1" t="s">
        <v>13</v>
      </c>
      <c r="G205" s="1" t="s">
        <v>6</v>
      </c>
      <c r="H205" s="3">
        <v>1190</v>
      </c>
      <c r="I205" s="1" t="s">
        <v>3483</v>
      </c>
      <c r="L205" s="3">
        <f t="shared" si="71"/>
        <v>60690</v>
      </c>
    </row>
    <row r="206" spans="1:12">
      <c r="A206" s="1" t="s">
        <v>1122</v>
      </c>
      <c r="B206" s="2">
        <v>43752</v>
      </c>
      <c r="C206" s="60">
        <f t="shared" ref="C206" si="82">YEAR(B206)</f>
        <v>2019</v>
      </c>
      <c r="D206" s="1" t="str">
        <f t="shared" ref="D206" si="83">VLOOKUP(MONTH(B206),$P$1:$Q$13,2,0)</f>
        <v>Oct</v>
      </c>
      <c r="E206" s="1" t="s">
        <v>178</v>
      </c>
      <c r="F206" s="1" t="s">
        <v>13</v>
      </c>
      <c r="G206" s="1" t="s">
        <v>6</v>
      </c>
      <c r="H206" s="3">
        <v>1000</v>
      </c>
      <c r="I206" s="1" t="s">
        <v>3484</v>
      </c>
      <c r="L206" s="3">
        <f t="shared" si="71"/>
        <v>51000</v>
      </c>
    </row>
    <row r="207" spans="1:12">
      <c r="A207" s="1" t="s">
        <v>1122</v>
      </c>
      <c r="B207" s="2">
        <v>43752</v>
      </c>
      <c r="C207" s="60">
        <f t="shared" ref="C207:C208" si="84">YEAR(B207)</f>
        <v>2019</v>
      </c>
      <c r="D207" s="1" t="str">
        <f t="shared" ref="D207:D208" si="85">VLOOKUP(MONTH(B207),$P$1:$Q$13,2,0)</f>
        <v>Oct</v>
      </c>
      <c r="E207" s="1" t="s">
        <v>1118</v>
      </c>
      <c r="F207" s="1" t="s">
        <v>13</v>
      </c>
      <c r="G207" s="1" t="s">
        <v>6</v>
      </c>
      <c r="H207" s="3">
        <v>308.3</v>
      </c>
      <c r="L207" s="3">
        <f t="shared" si="71"/>
        <v>15723.300000000001</v>
      </c>
    </row>
    <row r="208" spans="1:12">
      <c r="A208" s="1" t="s">
        <v>1409</v>
      </c>
      <c r="B208" s="2">
        <v>43752</v>
      </c>
      <c r="C208" s="60">
        <f t="shared" si="84"/>
        <v>2019</v>
      </c>
      <c r="D208" s="1" t="str">
        <f t="shared" si="85"/>
        <v>Oct</v>
      </c>
      <c r="E208" s="1" t="s">
        <v>69</v>
      </c>
      <c r="F208" s="1" t="s">
        <v>13</v>
      </c>
      <c r="G208" s="1" t="s">
        <v>6</v>
      </c>
      <c r="H208" s="3">
        <v>200</v>
      </c>
      <c r="I208" s="1" t="s">
        <v>3485</v>
      </c>
      <c r="L208" s="3">
        <f t="shared" si="71"/>
        <v>10200</v>
      </c>
    </row>
    <row r="209" spans="1:12">
      <c r="A209" s="1" t="s">
        <v>1409</v>
      </c>
      <c r="B209" s="2">
        <v>43752</v>
      </c>
      <c r="C209" s="60">
        <f t="shared" ref="C209:C210" si="86">YEAR(B209)</f>
        <v>2019</v>
      </c>
      <c r="D209" s="1" t="str">
        <f t="shared" ref="D209:D210" si="87">VLOOKUP(MONTH(B209),$P$1:$Q$13,2,0)</f>
        <v>Oct</v>
      </c>
      <c r="E209" s="1" t="s">
        <v>69</v>
      </c>
      <c r="F209" s="1" t="s">
        <v>13</v>
      </c>
      <c r="G209" s="1" t="s">
        <v>6</v>
      </c>
      <c r="H209" s="3">
        <v>20</v>
      </c>
      <c r="I209" s="1" t="s">
        <v>3486</v>
      </c>
      <c r="L209" s="3">
        <f t="shared" si="71"/>
        <v>1020</v>
      </c>
    </row>
    <row r="210" spans="1:12">
      <c r="A210" s="1" t="s">
        <v>1409</v>
      </c>
      <c r="B210" s="2">
        <v>43752</v>
      </c>
      <c r="C210" s="60">
        <f t="shared" si="86"/>
        <v>2019</v>
      </c>
      <c r="D210" s="1" t="str">
        <f t="shared" si="87"/>
        <v>Oct</v>
      </c>
      <c r="E210" s="1" t="s">
        <v>1118</v>
      </c>
      <c r="F210" s="1" t="s">
        <v>13</v>
      </c>
      <c r="G210" s="1" t="s">
        <v>6</v>
      </c>
      <c r="H210" s="3">
        <v>15.4</v>
      </c>
      <c r="L210" s="3">
        <f t="shared" si="71"/>
        <v>785.4</v>
      </c>
    </row>
    <row r="211" spans="1:12">
      <c r="C211" s="60"/>
    </row>
    <row r="212" spans="1:12">
      <c r="C212" s="60"/>
    </row>
    <row r="213" spans="1:12">
      <c r="C213" s="60"/>
    </row>
    <row r="214" spans="1:12">
      <c r="C214" s="60"/>
    </row>
    <row r="215" spans="1:12" ht="13.5" thickBot="1">
      <c r="C215" s="60"/>
    </row>
    <row r="216" spans="1:12" ht="13.5" thickBot="1">
      <c r="C216" s="60"/>
      <c r="H216" s="71">
        <f>SUM(H2:H215)</f>
        <v>54733.560000000005</v>
      </c>
      <c r="L216" s="71">
        <f>SUM(L2:L215)</f>
        <v>2670889.38</v>
      </c>
    </row>
    <row r="217" spans="1:12">
      <c r="A217" s="1" t="s">
        <v>1792</v>
      </c>
    </row>
  </sheetData>
  <autoFilter ref="A1:L210" xr:uid="{BB596106-E0AC-4BC2-938B-CAC8EFFFF4EF}"/>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88"/>
  <sheetViews>
    <sheetView zoomScaleNormal="100" workbookViewId="0">
      <pane ySplit="1" topLeftCell="A364" activePane="bottomLeft" state="frozen"/>
      <selection activeCell="D9" sqref="D9"/>
      <selection pane="bottomLeft" activeCell="D9" sqref="D9"/>
    </sheetView>
  </sheetViews>
  <sheetFormatPr defaultColWidth="9.140625" defaultRowHeight="12.75"/>
  <cols>
    <col min="1" max="1" width="15.42578125" style="1" bestFit="1" customWidth="1"/>
    <col min="2" max="2" width="8.85546875" style="1" bestFit="1" customWidth="1"/>
    <col min="3" max="3" width="9" style="1" bestFit="1" customWidth="1"/>
    <col min="4" max="4" width="9" style="1" customWidth="1"/>
    <col min="5" max="5" width="12.140625" style="1" bestFit="1" customWidth="1"/>
    <col min="6" max="6" width="62.42578125" style="90" customWidth="1"/>
    <col min="7" max="7" width="26.42578125" style="17" bestFit="1" customWidth="1"/>
    <col min="8" max="8" width="22" style="17" customWidth="1"/>
    <col min="9" max="9" width="9.140625" style="1"/>
    <col min="10" max="10" width="5.42578125" style="1" customWidth="1"/>
    <col min="11" max="11" width="5.140625" style="1" customWidth="1"/>
    <col min="12" max="12" width="16.42578125" style="1" bestFit="1" customWidth="1"/>
    <col min="13" max="13" width="16.140625" style="1" customWidth="1"/>
    <col min="14" max="14" width="9.28515625" style="1" bestFit="1" customWidth="1"/>
    <col min="15" max="15" width="16.7109375" style="1" customWidth="1"/>
    <col min="16" max="16" width="2.140625" style="1" bestFit="1" customWidth="1"/>
    <col min="17" max="17" width="10.85546875" style="1" bestFit="1" customWidth="1"/>
    <col min="18" max="16384" width="9.140625" style="1"/>
  </cols>
  <sheetData>
    <row r="1" spans="1:17">
      <c r="A1" s="15" t="s">
        <v>63</v>
      </c>
      <c r="B1" s="15" t="s">
        <v>3449</v>
      </c>
      <c r="C1" s="15" t="s">
        <v>3450</v>
      </c>
      <c r="D1" s="15" t="s">
        <v>1266</v>
      </c>
      <c r="E1" s="15" t="s">
        <v>123</v>
      </c>
      <c r="F1" s="83" t="s">
        <v>71</v>
      </c>
      <c r="G1" s="16" t="s">
        <v>33</v>
      </c>
      <c r="H1" s="16" t="s">
        <v>85</v>
      </c>
      <c r="I1" s="15" t="s">
        <v>65</v>
      </c>
      <c r="L1" s="48" t="s">
        <v>1</v>
      </c>
      <c r="M1" s="1" t="s">
        <v>803</v>
      </c>
    </row>
    <row r="2" spans="1:17">
      <c r="A2" s="11" t="s">
        <v>70</v>
      </c>
      <c r="B2" s="11"/>
      <c r="C2" s="11"/>
      <c r="D2" s="11"/>
      <c r="E2" s="11"/>
      <c r="F2" s="82" t="s">
        <v>113</v>
      </c>
      <c r="G2" s="13"/>
      <c r="H2" s="13"/>
      <c r="I2" s="11"/>
    </row>
    <row r="3" spans="1:17">
      <c r="A3" s="56">
        <v>41357</v>
      </c>
      <c r="B3" s="12" t="s">
        <v>124</v>
      </c>
      <c r="C3" s="12"/>
      <c r="D3" s="12"/>
      <c r="E3" s="18" t="str">
        <f>VLOOKUP(WEEKDAY(A3,1),$P$4:$Q$10,2,0)</f>
        <v>Sunday</v>
      </c>
      <c r="F3" s="82" t="s">
        <v>64</v>
      </c>
      <c r="G3" s="13"/>
      <c r="H3" s="13"/>
      <c r="I3" s="11"/>
      <c r="M3" s="48" t="s">
        <v>111</v>
      </c>
    </row>
    <row r="4" spans="1:17" ht="38.25">
      <c r="A4" s="56">
        <v>41358</v>
      </c>
      <c r="B4" s="12" t="s">
        <v>125</v>
      </c>
      <c r="C4" s="12"/>
      <c r="D4" s="12"/>
      <c r="E4" s="18" t="str">
        <f t="shared" ref="E4:E17" si="0">VLOOKUP(WEEKDAY(A4,1),$P$4:$Q$10,2,0)</f>
        <v>Monday</v>
      </c>
      <c r="F4" s="82" t="s">
        <v>67</v>
      </c>
      <c r="G4" s="13"/>
      <c r="H4" s="13"/>
      <c r="I4" s="11">
        <f>30+26</f>
        <v>56</v>
      </c>
      <c r="L4" s="48" t="s">
        <v>32</v>
      </c>
      <c r="M4" s="17" t="s">
        <v>17</v>
      </c>
      <c r="N4" s="17" t="s">
        <v>112</v>
      </c>
      <c r="P4" s="1">
        <v>1</v>
      </c>
      <c r="Q4" s="1" t="s">
        <v>114</v>
      </c>
    </row>
    <row r="5" spans="1:17">
      <c r="A5" s="56">
        <v>41359</v>
      </c>
      <c r="B5" s="12" t="s">
        <v>126</v>
      </c>
      <c r="C5" s="12" t="s">
        <v>124</v>
      </c>
      <c r="D5" s="12"/>
      <c r="E5" s="18" t="str">
        <f t="shared" si="0"/>
        <v>Tuesday</v>
      </c>
      <c r="F5" s="82" t="s">
        <v>72</v>
      </c>
      <c r="G5" s="13" t="s">
        <v>66</v>
      </c>
      <c r="H5" s="13" t="s">
        <v>86</v>
      </c>
      <c r="I5" s="11">
        <f t="shared" ref="I5:I6" si="1">30+30</f>
        <v>60</v>
      </c>
      <c r="L5" s="1" t="s">
        <v>100</v>
      </c>
      <c r="M5" s="49">
        <v>4080</v>
      </c>
      <c r="N5" s="1">
        <v>4</v>
      </c>
      <c r="P5" s="1">
        <v>2</v>
      </c>
      <c r="Q5" s="1" t="s">
        <v>115</v>
      </c>
    </row>
    <row r="6" spans="1:17">
      <c r="A6" s="56">
        <v>41360</v>
      </c>
      <c r="B6" s="12" t="s">
        <v>127</v>
      </c>
      <c r="C6" s="12" t="s">
        <v>125</v>
      </c>
      <c r="D6" s="12"/>
      <c r="E6" s="18" t="str">
        <f t="shared" si="0"/>
        <v>Wednesday</v>
      </c>
      <c r="F6" s="82" t="s">
        <v>72</v>
      </c>
      <c r="G6" s="13" t="s">
        <v>66</v>
      </c>
      <c r="H6" s="13" t="s">
        <v>86</v>
      </c>
      <c r="I6" s="11">
        <f t="shared" si="1"/>
        <v>60</v>
      </c>
      <c r="L6" s="1" t="s">
        <v>102</v>
      </c>
      <c r="M6" s="49">
        <v>3300</v>
      </c>
      <c r="N6" s="1">
        <v>3</v>
      </c>
      <c r="P6" s="1">
        <v>3</v>
      </c>
      <c r="Q6" s="1" t="s">
        <v>116</v>
      </c>
    </row>
    <row r="7" spans="1:17">
      <c r="A7" s="56">
        <v>41361</v>
      </c>
      <c r="B7" s="12" t="s">
        <v>128</v>
      </c>
      <c r="C7" s="12" t="s">
        <v>126</v>
      </c>
      <c r="D7" s="12"/>
      <c r="E7" s="18" t="str">
        <f t="shared" si="0"/>
        <v>Thursday</v>
      </c>
      <c r="F7" s="82" t="s">
        <v>72</v>
      </c>
      <c r="G7" s="13" t="s">
        <v>66</v>
      </c>
      <c r="H7" s="13" t="s">
        <v>86</v>
      </c>
      <c r="I7" s="11">
        <f>30+30</f>
        <v>60</v>
      </c>
      <c r="L7" s="1" t="s">
        <v>161</v>
      </c>
      <c r="M7" s="49">
        <v>1500</v>
      </c>
      <c r="N7" s="1">
        <v>1</v>
      </c>
      <c r="P7" s="1">
        <v>4</v>
      </c>
      <c r="Q7" s="1" t="s">
        <v>117</v>
      </c>
    </row>
    <row r="8" spans="1:17">
      <c r="A8" s="56">
        <v>41362</v>
      </c>
      <c r="B8" s="12" t="s">
        <v>129</v>
      </c>
      <c r="C8" s="12" t="s">
        <v>127</v>
      </c>
      <c r="D8" s="12"/>
      <c r="E8" s="18" t="str">
        <f t="shared" si="0"/>
        <v>Friday</v>
      </c>
      <c r="F8" s="82" t="s">
        <v>77</v>
      </c>
      <c r="G8" s="13" t="s">
        <v>66</v>
      </c>
      <c r="H8" s="13" t="s">
        <v>86</v>
      </c>
      <c r="I8" s="11">
        <f>30+30</f>
        <v>60</v>
      </c>
      <c r="L8" s="1" t="s">
        <v>159</v>
      </c>
      <c r="M8" s="49">
        <v>1045</v>
      </c>
      <c r="N8" s="1">
        <v>10</v>
      </c>
      <c r="P8" s="1">
        <v>5</v>
      </c>
      <c r="Q8" s="1" t="s">
        <v>118</v>
      </c>
    </row>
    <row r="9" spans="1:17" ht="25.5">
      <c r="A9" s="56">
        <v>41363</v>
      </c>
      <c r="B9" s="12" t="s">
        <v>130</v>
      </c>
      <c r="C9" s="12" t="s">
        <v>128</v>
      </c>
      <c r="D9" s="12"/>
      <c r="E9" s="18" t="str">
        <f t="shared" si="0"/>
        <v>Saturday</v>
      </c>
      <c r="F9" s="82" t="s">
        <v>74</v>
      </c>
      <c r="G9" s="13" t="s">
        <v>73</v>
      </c>
      <c r="H9" s="13" t="s">
        <v>86</v>
      </c>
      <c r="I9" s="11"/>
      <c r="L9" s="1" t="s">
        <v>750</v>
      </c>
      <c r="M9" s="49">
        <v>53076</v>
      </c>
      <c r="N9" s="1">
        <v>6</v>
      </c>
      <c r="P9" s="1">
        <v>6</v>
      </c>
      <c r="Q9" s="1" t="s">
        <v>119</v>
      </c>
    </row>
    <row r="10" spans="1:17">
      <c r="A10" s="56">
        <v>41364</v>
      </c>
      <c r="B10" s="12" t="s">
        <v>131</v>
      </c>
      <c r="C10" s="12" t="s">
        <v>129</v>
      </c>
      <c r="D10" s="12"/>
      <c r="E10" s="18" t="str">
        <f t="shared" si="0"/>
        <v>Sunday</v>
      </c>
      <c r="F10" s="82" t="s">
        <v>76</v>
      </c>
      <c r="G10" s="13" t="s">
        <v>75</v>
      </c>
      <c r="H10" s="13" t="s">
        <v>86</v>
      </c>
      <c r="I10" s="11"/>
      <c r="L10" s="1" t="s">
        <v>18</v>
      </c>
      <c r="M10" s="49">
        <v>63001</v>
      </c>
      <c r="N10" s="1">
        <v>24</v>
      </c>
      <c r="P10" s="1">
        <v>7</v>
      </c>
      <c r="Q10" s="1" t="s">
        <v>120</v>
      </c>
    </row>
    <row r="11" spans="1:17" ht="38.25">
      <c r="A11" s="56">
        <v>41365</v>
      </c>
      <c r="B11" s="12" t="s">
        <v>132</v>
      </c>
      <c r="C11" s="12" t="s">
        <v>130</v>
      </c>
      <c r="D11" s="12"/>
      <c r="E11" s="18" t="str">
        <f t="shared" si="0"/>
        <v>Monday</v>
      </c>
      <c r="F11" s="82" t="s">
        <v>121</v>
      </c>
      <c r="G11" s="13" t="s">
        <v>147</v>
      </c>
      <c r="H11" s="13" t="s">
        <v>87</v>
      </c>
      <c r="I11" s="11"/>
      <c r="L11"/>
      <c r="M11"/>
      <c r="N11"/>
    </row>
    <row r="12" spans="1:17" ht="26.25">
      <c r="A12" s="56">
        <v>41366</v>
      </c>
      <c r="B12" s="12" t="s">
        <v>133</v>
      </c>
      <c r="C12" s="12" t="s">
        <v>131</v>
      </c>
      <c r="D12" s="12"/>
      <c r="E12" s="18" t="str">
        <f t="shared" si="0"/>
        <v>Tuesday</v>
      </c>
      <c r="F12" s="82" t="s">
        <v>122</v>
      </c>
      <c r="G12" s="13" t="s">
        <v>147</v>
      </c>
      <c r="H12" s="13" t="s">
        <v>87</v>
      </c>
      <c r="I12" s="11"/>
      <c r="L12"/>
      <c r="M12"/>
      <c r="N12"/>
    </row>
    <row r="13" spans="1:17" ht="38.25">
      <c r="A13" s="56">
        <v>41367</v>
      </c>
      <c r="B13" s="12" t="s">
        <v>134</v>
      </c>
      <c r="C13" s="12" t="s">
        <v>132</v>
      </c>
      <c r="D13" s="12"/>
      <c r="E13" s="18" t="str">
        <f t="shared" si="0"/>
        <v>Wednesday</v>
      </c>
      <c r="F13" s="84" t="s">
        <v>174</v>
      </c>
      <c r="G13" s="13" t="s">
        <v>173</v>
      </c>
      <c r="H13" s="13" t="s">
        <v>87</v>
      </c>
      <c r="I13" s="11"/>
      <c r="L13"/>
      <c r="M13"/>
      <c r="N13"/>
    </row>
    <row r="14" spans="1:17" ht="15">
      <c r="A14" s="56">
        <v>41368</v>
      </c>
      <c r="B14" s="12" t="s">
        <v>148</v>
      </c>
      <c r="C14" s="12" t="s">
        <v>133</v>
      </c>
      <c r="D14" s="12"/>
      <c r="E14" s="18" t="str">
        <f t="shared" si="0"/>
        <v>Thursday</v>
      </c>
      <c r="F14" s="82" t="s">
        <v>150</v>
      </c>
      <c r="G14" s="13" t="s">
        <v>149</v>
      </c>
      <c r="H14" s="13" t="s">
        <v>86</v>
      </c>
      <c r="I14" s="11"/>
      <c r="L14"/>
      <c r="M14"/>
      <c r="N14"/>
    </row>
    <row r="15" spans="1:17" ht="63.75">
      <c r="A15" s="56">
        <v>41369</v>
      </c>
      <c r="B15" s="12" t="s">
        <v>151</v>
      </c>
      <c r="C15" s="12" t="s">
        <v>134</v>
      </c>
      <c r="D15" s="12"/>
      <c r="E15" s="18" t="str">
        <f t="shared" si="0"/>
        <v>Friday</v>
      </c>
      <c r="F15" s="82" t="s">
        <v>176</v>
      </c>
      <c r="G15" s="13" t="s">
        <v>159</v>
      </c>
      <c r="H15" s="13" t="s">
        <v>160</v>
      </c>
      <c r="I15" s="11"/>
      <c r="L15"/>
      <c r="M15"/>
      <c r="N15"/>
    </row>
    <row r="16" spans="1:17" ht="38.25">
      <c r="A16" s="56">
        <v>41370</v>
      </c>
      <c r="B16" s="12" t="s">
        <v>152</v>
      </c>
      <c r="C16" s="12" t="s">
        <v>148</v>
      </c>
      <c r="D16" s="12" t="s">
        <v>124</v>
      </c>
      <c r="E16" s="18" t="str">
        <f t="shared" si="0"/>
        <v>Saturday</v>
      </c>
      <c r="F16" s="82" t="s">
        <v>175</v>
      </c>
      <c r="G16" s="13" t="s">
        <v>159</v>
      </c>
      <c r="H16" s="13" t="s">
        <v>160</v>
      </c>
      <c r="I16" s="11">
        <v>50</v>
      </c>
    </row>
    <row r="17" spans="1:12">
      <c r="A17" s="56">
        <v>41371</v>
      </c>
      <c r="B17" s="12" t="s">
        <v>153</v>
      </c>
      <c r="C17" s="12" t="s">
        <v>151</v>
      </c>
      <c r="D17" s="12" t="s">
        <v>125</v>
      </c>
      <c r="E17" s="18" t="str">
        <f t="shared" si="0"/>
        <v>Sunday</v>
      </c>
      <c r="F17" s="82" t="s">
        <v>177</v>
      </c>
      <c r="G17" s="13" t="s">
        <v>159</v>
      </c>
      <c r="H17" s="13" t="s">
        <v>160</v>
      </c>
      <c r="I17" s="11">
        <v>60</v>
      </c>
    </row>
    <row r="18" spans="1:12" ht="38.25">
      <c r="A18" s="56">
        <v>41372</v>
      </c>
      <c r="B18" s="12" t="s">
        <v>154</v>
      </c>
      <c r="C18" s="12" t="s">
        <v>152</v>
      </c>
      <c r="D18" s="12" t="s">
        <v>126</v>
      </c>
      <c r="E18" s="18" t="str">
        <f t="shared" ref="E18:E22" si="2">VLOOKUP(WEEKDAY(A18,1),$P$4:$Q$10,2,0)</f>
        <v>Monday</v>
      </c>
      <c r="F18" s="82" t="s">
        <v>179</v>
      </c>
      <c r="G18" s="13" t="s">
        <v>180</v>
      </c>
      <c r="H18" s="13" t="s">
        <v>160</v>
      </c>
      <c r="I18" s="11"/>
    </row>
    <row r="19" spans="1:12">
      <c r="A19" s="56">
        <v>41373</v>
      </c>
      <c r="B19" s="12" t="s">
        <v>155</v>
      </c>
      <c r="C19" s="12" t="s">
        <v>153</v>
      </c>
      <c r="D19" s="12" t="s">
        <v>127</v>
      </c>
      <c r="E19" s="18" t="str">
        <f t="shared" si="2"/>
        <v>Tuesday</v>
      </c>
      <c r="F19" s="82"/>
      <c r="G19" s="13"/>
      <c r="H19" s="13"/>
      <c r="I19" s="11"/>
    </row>
    <row r="20" spans="1:12">
      <c r="A20" s="56">
        <v>41374</v>
      </c>
      <c r="B20" s="12" t="s">
        <v>156</v>
      </c>
      <c r="C20" s="12" t="s">
        <v>154</v>
      </c>
      <c r="D20" s="12" t="s">
        <v>128</v>
      </c>
      <c r="E20" s="18" t="str">
        <f t="shared" si="2"/>
        <v>Wednesday</v>
      </c>
      <c r="F20" s="82"/>
      <c r="G20" s="13"/>
      <c r="H20" s="13"/>
      <c r="I20" s="11"/>
    </row>
    <row r="21" spans="1:12" ht="25.5">
      <c r="A21" s="56">
        <v>41375</v>
      </c>
      <c r="B21" s="12" t="s">
        <v>157</v>
      </c>
      <c r="C21" s="12" t="s">
        <v>155</v>
      </c>
      <c r="D21" s="12" t="s">
        <v>129</v>
      </c>
      <c r="E21" s="18" t="str">
        <f t="shared" si="2"/>
        <v>Thursday</v>
      </c>
      <c r="F21" s="82" t="s">
        <v>210</v>
      </c>
      <c r="G21" s="13" t="s">
        <v>198</v>
      </c>
      <c r="H21" s="13" t="s">
        <v>160</v>
      </c>
      <c r="I21" s="11">
        <v>70</v>
      </c>
    </row>
    <row r="22" spans="1:12">
      <c r="A22" s="56">
        <v>41376</v>
      </c>
      <c r="B22" s="12" t="s">
        <v>158</v>
      </c>
      <c r="C22" s="12" t="s">
        <v>156</v>
      </c>
      <c r="D22" s="12" t="s">
        <v>130</v>
      </c>
      <c r="E22" s="18" t="str">
        <f t="shared" si="2"/>
        <v>Friday</v>
      </c>
      <c r="F22" s="82"/>
      <c r="G22" s="13"/>
      <c r="H22" s="13"/>
      <c r="I22" s="11"/>
    </row>
    <row r="23" spans="1:12">
      <c r="A23" s="56">
        <v>41377</v>
      </c>
      <c r="B23" s="12" t="s">
        <v>188</v>
      </c>
      <c r="C23" s="12" t="s">
        <v>157</v>
      </c>
      <c r="D23" s="12" t="s">
        <v>131</v>
      </c>
      <c r="E23" s="18" t="str">
        <f t="shared" ref="E23:E32" si="3">VLOOKUP(WEEKDAY(A23,1),$P$4:$Q$10,2,0)</f>
        <v>Saturday</v>
      </c>
      <c r="F23" s="82"/>
      <c r="G23" s="13"/>
      <c r="H23" s="13"/>
      <c r="I23" s="11"/>
    </row>
    <row r="24" spans="1:12">
      <c r="A24" s="56">
        <v>41378</v>
      </c>
      <c r="B24" s="12" t="s">
        <v>189</v>
      </c>
      <c r="C24" s="12" t="s">
        <v>158</v>
      </c>
      <c r="D24" s="12" t="s">
        <v>132</v>
      </c>
      <c r="E24" s="18" t="str">
        <f t="shared" si="3"/>
        <v>Sunday</v>
      </c>
      <c r="F24" s="82" t="s">
        <v>214</v>
      </c>
      <c r="G24" s="13" t="s">
        <v>199</v>
      </c>
      <c r="H24" s="13"/>
      <c r="I24" s="11">
        <v>70</v>
      </c>
    </row>
    <row r="25" spans="1:12">
      <c r="A25" s="56">
        <v>41379</v>
      </c>
      <c r="B25" s="12" t="s">
        <v>190</v>
      </c>
      <c r="C25" s="12" t="s">
        <v>188</v>
      </c>
      <c r="D25" s="12" t="s">
        <v>133</v>
      </c>
      <c r="E25" s="18" t="str">
        <f t="shared" si="3"/>
        <v>Monday</v>
      </c>
      <c r="F25" s="82" t="s">
        <v>213</v>
      </c>
      <c r="G25" s="13"/>
      <c r="H25" s="13"/>
      <c r="I25" s="11"/>
      <c r="L25" s="1" t="s">
        <v>212</v>
      </c>
    </row>
    <row r="26" spans="1:12">
      <c r="A26" s="56">
        <v>41380</v>
      </c>
      <c r="B26" s="12" t="s">
        <v>191</v>
      </c>
      <c r="C26" s="12" t="s">
        <v>189</v>
      </c>
      <c r="D26" s="12" t="s">
        <v>134</v>
      </c>
      <c r="E26" s="18" t="str">
        <f t="shared" si="3"/>
        <v>Tuesday</v>
      </c>
      <c r="F26" s="82"/>
      <c r="G26" s="13"/>
      <c r="H26" s="13"/>
      <c r="I26" s="11"/>
      <c r="L26" s="1" t="s">
        <v>211</v>
      </c>
    </row>
    <row r="27" spans="1:12" ht="25.5">
      <c r="A27" s="56">
        <v>41381</v>
      </c>
      <c r="B27" s="12" t="s">
        <v>192</v>
      </c>
      <c r="C27" s="12" t="s">
        <v>190</v>
      </c>
      <c r="D27" s="12" t="s">
        <v>148</v>
      </c>
      <c r="E27" s="18" t="str">
        <f t="shared" si="3"/>
        <v>Wednesday</v>
      </c>
      <c r="F27" s="82" t="s">
        <v>207</v>
      </c>
      <c r="G27" s="13" t="s">
        <v>199</v>
      </c>
      <c r="H27" s="13"/>
      <c r="I27" s="11">
        <v>70</v>
      </c>
    </row>
    <row r="28" spans="1:12">
      <c r="A28" s="56">
        <v>41382</v>
      </c>
      <c r="B28" s="12" t="s">
        <v>193</v>
      </c>
      <c r="C28" s="12" t="s">
        <v>191</v>
      </c>
      <c r="D28" s="12" t="s">
        <v>151</v>
      </c>
      <c r="E28" s="18" t="str">
        <f t="shared" si="3"/>
        <v>Thursday</v>
      </c>
      <c r="F28" s="82"/>
      <c r="G28" s="13"/>
      <c r="H28" s="13"/>
      <c r="I28" s="11"/>
    </row>
    <row r="29" spans="1:12">
      <c r="A29" s="56">
        <v>41383</v>
      </c>
      <c r="B29" s="12" t="s">
        <v>194</v>
      </c>
      <c r="C29" s="12" t="s">
        <v>192</v>
      </c>
      <c r="D29" s="12" t="s">
        <v>152</v>
      </c>
      <c r="E29" s="18" t="str">
        <f t="shared" si="3"/>
        <v>Friday</v>
      </c>
      <c r="F29" s="82"/>
      <c r="G29" s="13"/>
      <c r="H29" s="13"/>
      <c r="I29" s="11"/>
    </row>
    <row r="30" spans="1:12">
      <c r="A30" s="56">
        <v>41384</v>
      </c>
      <c r="B30" s="12" t="s">
        <v>195</v>
      </c>
      <c r="C30" s="12" t="s">
        <v>193</v>
      </c>
      <c r="D30" s="12" t="s">
        <v>153</v>
      </c>
      <c r="E30" s="18" t="str">
        <f t="shared" si="3"/>
        <v>Saturday</v>
      </c>
      <c r="F30" s="82" t="s">
        <v>177</v>
      </c>
      <c r="G30" s="13" t="s">
        <v>199</v>
      </c>
      <c r="H30" s="13"/>
      <c r="I30" s="11">
        <v>70</v>
      </c>
    </row>
    <row r="31" spans="1:12">
      <c r="A31" s="56">
        <v>41385</v>
      </c>
      <c r="B31" s="12" t="s">
        <v>196</v>
      </c>
      <c r="C31" s="12" t="s">
        <v>194</v>
      </c>
      <c r="D31" s="12" t="s">
        <v>154</v>
      </c>
      <c r="E31" s="18" t="str">
        <f t="shared" si="3"/>
        <v>Sunday</v>
      </c>
      <c r="F31" s="82"/>
      <c r="G31" s="13"/>
      <c r="H31" s="13"/>
      <c r="I31" s="11"/>
    </row>
    <row r="32" spans="1:12">
      <c r="A32" s="57">
        <v>41386</v>
      </c>
      <c r="B32" s="39" t="s">
        <v>197</v>
      </c>
      <c r="C32" s="39" t="s">
        <v>195</v>
      </c>
      <c r="D32" s="39" t="s">
        <v>155</v>
      </c>
      <c r="E32" s="40" t="str">
        <f t="shared" si="3"/>
        <v>Monday</v>
      </c>
      <c r="F32" s="85" t="s">
        <v>244</v>
      </c>
      <c r="G32" s="13"/>
      <c r="H32" s="13"/>
      <c r="I32" s="11"/>
    </row>
    <row r="33" spans="1:9">
      <c r="A33" s="56">
        <v>41387</v>
      </c>
      <c r="B33" s="12" t="s">
        <v>217</v>
      </c>
      <c r="C33" s="12" t="s">
        <v>196</v>
      </c>
      <c r="D33" s="12" t="s">
        <v>156</v>
      </c>
      <c r="E33" s="18" t="str">
        <f t="shared" ref="E33:E41" si="4">VLOOKUP(WEEKDAY(A33,1),$P$4:$Q$10,2,0)</f>
        <v>Tuesday</v>
      </c>
      <c r="F33" s="86"/>
      <c r="G33" s="11"/>
      <c r="H33" s="13"/>
      <c r="I33" s="11"/>
    </row>
    <row r="34" spans="1:9">
      <c r="A34" s="56">
        <v>41388</v>
      </c>
      <c r="B34" s="12" t="s">
        <v>218</v>
      </c>
      <c r="C34" s="12" t="s">
        <v>197</v>
      </c>
      <c r="D34" s="12" t="s">
        <v>157</v>
      </c>
      <c r="E34" s="18" t="str">
        <f t="shared" si="4"/>
        <v>Wednesday</v>
      </c>
      <c r="F34" s="82" t="s">
        <v>245</v>
      </c>
      <c r="G34" s="11"/>
      <c r="H34" s="13"/>
      <c r="I34" s="11"/>
    </row>
    <row r="35" spans="1:9">
      <c r="A35" s="56">
        <v>41389</v>
      </c>
      <c r="B35" s="12" t="s">
        <v>219</v>
      </c>
      <c r="C35" s="12" t="s">
        <v>217</v>
      </c>
      <c r="D35" s="12" t="s">
        <v>158</v>
      </c>
      <c r="E35" s="18" t="str">
        <f t="shared" si="4"/>
        <v>Thursday</v>
      </c>
      <c r="F35" s="86"/>
      <c r="G35" s="11"/>
      <c r="H35" s="13"/>
      <c r="I35" s="11"/>
    </row>
    <row r="36" spans="1:9">
      <c r="A36" s="56">
        <v>41390</v>
      </c>
      <c r="B36" s="12" t="s">
        <v>220</v>
      </c>
      <c r="C36" s="12" t="s">
        <v>218</v>
      </c>
      <c r="D36" s="12" t="s">
        <v>188</v>
      </c>
      <c r="E36" s="18" t="str">
        <f t="shared" si="4"/>
        <v>Friday</v>
      </c>
      <c r="F36" s="86"/>
      <c r="G36" s="11"/>
      <c r="H36" s="13"/>
      <c r="I36" s="11"/>
    </row>
    <row r="37" spans="1:9">
      <c r="A37" s="56">
        <v>41391</v>
      </c>
      <c r="B37" s="12" t="s">
        <v>221</v>
      </c>
      <c r="C37" s="12" t="s">
        <v>219</v>
      </c>
      <c r="D37" s="12" t="s">
        <v>189</v>
      </c>
      <c r="E37" s="18" t="str">
        <f t="shared" si="4"/>
        <v>Saturday</v>
      </c>
      <c r="F37" s="82" t="s">
        <v>246</v>
      </c>
      <c r="G37" s="11"/>
      <c r="H37" s="13"/>
      <c r="I37" s="11"/>
    </row>
    <row r="38" spans="1:9">
      <c r="A38" s="56">
        <v>41392</v>
      </c>
      <c r="B38" s="12" t="s">
        <v>222</v>
      </c>
      <c r="C38" s="12" t="s">
        <v>220</v>
      </c>
      <c r="D38" s="12" t="s">
        <v>190</v>
      </c>
      <c r="E38" s="18" t="str">
        <f t="shared" si="4"/>
        <v>Sunday</v>
      </c>
      <c r="F38" s="86"/>
      <c r="G38" s="11"/>
      <c r="H38" s="13"/>
      <c r="I38" s="11"/>
    </row>
    <row r="39" spans="1:9">
      <c r="A39" s="56">
        <v>41393</v>
      </c>
      <c r="B39" s="12" t="s">
        <v>223</v>
      </c>
      <c r="C39" s="12" t="s">
        <v>221</v>
      </c>
      <c r="D39" s="12" t="s">
        <v>191</v>
      </c>
      <c r="E39" s="18" t="str">
        <f t="shared" si="4"/>
        <v>Monday</v>
      </c>
      <c r="F39" s="86"/>
      <c r="G39" s="11"/>
      <c r="H39" s="13"/>
      <c r="I39" s="11"/>
    </row>
    <row r="40" spans="1:9">
      <c r="A40" s="56">
        <v>41394</v>
      </c>
      <c r="B40" s="12" t="s">
        <v>224</v>
      </c>
      <c r="C40" s="12" t="s">
        <v>222</v>
      </c>
      <c r="D40" s="12" t="s">
        <v>192</v>
      </c>
      <c r="E40" s="18" t="str">
        <f t="shared" si="4"/>
        <v>Tuesday</v>
      </c>
      <c r="F40" s="86"/>
      <c r="G40" s="11"/>
      <c r="H40" s="13"/>
      <c r="I40" s="11"/>
    </row>
    <row r="41" spans="1:9">
      <c r="A41" s="56">
        <v>41395</v>
      </c>
      <c r="B41" s="12" t="s">
        <v>225</v>
      </c>
      <c r="C41" s="12" t="s">
        <v>223</v>
      </c>
      <c r="D41" s="12" t="s">
        <v>193</v>
      </c>
      <c r="E41" s="18" t="str">
        <f t="shared" si="4"/>
        <v>Wednesday</v>
      </c>
      <c r="F41" s="82" t="s">
        <v>247</v>
      </c>
      <c r="G41" s="13"/>
      <c r="H41" s="13"/>
      <c r="I41" s="11"/>
    </row>
    <row r="42" spans="1:9">
      <c r="A42" s="56">
        <v>41396</v>
      </c>
      <c r="B42" s="12" t="s">
        <v>226</v>
      </c>
      <c r="C42" s="12" t="s">
        <v>224</v>
      </c>
      <c r="D42" s="12" t="s">
        <v>194</v>
      </c>
      <c r="E42" s="18" t="str">
        <f t="shared" ref="E42:E51" si="5">VLOOKUP(WEEKDAY(A42,1),$P$4:$Q$10,2,0)</f>
        <v>Thursday</v>
      </c>
      <c r="F42" s="82"/>
      <c r="G42" s="13"/>
      <c r="H42" s="13"/>
      <c r="I42" s="11"/>
    </row>
    <row r="43" spans="1:9">
      <c r="A43" s="56">
        <v>41397</v>
      </c>
      <c r="B43" s="12" t="s">
        <v>227</v>
      </c>
      <c r="C43" s="12" t="s">
        <v>225</v>
      </c>
      <c r="D43" s="12" t="s">
        <v>195</v>
      </c>
      <c r="E43" s="18" t="str">
        <f t="shared" si="5"/>
        <v>Friday</v>
      </c>
      <c r="F43" s="82"/>
      <c r="G43" s="13"/>
      <c r="H43" s="13"/>
      <c r="I43" s="11"/>
    </row>
    <row r="44" spans="1:9">
      <c r="A44" s="56">
        <v>41398</v>
      </c>
      <c r="B44" s="12" t="s">
        <v>228</v>
      </c>
      <c r="C44" s="12" t="s">
        <v>226</v>
      </c>
      <c r="D44" s="12" t="s">
        <v>196</v>
      </c>
      <c r="E44" s="18" t="str">
        <f t="shared" si="5"/>
        <v>Saturday</v>
      </c>
      <c r="F44" s="82"/>
      <c r="G44" s="13"/>
      <c r="H44" s="13"/>
      <c r="I44" s="11"/>
    </row>
    <row r="45" spans="1:9">
      <c r="A45" s="56">
        <v>41399</v>
      </c>
      <c r="B45" s="12" t="s">
        <v>229</v>
      </c>
      <c r="C45" s="12" t="s">
        <v>227</v>
      </c>
      <c r="D45" s="12" t="s">
        <v>197</v>
      </c>
      <c r="E45" s="18" t="str">
        <f t="shared" si="5"/>
        <v>Sunday</v>
      </c>
      <c r="F45" s="82"/>
      <c r="G45" s="13"/>
      <c r="H45" s="13"/>
      <c r="I45" s="11"/>
    </row>
    <row r="46" spans="1:9">
      <c r="A46" s="56">
        <v>41400</v>
      </c>
      <c r="B46" s="12" t="s">
        <v>230</v>
      </c>
      <c r="C46" s="12" t="s">
        <v>228</v>
      </c>
      <c r="D46" s="12" t="s">
        <v>217</v>
      </c>
      <c r="E46" s="18" t="str">
        <f t="shared" si="5"/>
        <v>Monday</v>
      </c>
      <c r="F46" s="82"/>
      <c r="G46" s="13"/>
      <c r="H46" s="13"/>
      <c r="I46" s="11"/>
    </row>
    <row r="47" spans="1:9">
      <c r="A47" s="56">
        <v>41401</v>
      </c>
      <c r="B47" s="12" t="s">
        <v>231</v>
      </c>
      <c r="C47" s="12" t="s">
        <v>229</v>
      </c>
      <c r="D47" s="12" t="s">
        <v>218</v>
      </c>
      <c r="E47" s="18" t="str">
        <f t="shared" si="5"/>
        <v>Tuesday</v>
      </c>
      <c r="F47" s="82" t="s">
        <v>248</v>
      </c>
      <c r="G47" s="13"/>
      <c r="H47" s="13"/>
      <c r="I47" s="11"/>
    </row>
    <row r="48" spans="1:9">
      <c r="A48" s="56">
        <v>41402</v>
      </c>
      <c r="B48" s="12" t="s">
        <v>232</v>
      </c>
      <c r="C48" s="12" t="s">
        <v>230</v>
      </c>
      <c r="D48" s="12" t="s">
        <v>219</v>
      </c>
      <c r="E48" s="18" t="str">
        <f t="shared" si="5"/>
        <v>Wednesday</v>
      </c>
      <c r="F48" s="82"/>
      <c r="G48" s="13"/>
      <c r="H48" s="13"/>
      <c r="I48" s="11"/>
    </row>
    <row r="49" spans="1:9">
      <c r="A49" s="56">
        <v>41403</v>
      </c>
      <c r="B49" s="12" t="s">
        <v>233</v>
      </c>
      <c r="C49" s="12" t="s">
        <v>231</v>
      </c>
      <c r="D49" s="12" t="s">
        <v>220</v>
      </c>
      <c r="E49" s="18" t="str">
        <f t="shared" si="5"/>
        <v>Thursday</v>
      </c>
      <c r="F49" s="82"/>
      <c r="G49" s="13"/>
      <c r="H49" s="13"/>
      <c r="I49" s="11"/>
    </row>
    <row r="50" spans="1:9">
      <c r="A50" s="56">
        <v>41404</v>
      </c>
      <c r="B50" s="12" t="s">
        <v>234</v>
      </c>
      <c r="C50" s="12" t="s">
        <v>232</v>
      </c>
      <c r="D50" s="12" t="s">
        <v>221</v>
      </c>
      <c r="E50" s="18" t="str">
        <f t="shared" si="5"/>
        <v>Friday</v>
      </c>
      <c r="F50" s="82"/>
      <c r="G50" s="13"/>
      <c r="H50" s="13"/>
      <c r="I50" s="11"/>
    </row>
    <row r="51" spans="1:9">
      <c r="A51" s="58">
        <v>41405</v>
      </c>
      <c r="B51" s="42" t="s">
        <v>235</v>
      </c>
      <c r="C51" s="42" t="s">
        <v>233</v>
      </c>
      <c r="D51" s="42" t="s">
        <v>222</v>
      </c>
      <c r="E51" s="43" t="str">
        <f t="shared" si="5"/>
        <v>Saturday</v>
      </c>
      <c r="F51" s="87" t="s">
        <v>249</v>
      </c>
      <c r="G51" s="13"/>
      <c r="H51" s="13"/>
      <c r="I51" s="11"/>
    </row>
    <row r="52" spans="1:9">
      <c r="A52" s="56">
        <v>41406</v>
      </c>
      <c r="B52" s="12" t="s">
        <v>237</v>
      </c>
      <c r="C52" s="12" t="s">
        <v>234</v>
      </c>
      <c r="D52" s="12" t="s">
        <v>223</v>
      </c>
      <c r="E52" s="18" t="str">
        <f t="shared" ref="E52:E58" si="6">VLOOKUP(WEEKDAY(A52,1),$P$4:$Q$10,2,0)</f>
        <v>Sunday</v>
      </c>
      <c r="F52" s="82"/>
      <c r="G52" s="13"/>
      <c r="H52" s="13"/>
      <c r="I52" s="11"/>
    </row>
    <row r="53" spans="1:9">
      <c r="A53" s="56">
        <v>41407</v>
      </c>
      <c r="B53" s="12" t="s">
        <v>238</v>
      </c>
      <c r="C53" s="12" t="s">
        <v>235</v>
      </c>
      <c r="D53" s="12" t="s">
        <v>224</v>
      </c>
      <c r="E53" s="18" t="str">
        <f t="shared" si="6"/>
        <v>Monday</v>
      </c>
      <c r="F53" s="82" t="s">
        <v>250</v>
      </c>
      <c r="G53" s="13"/>
      <c r="H53" s="13"/>
      <c r="I53" s="11"/>
    </row>
    <row r="54" spans="1:9">
      <c r="A54" s="56">
        <v>41408</v>
      </c>
      <c r="B54" s="12" t="s">
        <v>239</v>
      </c>
      <c r="C54" s="12" t="s">
        <v>237</v>
      </c>
      <c r="D54" s="12" t="s">
        <v>225</v>
      </c>
      <c r="E54" s="18" t="str">
        <f t="shared" si="6"/>
        <v>Tuesday</v>
      </c>
      <c r="F54" s="82"/>
      <c r="G54" s="13"/>
      <c r="H54" s="13"/>
      <c r="I54" s="11"/>
    </row>
    <row r="55" spans="1:9">
      <c r="A55" s="56">
        <v>41409</v>
      </c>
      <c r="B55" s="12" t="s">
        <v>240</v>
      </c>
      <c r="C55" s="12" t="s">
        <v>238</v>
      </c>
      <c r="D55" s="12" t="s">
        <v>226</v>
      </c>
      <c r="E55" s="18" t="str">
        <f t="shared" si="6"/>
        <v>Wednesday</v>
      </c>
      <c r="F55" s="82" t="s">
        <v>251</v>
      </c>
      <c r="G55" s="13"/>
      <c r="H55" s="13"/>
      <c r="I55" s="11"/>
    </row>
    <row r="56" spans="1:9">
      <c r="A56" s="56">
        <v>41410</v>
      </c>
      <c r="B56" s="12" t="s">
        <v>241</v>
      </c>
      <c r="C56" s="12" t="s">
        <v>239</v>
      </c>
      <c r="D56" s="12" t="s">
        <v>227</v>
      </c>
      <c r="E56" s="18" t="str">
        <f t="shared" si="6"/>
        <v>Thursday</v>
      </c>
      <c r="F56" s="82" t="s">
        <v>252</v>
      </c>
      <c r="G56" s="13"/>
      <c r="H56" s="13"/>
      <c r="I56" s="11"/>
    </row>
    <row r="57" spans="1:9" ht="25.5">
      <c r="A57" s="59">
        <v>41411</v>
      </c>
      <c r="B57" s="24" t="s">
        <v>242</v>
      </c>
      <c r="C57" s="24" t="s">
        <v>240</v>
      </c>
      <c r="D57" s="24" t="s">
        <v>228</v>
      </c>
      <c r="E57" s="25" t="str">
        <f t="shared" si="6"/>
        <v>Friday</v>
      </c>
      <c r="F57" s="88" t="s">
        <v>256</v>
      </c>
      <c r="G57" s="13">
        <f>A57-A18</f>
        <v>39</v>
      </c>
      <c r="H57" s="13"/>
      <c r="I57" s="11"/>
    </row>
    <row r="58" spans="1:9">
      <c r="A58" s="56">
        <v>41412</v>
      </c>
      <c r="B58" s="12" t="s">
        <v>243</v>
      </c>
      <c r="C58" s="12" t="s">
        <v>241</v>
      </c>
      <c r="D58" s="12"/>
      <c r="E58" s="18" t="str">
        <f t="shared" si="6"/>
        <v>Saturday</v>
      </c>
      <c r="F58" s="82" t="s">
        <v>257</v>
      </c>
      <c r="G58" s="13"/>
      <c r="H58" s="13"/>
      <c r="I58" s="11"/>
    </row>
    <row r="59" spans="1:9">
      <c r="A59" s="56">
        <v>41420</v>
      </c>
      <c r="B59" s="12"/>
      <c r="C59" s="12"/>
      <c r="D59" s="12"/>
      <c r="E59" s="18" t="str">
        <f t="shared" ref="E59:E60" si="7">VLOOKUP(WEEKDAY(A59,1),$P$4:$Q$10,2,0)</f>
        <v>Sunday</v>
      </c>
      <c r="F59" s="82" t="s">
        <v>253</v>
      </c>
      <c r="G59" s="13"/>
      <c r="H59" s="13"/>
      <c r="I59" s="11"/>
    </row>
    <row r="60" spans="1:9">
      <c r="A60" s="56">
        <v>41427</v>
      </c>
      <c r="B60" s="12"/>
      <c r="C60" s="12"/>
      <c r="D60" s="12"/>
      <c r="E60" s="18" t="str">
        <f t="shared" si="7"/>
        <v>Sunday</v>
      </c>
      <c r="F60" s="82" t="s">
        <v>255</v>
      </c>
      <c r="G60" s="13"/>
      <c r="H60" s="13"/>
      <c r="I60" s="11"/>
    </row>
    <row r="61" spans="1:9">
      <c r="A61" s="56">
        <v>41434</v>
      </c>
      <c r="B61" s="12"/>
      <c r="C61" s="12"/>
      <c r="D61" s="12"/>
      <c r="E61" s="18" t="str">
        <f t="shared" ref="E61:E66" si="8">VLOOKUP(WEEKDAY(A61,1),$P$4:$Q$10,2,0)</f>
        <v>Sunday</v>
      </c>
      <c r="F61" s="82" t="s">
        <v>254</v>
      </c>
      <c r="G61" s="13"/>
      <c r="H61" s="13"/>
      <c r="I61" s="11"/>
    </row>
    <row r="62" spans="1:9">
      <c r="A62" s="56">
        <v>41446</v>
      </c>
      <c r="B62" s="12"/>
      <c r="C62" s="12"/>
      <c r="D62" s="12"/>
      <c r="E62" s="18" t="str">
        <f t="shared" si="8"/>
        <v>Friday</v>
      </c>
      <c r="F62" s="82" t="s">
        <v>531</v>
      </c>
      <c r="G62" s="13"/>
      <c r="H62" s="13"/>
      <c r="I62" s="11"/>
    </row>
    <row r="63" spans="1:9">
      <c r="A63" s="56">
        <v>41447</v>
      </c>
      <c r="B63" s="12"/>
      <c r="C63" s="12"/>
      <c r="D63" s="12"/>
      <c r="E63" s="18" t="str">
        <f t="shared" si="8"/>
        <v>Saturday</v>
      </c>
      <c r="F63" s="82" t="s">
        <v>531</v>
      </c>
      <c r="G63" s="13"/>
      <c r="H63" s="13"/>
      <c r="I63" s="11"/>
    </row>
    <row r="64" spans="1:9">
      <c r="A64" s="56">
        <v>41448</v>
      </c>
      <c r="B64" s="12"/>
      <c r="C64" s="12"/>
      <c r="D64" s="12"/>
      <c r="E64" s="18" t="str">
        <f t="shared" si="8"/>
        <v>Sunday</v>
      </c>
      <c r="F64" s="82" t="s">
        <v>531</v>
      </c>
      <c r="G64" s="13"/>
      <c r="H64" s="13"/>
      <c r="I64" s="11"/>
    </row>
    <row r="65" spans="1:9">
      <c r="A65" s="56">
        <v>41462</v>
      </c>
      <c r="B65" s="12"/>
      <c r="C65" s="12"/>
      <c r="D65" s="12"/>
      <c r="E65" s="18" t="str">
        <f t="shared" si="8"/>
        <v>Sunday</v>
      </c>
      <c r="F65" s="82" t="s">
        <v>533</v>
      </c>
      <c r="G65" s="13"/>
      <c r="H65" s="13"/>
      <c r="I65" s="11"/>
    </row>
    <row r="66" spans="1:9">
      <c r="A66" s="56">
        <v>41471</v>
      </c>
      <c r="B66" s="12"/>
      <c r="C66" s="12"/>
      <c r="D66" s="12"/>
      <c r="E66" s="18" t="str">
        <f t="shared" si="8"/>
        <v>Tuesday</v>
      </c>
      <c r="F66" s="82" t="s">
        <v>532</v>
      </c>
      <c r="G66" s="13"/>
      <c r="H66" s="13"/>
      <c r="I66" s="11"/>
    </row>
    <row r="67" spans="1:9">
      <c r="A67" s="56">
        <v>41472</v>
      </c>
      <c r="B67" s="12"/>
      <c r="C67" s="12"/>
      <c r="D67" s="12"/>
      <c r="E67" s="18" t="str">
        <f t="shared" ref="E67:E72" si="9">VLOOKUP(WEEKDAY(A67,1),$P$4:$Q$10,2,0)</f>
        <v>Wednesday</v>
      </c>
      <c r="F67" s="82" t="s">
        <v>534</v>
      </c>
      <c r="G67" s="13"/>
      <c r="H67" s="13"/>
      <c r="I67" s="11"/>
    </row>
    <row r="68" spans="1:9">
      <c r="A68" s="56">
        <v>41473</v>
      </c>
      <c r="B68" s="12"/>
      <c r="C68" s="12"/>
      <c r="D68" s="12"/>
      <c r="E68" s="18" t="str">
        <f t="shared" si="9"/>
        <v>Thursday</v>
      </c>
      <c r="F68" s="82" t="s">
        <v>534</v>
      </c>
      <c r="G68" s="13"/>
      <c r="H68" s="13"/>
      <c r="I68" s="11"/>
    </row>
    <row r="69" spans="1:9">
      <c r="A69" s="56">
        <v>41474</v>
      </c>
      <c r="B69" s="12"/>
      <c r="C69" s="12"/>
      <c r="D69" s="12"/>
      <c r="E69" s="18" t="str">
        <f t="shared" si="9"/>
        <v>Friday</v>
      </c>
      <c r="F69" s="82" t="s">
        <v>534</v>
      </c>
      <c r="G69" s="13"/>
      <c r="H69" s="13"/>
      <c r="I69" s="11"/>
    </row>
    <row r="70" spans="1:9">
      <c r="A70" s="56">
        <v>41475</v>
      </c>
      <c r="B70" s="12"/>
      <c r="C70" s="12"/>
      <c r="D70" s="12"/>
      <c r="E70" s="18" t="str">
        <f t="shared" si="9"/>
        <v>Saturday</v>
      </c>
      <c r="F70" s="82" t="s">
        <v>534</v>
      </c>
      <c r="G70" s="13"/>
      <c r="H70" s="13"/>
      <c r="I70" s="11"/>
    </row>
    <row r="71" spans="1:9">
      <c r="A71" s="56">
        <v>41491</v>
      </c>
      <c r="B71" s="12"/>
      <c r="C71" s="12"/>
      <c r="D71" s="12"/>
      <c r="E71" s="18" t="str">
        <f t="shared" si="9"/>
        <v>Monday</v>
      </c>
      <c r="F71" s="82" t="s">
        <v>535</v>
      </c>
      <c r="G71" s="13"/>
      <c r="H71" s="13"/>
      <c r="I71" s="11"/>
    </row>
    <row r="72" spans="1:9">
      <c r="A72" s="56">
        <v>41496</v>
      </c>
      <c r="B72" s="12"/>
      <c r="C72" s="12"/>
      <c r="D72" s="12"/>
      <c r="E72" s="18" t="str">
        <f t="shared" si="9"/>
        <v>Saturday</v>
      </c>
      <c r="F72" s="82" t="s">
        <v>536</v>
      </c>
      <c r="G72" s="13"/>
      <c r="H72" s="13"/>
      <c r="I72" s="11"/>
    </row>
    <row r="73" spans="1:9">
      <c r="A73" s="56">
        <v>41497</v>
      </c>
      <c r="B73" s="12"/>
      <c r="C73" s="12"/>
      <c r="D73" s="12"/>
      <c r="E73" s="18" t="str">
        <f t="shared" ref="E73:E98" si="10">VLOOKUP(WEEKDAY(A73,1),$P$4:$Q$10,2,0)</f>
        <v>Sunday</v>
      </c>
      <c r="F73" s="82" t="s">
        <v>536</v>
      </c>
      <c r="G73" s="13"/>
      <c r="H73" s="13"/>
      <c r="I73" s="11"/>
    </row>
    <row r="74" spans="1:9">
      <c r="A74" s="56">
        <v>41498</v>
      </c>
      <c r="B74" s="12"/>
      <c r="C74" s="12"/>
      <c r="D74" s="12"/>
      <c r="E74" s="18" t="str">
        <f t="shared" si="10"/>
        <v>Monday</v>
      </c>
      <c r="F74" s="82" t="s">
        <v>536</v>
      </c>
      <c r="G74" s="13"/>
      <c r="H74" s="13"/>
      <c r="I74" s="11"/>
    </row>
    <row r="75" spans="1:9">
      <c r="A75" s="56">
        <v>41499</v>
      </c>
      <c r="B75" s="12"/>
      <c r="C75" s="12"/>
      <c r="D75" s="12"/>
      <c r="E75" s="18" t="str">
        <f t="shared" si="10"/>
        <v>Tuesday</v>
      </c>
      <c r="F75" s="82" t="s">
        <v>536</v>
      </c>
      <c r="G75" s="13"/>
      <c r="H75" s="13"/>
      <c r="I75" s="11"/>
    </row>
    <row r="76" spans="1:9">
      <c r="A76" s="56">
        <v>41502</v>
      </c>
      <c r="B76" s="12"/>
      <c r="C76" s="12"/>
      <c r="D76" s="12"/>
      <c r="E76" s="18" t="str">
        <f t="shared" si="10"/>
        <v>Friday</v>
      </c>
      <c r="F76" s="82" t="s">
        <v>537</v>
      </c>
      <c r="G76" s="13"/>
      <c r="H76" s="13"/>
      <c r="I76" s="11"/>
    </row>
    <row r="77" spans="1:9">
      <c r="A77" s="56">
        <v>41503</v>
      </c>
      <c r="B77" s="12"/>
      <c r="C77" s="12"/>
      <c r="D77" s="12"/>
      <c r="E77" s="18" t="str">
        <f t="shared" si="10"/>
        <v>Saturday</v>
      </c>
      <c r="F77" s="82" t="s">
        <v>534</v>
      </c>
      <c r="G77" s="13"/>
      <c r="H77" s="13"/>
      <c r="I77" s="11"/>
    </row>
    <row r="78" spans="1:9">
      <c r="A78" s="56">
        <v>41504</v>
      </c>
      <c r="B78" s="12"/>
      <c r="C78" s="12"/>
      <c r="D78" s="12"/>
      <c r="E78" s="18" t="str">
        <f t="shared" si="10"/>
        <v>Sunday</v>
      </c>
      <c r="F78" s="82" t="s">
        <v>534</v>
      </c>
      <c r="G78" s="13"/>
      <c r="H78" s="13"/>
      <c r="I78" s="11"/>
    </row>
    <row r="79" spans="1:9">
      <c r="A79" s="56">
        <v>41505</v>
      </c>
      <c r="B79" s="12"/>
      <c r="C79" s="12"/>
      <c r="D79" s="12"/>
      <c r="E79" s="18" t="str">
        <f t="shared" si="10"/>
        <v>Monday</v>
      </c>
      <c r="F79" s="82" t="s">
        <v>534</v>
      </c>
      <c r="G79" s="13"/>
      <c r="H79" s="13"/>
      <c r="I79" s="11"/>
    </row>
    <row r="80" spans="1:9">
      <c r="A80" s="56">
        <v>41506</v>
      </c>
      <c r="B80" s="12"/>
      <c r="C80" s="12"/>
      <c r="D80" s="12"/>
      <c r="E80" s="18" t="str">
        <f t="shared" si="10"/>
        <v>Tuesday</v>
      </c>
      <c r="F80" s="82" t="s">
        <v>534</v>
      </c>
      <c r="G80" s="13"/>
      <c r="H80" s="13"/>
      <c r="I80" s="11"/>
    </row>
    <row r="81" spans="1:10">
      <c r="A81" s="56">
        <v>41520</v>
      </c>
      <c r="B81" s="12"/>
      <c r="C81" s="12"/>
      <c r="D81" s="12"/>
      <c r="E81" s="18" t="str">
        <f t="shared" si="10"/>
        <v>Tuesday</v>
      </c>
      <c r="F81" s="82" t="s">
        <v>538</v>
      </c>
      <c r="G81" s="13"/>
      <c r="H81" s="13"/>
      <c r="I81" s="11"/>
    </row>
    <row r="82" spans="1:10">
      <c r="A82" s="56">
        <v>41521</v>
      </c>
      <c r="B82" s="12"/>
      <c r="C82" s="12"/>
      <c r="D82" s="12"/>
      <c r="E82" s="18" t="str">
        <f t="shared" si="10"/>
        <v>Wednesday</v>
      </c>
      <c r="F82" s="82" t="s">
        <v>539</v>
      </c>
      <c r="G82" s="13"/>
      <c r="H82" s="13"/>
      <c r="I82" s="11"/>
    </row>
    <row r="83" spans="1:10">
      <c r="A83" s="56">
        <v>41522</v>
      </c>
      <c r="B83" s="12"/>
      <c r="C83" s="12"/>
      <c r="D83" s="12"/>
      <c r="E83" s="18" t="str">
        <f t="shared" si="10"/>
        <v>Thursday</v>
      </c>
      <c r="F83" s="82" t="s">
        <v>743</v>
      </c>
      <c r="G83" s="13"/>
      <c r="H83" s="13"/>
      <c r="I83" s="11"/>
    </row>
    <row r="84" spans="1:10">
      <c r="A84" s="56">
        <v>41524</v>
      </c>
      <c r="B84" s="12"/>
      <c r="C84" s="12"/>
      <c r="D84" s="12"/>
      <c r="E84" s="18" t="str">
        <f t="shared" si="10"/>
        <v>Saturday</v>
      </c>
      <c r="F84" s="82" t="s">
        <v>745</v>
      </c>
      <c r="G84" s="13"/>
      <c r="H84" s="13"/>
      <c r="I84" s="11"/>
    </row>
    <row r="85" spans="1:10">
      <c r="A85" s="56">
        <v>41527</v>
      </c>
      <c r="B85" s="12"/>
      <c r="C85" s="12"/>
      <c r="D85" s="12"/>
      <c r="E85" s="18" t="str">
        <f t="shared" si="10"/>
        <v>Tuesday</v>
      </c>
      <c r="F85" s="82" t="s">
        <v>746</v>
      </c>
      <c r="G85" s="13"/>
      <c r="H85" s="13"/>
      <c r="I85" s="11"/>
    </row>
    <row r="86" spans="1:10">
      <c r="A86" s="56">
        <v>41528</v>
      </c>
      <c r="B86" s="12"/>
      <c r="C86" s="12"/>
      <c r="D86" s="12"/>
      <c r="E86" s="18" t="str">
        <f t="shared" si="10"/>
        <v>Wednesday</v>
      </c>
      <c r="F86" s="82" t="s">
        <v>747</v>
      </c>
      <c r="G86" s="13"/>
      <c r="H86" s="13"/>
      <c r="I86" s="11">
        <v>30</v>
      </c>
    </row>
    <row r="87" spans="1:10" ht="25.5">
      <c r="A87" s="56">
        <v>41530</v>
      </c>
      <c r="B87" s="12" t="s">
        <v>124</v>
      </c>
      <c r="C87" s="12"/>
      <c r="D87" s="12"/>
      <c r="E87" s="18" t="str">
        <f t="shared" si="10"/>
        <v>Friday</v>
      </c>
      <c r="F87" s="82" t="s">
        <v>749</v>
      </c>
      <c r="G87" s="13"/>
      <c r="H87" s="13"/>
      <c r="I87" s="11"/>
    </row>
    <row r="88" spans="1:10" ht="38.25">
      <c r="A88" s="56">
        <v>41531</v>
      </c>
      <c r="B88" s="12" t="s">
        <v>125</v>
      </c>
      <c r="C88" s="12"/>
      <c r="D88" s="12"/>
      <c r="E88" s="18" t="str">
        <f t="shared" si="10"/>
        <v>Saturday</v>
      </c>
      <c r="F88" s="82" t="s">
        <v>748</v>
      </c>
      <c r="G88" s="13"/>
      <c r="H88" s="13"/>
      <c r="I88" s="11">
        <f>50+40</f>
        <v>90</v>
      </c>
    </row>
    <row r="89" spans="1:10" ht="25.5">
      <c r="A89" s="56">
        <v>41532</v>
      </c>
      <c r="B89" s="12" t="s">
        <v>126</v>
      </c>
      <c r="C89" s="12" t="s">
        <v>124</v>
      </c>
      <c r="D89" s="12"/>
      <c r="E89" s="18" t="str">
        <f t="shared" si="10"/>
        <v>Sunday</v>
      </c>
      <c r="F89" s="82" t="s">
        <v>755</v>
      </c>
      <c r="G89" s="13" t="s">
        <v>751</v>
      </c>
      <c r="H89" s="13" t="s">
        <v>86</v>
      </c>
      <c r="I89" s="11">
        <v>62</v>
      </c>
      <c r="J89" s="1" t="s">
        <v>828</v>
      </c>
    </row>
    <row r="90" spans="1:10">
      <c r="A90" s="56">
        <v>41533</v>
      </c>
      <c r="B90" s="12" t="s">
        <v>127</v>
      </c>
      <c r="C90" s="12" t="s">
        <v>125</v>
      </c>
      <c r="D90" s="12"/>
      <c r="E90" s="18" t="str">
        <f t="shared" si="10"/>
        <v>Monday</v>
      </c>
      <c r="F90" s="82" t="s">
        <v>756</v>
      </c>
      <c r="G90" s="13" t="s">
        <v>751</v>
      </c>
      <c r="H90" s="13" t="s">
        <v>86</v>
      </c>
      <c r="I90" s="11">
        <v>60</v>
      </c>
      <c r="J90" s="1" t="s">
        <v>754</v>
      </c>
    </row>
    <row r="91" spans="1:10">
      <c r="A91" s="56">
        <v>41534</v>
      </c>
      <c r="B91" s="12" t="s">
        <v>128</v>
      </c>
      <c r="C91" s="12" t="s">
        <v>126</v>
      </c>
      <c r="D91" s="12"/>
      <c r="E91" s="18" t="str">
        <f t="shared" si="10"/>
        <v>Tuesday</v>
      </c>
      <c r="F91" s="82" t="s">
        <v>757</v>
      </c>
      <c r="G91" s="13" t="s">
        <v>751</v>
      </c>
      <c r="H91" s="13" t="s">
        <v>86</v>
      </c>
      <c r="I91" s="11">
        <v>60</v>
      </c>
      <c r="J91" s="1" t="s">
        <v>754</v>
      </c>
    </row>
    <row r="92" spans="1:10" ht="25.5">
      <c r="A92" s="56">
        <v>41535</v>
      </c>
      <c r="B92" s="12" t="s">
        <v>129</v>
      </c>
      <c r="C92" s="12" t="s">
        <v>127</v>
      </c>
      <c r="D92" s="12"/>
      <c r="E92" s="18" t="str">
        <f t="shared" si="10"/>
        <v>Wednesday</v>
      </c>
      <c r="F92" s="82" t="s">
        <v>799</v>
      </c>
      <c r="G92" s="13" t="s">
        <v>751</v>
      </c>
      <c r="H92" s="13" t="s">
        <v>86</v>
      </c>
      <c r="I92" s="11">
        <v>65</v>
      </c>
    </row>
    <row r="93" spans="1:10" ht="25.5">
      <c r="A93" s="56">
        <v>41536</v>
      </c>
      <c r="B93" s="12" t="s">
        <v>130</v>
      </c>
      <c r="C93" s="12" t="s">
        <v>128</v>
      </c>
      <c r="D93" s="12"/>
      <c r="E93" s="18" t="str">
        <f t="shared" si="10"/>
        <v>Thursday</v>
      </c>
      <c r="F93" s="82" t="s">
        <v>802</v>
      </c>
      <c r="G93" s="13" t="s">
        <v>800</v>
      </c>
      <c r="H93" s="13" t="s">
        <v>86</v>
      </c>
      <c r="I93" s="11">
        <v>70</v>
      </c>
    </row>
    <row r="94" spans="1:10" ht="51">
      <c r="A94" s="56">
        <v>41537</v>
      </c>
      <c r="B94" s="12" t="s">
        <v>131</v>
      </c>
      <c r="C94" s="12" t="s">
        <v>129</v>
      </c>
      <c r="D94" s="12"/>
      <c r="E94" s="18" t="str">
        <f t="shared" si="10"/>
        <v>Friday</v>
      </c>
      <c r="F94" s="82" t="s">
        <v>808</v>
      </c>
      <c r="G94" s="13" t="s">
        <v>805</v>
      </c>
      <c r="H94" s="13" t="s">
        <v>804</v>
      </c>
      <c r="I94" s="11">
        <v>70</v>
      </c>
    </row>
    <row r="95" spans="1:10" ht="25.5">
      <c r="A95" s="56">
        <v>41538</v>
      </c>
      <c r="B95" s="12" t="s">
        <v>132</v>
      </c>
      <c r="C95" s="12" t="s">
        <v>130</v>
      </c>
      <c r="D95" s="12"/>
      <c r="E95" s="18" t="str">
        <f t="shared" si="10"/>
        <v>Saturday</v>
      </c>
      <c r="F95" s="82" t="s">
        <v>809</v>
      </c>
      <c r="G95" s="13" t="s">
        <v>806</v>
      </c>
      <c r="H95" s="13" t="s">
        <v>807</v>
      </c>
      <c r="I95" s="11">
        <v>70</v>
      </c>
    </row>
    <row r="96" spans="1:10" ht="25.5">
      <c r="A96" s="56">
        <v>41539</v>
      </c>
      <c r="B96" s="12" t="s">
        <v>133</v>
      </c>
      <c r="C96" s="12" t="s">
        <v>131</v>
      </c>
      <c r="D96" s="12"/>
      <c r="E96" s="18" t="str">
        <f t="shared" si="10"/>
        <v>Sunday</v>
      </c>
      <c r="F96" s="82" t="s">
        <v>810</v>
      </c>
      <c r="G96" s="13" t="s">
        <v>806</v>
      </c>
      <c r="H96" s="13" t="s">
        <v>807</v>
      </c>
      <c r="I96" s="11">
        <v>54</v>
      </c>
    </row>
    <row r="97" spans="1:10" ht="76.5">
      <c r="A97" s="56">
        <v>41540</v>
      </c>
      <c r="B97" s="12" t="s">
        <v>134</v>
      </c>
      <c r="C97" s="12" t="s">
        <v>132</v>
      </c>
      <c r="D97" s="12"/>
      <c r="E97" s="18" t="str">
        <f t="shared" si="10"/>
        <v>Monday</v>
      </c>
      <c r="F97" s="82" t="s">
        <v>826</v>
      </c>
      <c r="G97" s="13" t="s">
        <v>827</v>
      </c>
      <c r="H97" s="13" t="s">
        <v>807</v>
      </c>
      <c r="I97" s="11">
        <v>40</v>
      </c>
      <c r="J97" s="1" t="s">
        <v>830</v>
      </c>
    </row>
    <row r="98" spans="1:10" ht="25.5">
      <c r="A98" s="56">
        <v>41541</v>
      </c>
      <c r="B98" s="12" t="s">
        <v>148</v>
      </c>
      <c r="C98" s="12" t="s">
        <v>133</v>
      </c>
      <c r="D98" s="12"/>
      <c r="E98" s="18" t="str">
        <f t="shared" si="10"/>
        <v>Tuesday</v>
      </c>
      <c r="F98" s="82" t="s">
        <v>829</v>
      </c>
      <c r="G98" s="13"/>
      <c r="H98" s="13"/>
      <c r="I98" s="11"/>
    </row>
    <row r="99" spans="1:10" ht="38.25">
      <c r="A99" s="56">
        <v>41542</v>
      </c>
      <c r="B99" s="12" t="s">
        <v>151</v>
      </c>
      <c r="C99" s="12" t="s">
        <v>134</v>
      </c>
      <c r="D99" s="12"/>
      <c r="E99" s="18" t="str">
        <f t="shared" ref="E99:E104" si="11">VLOOKUP(WEEKDAY(A99,1),$P$4:$Q$10,2,0)</f>
        <v>Wednesday</v>
      </c>
      <c r="F99" s="82" t="s">
        <v>840</v>
      </c>
      <c r="G99" s="13" t="s">
        <v>159</v>
      </c>
      <c r="H99" s="13" t="s">
        <v>160</v>
      </c>
      <c r="I99" s="11"/>
    </row>
    <row r="100" spans="1:10">
      <c r="A100" s="56">
        <v>41543</v>
      </c>
      <c r="B100" s="12" t="s">
        <v>152</v>
      </c>
      <c r="C100" s="12" t="s">
        <v>148</v>
      </c>
      <c r="D100" s="12" t="s">
        <v>124</v>
      </c>
      <c r="E100" s="18" t="str">
        <f t="shared" si="11"/>
        <v>Thursday</v>
      </c>
      <c r="F100" s="82" t="s">
        <v>838</v>
      </c>
      <c r="G100" s="13" t="s">
        <v>159</v>
      </c>
      <c r="H100" s="13" t="s">
        <v>160</v>
      </c>
      <c r="I100" s="11">
        <v>30</v>
      </c>
    </row>
    <row r="101" spans="1:10">
      <c r="A101" s="56">
        <v>41544</v>
      </c>
      <c r="B101" s="12" t="s">
        <v>153</v>
      </c>
      <c r="C101" s="12" t="s">
        <v>151</v>
      </c>
      <c r="D101" s="12" t="s">
        <v>125</v>
      </c>
      <c r="E101" s="18" t="str">
        <f t="shared" si="11"/>
        <v>Friday</v>
      </c>
      <c r="F101" s="82" t="s">
        <v>839</v>
      </c>
      <c r="G101" s="13" t="s">
        <v>159</v>
      </c>
      <c r="H101" s="13" t="s">
        <v>160</v>
      </c>
      <c r="I101" s="11">
        <v>50</v>
      </c>
    </row>
    <row r="102" spans="1:10">
      <c r="A102" s="56">
        <v>41545</v>
      </c>
      <c r="B102" s="12" t="s">
        <v>154</v>
      </c>
      <c r="C102" s="12" t="s">
        <v>152</v>
      </c>
      <c r="D102" s="12" t="s">
        <v>126</v>
      </c>
      <c r="E102" s="18" t="str">
        <f t="shared" si="11"/>
        <v>Saturday</v>
      </c>
      <c r="F102" s="82" t="s">
        <v>837</v>
      </c>
      <c r="G102" s="13" t="s">
        <v>159</v>
      </c>
      <c r="H102" s="13" t="s">
        <v>160</v>
      </c>
      <c r="I102" s="11">
        <v>50</v>
      </c>
    </row>
    <row r="103" spans="1:10">
      <c r="A103" s="56">
        <v>41546</v>
      </c>
      <c r="B103" s="12" t="s">
        <v>155</v>
      </c>
      <c r="C103" s="12" t="s">
        <v>153</v>
      </c>
      <c r="D103" s="12" t="s">
        <v>127</v>
      </c>
      <c r="E103" s="18" t="str">
        <f t="shared" si="11"/>
        <v>Sunday</v>
      </c>
      <c r="F103" s="82" t="s">
        <v>843</v>
      </c>
      <c r="G103" s="13" t="s">
        <v>159</v>
      </c>
      <c r="H103" s="13" t="s">
        <v>160</v>
      </c>
      <c r="I103" s="11">
        <v>30</v>
      </c>
    </row>
    <row r="104" spans="1:10" ht="51">
      <c r="A104" s="56">
        <v>41547</v>
      </c>
      <c r="B104" s="12" t="s">
        <v>156</v>
      </c>
      <c r="C104" s="12" t="s">
        <v>154</v>
      </c>
      <c r="D104" s="12" t="s">
        <v>128</v>
      </c>
      <c r="E104" s="18" t="str">
        <f t="shared" si="11"/>
        <v>Monday</v>
      </c>
      <c r="F104" s="82" t="s">
        <v>844</v>
      </c>
      <c r="G104" s="13" t="s">
        <v>159</v>
      </c>
      <c r="H104" s="13" t="s">
        <v>160</v>
      </c>
      <c r="I104" s="11"/>
    </row>
    <row r="105" spans="1:10">
      <c r="A105" s="56">
        <v>41548</v>
      </c>
      <c r="B105" s="12" t="s">
        <v>157</v>
      </c>
      <c r="C105" s="12" t="s">
        <v>155</v>
      </c>
      <c r="D105" s="12" t="s">
        <v>129</v>
      </c>
      <c r="E105" s="18" t="str">
        <f t="shared" ref="E105:E116" si="12">VLOOKUP(WEEKDAY(A105,1),$P$4:$Q$10,2,0)</f>
        <v>Tuesday</v>
      </c>
      <c r="F105" s="82"/>
      <c r="G105" s="13"/>
      <c r="H105" s="13"/>
      <c r="I105" s="11"/>
    </row>
    <row r="106" spans="1:10">
      <c r="A106" s="56">
        <v>41549</v>
      </c>
      <c r="B106" s="12" t="s">
        <v>158</v>
      </c>
      <c r="C106" s="12" t="s">
        <v>156</v>
      </c>
      <c r="D106" s="12" t="s">
        <v>130</v>
      </c>
      <c r="E106" s="18" t="str">
        <f t="shared" si="12"/>
        <v>Wednesday</v>
      </c>
      <c r="F106" s="82"/>
      <c r="G106" s="13"/>
      <c r="H106" s="13"/>
      <c r="I106" s="11"/>
    </row>
    <row r="107" spans="1:10">
      <c r="A107" s="56">
        <v>41550</v>
      </c>
      <c r="B107" s="12" t="s">
        <v>188</v>
      </c>
      <c r="C107" s="12" t="s">
        <v>157</v>
      </c>
      <c r="D107" s="12" t="s">
        <v>131</v>
      </c>
      <c r="E107" s="18" t="str">
        <f t="shared" si="12"/>
        <v>Thursday</v>
      </c>
      <c r="F107" s="82" t="s">
        <v>837</v>
      </c>
      <c r="G107" s="13" t="s">
        <v>159</v>
      </c>
      <c r="H107" s="13" t="s">
        <v>160</v>
      </c>
      <c r="I107" s="11">
        <v>50</v>
      </c>
    </row>
    <row r="108" spans="1:10">
      <c r="A108" s="56">
        <v>41551</v>
      </c>
      <c r="B108" s="12" t="s">
        <v>189</v>
      </c>
      <c r="C108" s="12" t="s">
        <v>158</v>
      </c>
      <c r="D108" s="12" t="s">
        <v>132</v>
      </c>
      <c r="E108" s="18" t="str">
        <f t="shared" si="12"/>
        <v>Friday</v>
      </c>
      <c r="F108" s="82"/>
      <c r="G108" s="13"/>
      <c r="H108" s="13"/>
      <c r="I108" s="11"/>
    </row>
    <row r="109" spans="1:10">
      <c r="A109" s="56">
        <v>41552</v>
      </c>
      <c r="B109" s="12" t="s">
        <v>190</v>
      </c>
      <c r="C109" s="12" t="s">
        <v>188</v>
      </c>
      <c r="D109" s="12" t="s">
        <v>133</v>
      </c>
      <c r="E109" s="18" t="str">
        <f t="shared" si="12"/>
        <v>Saturday</v>
      </c>
      <c r="F109" s="82"/>
      <c r="G109" s="13"/>
      <c r="H109" s="13"/>
      <c r="I109" s="11"/>
    </row>
    <row r="110" spans="1:10">
      <c r="A110" s="56">
        <v>41553</v>
      </c>
      <c r="B110" s="12" t="s">
        <v>191</v>
      </c>
      <c r="C110" s="12" t="s">
        <v>189</v>
      </c>
      <c r="D110" s="12" t="s">
        <v>134</v>
      </c>
      <c r="E110" s="18" t="str">
        <f t="shared" si="12"/>
        <v>Sunday</v>
      </c>
      <c r="F110" s="82" t="s">
        <v>858</v>
      </c>
      <c r="G110" s="13" t="s">
        <v>159</v>
      </c>
      <c r="H110" s="13" t="s">
        <v>160</v>
      </c>
      <c r="I110" s="11">
        <v>20</v>
      </c>
    </row>
    <row r="111" spans="1:10">
      <c r="A111" s="56">
        <v>41554</v>
      </c>
      <c r="B111" s="12" t="s">
        <v>192</v>
      </c>
      <c r="C111" s="12" t="s">
        <v>190</v>
      </c>
      <c r="D111" s="12" t="s">
        <v>148</v>
      </c>
      <c r="E111" s="18" t="str">
        <f t="shared" si="12"/>
        <v>Monday</v>
      </c>
      <c r="F111" s="82"/>
      <c r="G111" s="13"/>
      <c r="H111" s="13"/>
      <c r="I111" s="11"/>
    </row>
    <row r="112" spans="1:10">
      <c r="A112" s="56">
        <v>41555</v>
      </c>
      <c r="B112" s="12" t="s">
        <v>193</v>
      </c>
      <c r="C112" s="12" t="s">
        <v>191</v>
      </c>
      <c r="D112" s="12" t="s">
        <v>151</v>
      </c>
      <c r="E112" s="18" t="str">
        <f t="shared" si="12"/>
        <v>Tuesday</v>
      </c>
      <c r="F112" s="82"/>
      <c r="G112" s="13"/>
      <c r="H112" s="13"/>
      <c r="I112" s="11"/>
    </row>
    <row r="113" spans="1:13">
      <c r="A113" s="56">
        <v>41556</v>
      </c>
      <c r="B113" s="12" t="s">
        <v>194</v>
      </c>
      <c r="C113" s="12" t="s">
        <v>192</v>
      </c>
      <c r="D113" s="12" t="s">
        <v>152</v>
      </c>
      <c r="E113" s="18" t="str">
        <f t="shared" si="12"/>
        <v>Wednesday</v>
      </c>
      <c r="F113" s="82" t="s">
        <v>837</v>
      </c>
      <c r="G113" s="13" t="s">
        <v>159</v>
      </c>
      <c r="H113" s="13" t="s">
        <v>160</v>
      </c>
      <c r="I113" s="11">
        <v>50</v>
      </c>
    </row>
    <row r="114" spans="1:13">
      <c r="A114" s="56">
        <v>41557</v>
      </c>
      <c r="B114" s="12" t="s">
        <v>195</v>
      </c>
      <c r="C114" s="12" t="s">
        <v>193</v>
      </c>
      <c r="D114" s="12" t="s">
        <v>153</v>
      </c>
      <c r="E114" s="18" t="str">
        <f t="shared" si="12"/>
        <v>Thursday</v>
      </c>
      <c r="F114" s="82"/>
      <c r="G114" s="13"/>
      <c r="H114" s="13"/>
      <c r="I114" s="11"/>
    </row>
    <row r="115" spans="1:13">
      <c r="A115" s="56">
        <v>41558</v>
      </c>
      <c r="B115" s="12" t="s">
        <v>196</v>
      </c>
      <c r="C115" s="12" t="s">
        <v>194</v>
      </c>
      <c r="D115" s="12" t="s">
        <v>154</v>
      </c>
      <c r="E115" s="18" t="str">
        <f t="shared" si="12"/>
        <v>Friday</v>
      </c>
      <c r="F115" s="82"/>
      <c r="G115" s="13"/>
      <c r="H115" s="13"/>
      <c r="I115" s="11"/>
    </row>
    <row r="116" spans="1:13">
      <c r="A116" s="56">
        <v>41559</v>
      </c>
      <c r="B116" s="12" t="s">
        <v>197</v>
      </c>
      <c r="C116" s="12" t="s">
        <v>195</v>
      </c>
      <c r="D116" s="12" t="s">
        <v>155</v>
      </c>
      <c r="E116" s="18" t="str">
        <f t="shared" si="12"/>
        <v>Saturday</v>
      </c>
      <c r="F116" s="82" t="s">
        <v>839</v>
      </c>
      <c r="G116" s="13" t="s">
        <v>159</v>
      </c>
      <c r="H116" s="13" t="s">
        <v>160</v>
      </c>
      <c r="I116" s="11">
        <v>50</v>
      </c>
    </row>
    <row r="117" spans="1:13">
      <c r="A117" s="56">
        <v>41560</v>
      </c>
      <c r="B117" s="12" t="s">
        <v>217</v>
      </c>
      <c r="C117" s="12" t="s">
        <v>196</v>
      </c>
      <c r="D117" s="12" t="s">
        <v>156</v>
      </c>
      <c r="E117" s="18" t="str">
        <f t="shared" ref="E117:E118" si="13">VLOOKUP(WEEKDAY(A117,1),$P$4:$Q$10,2,0)</f>
        <v>Sunday</v>
      </c>
      <c r="F117" s="82"/>
      <c r="G117" s="13"/>
      <c r="H117" s="13"/>
      <c r="I117" s="11"/>
    </row>
    <row r="118" spans="1:13">
      <c r="A118" s="58">
        <v>41561</v>
      </c>
      <c r="B118" s="42" t="s">
        <v>218</v>
      </c>
      <c r="C118" s="42" t="s">
        <v>197</v>
      </c>
      <c r="D118" s="42" t="s">
        <v>157</v>
      </c>
      <c r="E118" s="43" t="str">
        <f t="shared" si="13"/>
        <v>Monday</v>
      </c>
      <c r="F118" s="87" t="s">
        <v>860</v>
      </c>
      <c r="G118" s="13"/>
      <c r="H118" s="13"/>
      <c r="I118" s="11"/>
    </row>
    <row r="119" spans="1:13">
      <c r="A119" s="56">
        <v>41562</v>
      </c>
      <c r="B119" s="12" t="s">
        <v>219</v>
      </c>
      <c r="C119" s="12" t="s">
        <v>217</v>
      </c>
      <c r="D119" s="12"/>
      <c r="E119" s="18" t="str">
        <f t="shared" ref="E119:E159" si="14">VLOOKUP(WEEKDAY(A119,1),$P$4:$Q$10,2,0)</f>
        <v>Tuesday</v>
      </c>
      <c r="F119" s="82" t="s">
        <v>861</v>
      </c>
      <c r="G119" s="13"/>
      <c r="H119" s="13"/>
      <c r="I119" s="11"/>
    </row>
    <row r="120" spans="1:13" ht="25.5">
      <c r="A120" s="63">
        <v>41782</v>
      </c>
      <c r="B120" s="64" t="s">
        <v>192</v>
      </c>
      <c r="C120" s="64"/>
      <c r="D120" s="64"/>
      <c r="E120" s="65" t="str">
        <f t="shared" si="14"/>
        <v>Friday</v>
      </c>
      <c r="F120" s="89" t="s">
        <v>1216</v>
      </c>
      <c r="G120" s="66"/>
      <c r="H120" s="66"/>
      <c r="I120" s="67"/>
      <c r="M120" s="1" t="s">
        <v>1113</v>
      </c>
    </row>
    <row r="121" spans="1:13">
      <c r="A121" s="56">
        <v>41816</v>
      </c>
      <c r="B121" s="12" t="s">
        <v>124</v>
      </c>
      <c r="C121" s="12"/>
      <c r="D121" s="12"/>
      <c r="E121" s="18" t="str">
        <f t="shared" si="14"/>
        <v>Thursday</v>
      </c>
      <c r="F121" s="90" t="s">
        <v>1215</v>
      </c>
      <c r="I121" s="11"/>
    </row>
    <row r="122" spans="1:13" ht="38.25">
      <c r="A122" s="56">
        <v>41817</v>
      </c>
      <c r="B122" s="12" t="s">
        <v>125</v>
      </c>
      <c r="C122" s="12" t="s">
        <v>124</v>
      </c>
      <c r="D122" s="12"/>
      <c r="E122" s="18" t="str">
        <f t="shared" si="14"/>
        <v>Friday</v>
      </c>
      <c r="F122" s="82" t="s">
        <v>1227</v>
      </c>
      <c r="G122" s="13" t="s">
        <v>66</v>
      </c>
      <c r="H122" s="13" t="s">
        <v>1210</v>
      </c>
      <c r="I122" s="11"/>
      <c r="J122" s="1" t="s">
        <v>1217</v>
      </c>
    </row>
    <row r="123" spans="1:13">
      <c r="A123" s="56">
        <v>41818</v>
      </c>
      <c r="B123" s="12" t="s">
        <v>126</v>
      </c>
      <c r="C123" s="12" t="s">
        <v>125</v>
      </c>
      <c r="D123" s="12"/>
      <c r="E123" s="18" t="str">
        <f t="shared" si="14"/>
        <v>Saturday</v>
      </c>
      <c r="F123" s="82" t="s">
        <v>1214</v>
      </c>
      <c r="G123" s="13" t="s">
        <v>66</v>
      </c>
      <c r="H123" s="13" t="s">
        <v>1211</v>
      </c>
      <c r="I123" s="11"/>
    </row>
    <row r="124" spans="1:13">
      <c r="A124" s="56">
        <v>41819</v>
      </c>
      <c r="B124" s="12" t="s">
        <v>127</v>
      </c>
      <c r="C124" s="12" t="s">
        <v>126</v>
      </c>
      <c r="D124" s="12"/>
      <c r="E124" s="18" t="str">
        <f t="shared" si="14"/>
        <v>Sunday</v>
      </c>
      <c r="F124" s="82" t="s">
        <v>1213</v>
      </c>
      <c r="G124" s="13" t="s">
        <v>66</v>
      </c>
      <c r="H124" s="13" t="s">
        <v>1210</v>
      </c>
      <c r="I124" s="11"/>
    </row>
    <row r="125" spans="1:13">
      <c r="A125" s="56">
        <v>41820</v>
      </c>
      <c r="B125" s="12" t="s">
        <v>128</v>
      </c>
      <c r="C125" s="12" t="s">
        <v>127</v>
      </c>
      <c r="D125" s="12"/>
      <c r="E125" s="18" t="str">
        <f t="shared" si="14"/>
        <v>Monday</v>
      </c>
      <c r="F125" s="82" t="s">
        <v>1212</v>
      </c>
      <c r="G125" s="13" t="s">
        <v>66</v>
      </c>
      <c r="H125" s="13" t="s">
        <v>1211</v>
      </c>
      <c r="I125" s="11"/>
    </row>
    <row r="126" spans="1:13" ht="63.75">
      <c r="A126" s="56">
        <v>41821</v>
      </c>
      <c r="B126" s="12" t="s">
        <v>129</v>
      </c>
      <c r="C126" s="12" t="s">
        <v>128</v>
      </c>
      <c r="D126" s="12"/>
      <c r="E126" s="18" t="str">
        <f t="shared" si="14"/>
        <v>Tuesday</v>
      </c>
      <c r="F126" s="82" t="s">
        <v>1228</v>
      </c>
      <c r="G126" s="13" t="s">
        <v>1218</v>
      </c>
      <c r="H126" s="13" t="s">
        <v>1219</v>
      </c>
      <c r="I126" s="11"/>
    </row>
    <row r="127" spans="1:13" ht="25.5">
      <c r="A127" s="56">
        <v>41822</v>
      </c>
      <c r="B127" s="12" t="s">
        <v>130</v>
      </c>
      <c r="C127" s="12" t="s">
        <v>129</v>
      </c>
      <c r="D127" s="12"/>
      <c r="E127" s="18" t="str">
        <f t="shared" si="14"/>
        <v>Wednesday</v>
      </c>
      <c r="F127" s="82" t="s">
        <v>1229</v>
      </c>
      <c r="G127" s="13" t="s">
        <v>1218</v>
      </c>
      <c r="H127" s="13" t="s">
        <v>1220</v>
      </c>
      <c r="I127" s="11"/>
    </row>
    <row r="128" spans="1:13" ht="25.5">
      <c r="A128" s="56">
        <v>41823</v>
      </c>
      <c r="B128" s="12" t="s">
        <v>131</v>
      </c>
      <c r="C128" s="12" t="s">
        <v>130</v>
      </c>
      <c r="D128" s="12"/>
      <c r="E128" s="18" t="str">
        <f t="shared" si="14"/>
        <v>Thursday</v>
      </c>
      <c r="F128" s="82" t="s">
        <v>1229</v>
      </c>
      <c r="G128" s="13" t="s">
        <v>1218</v>
      </c>
      <c r="H128" s="13" t="s">
        <v>1219</v>
      </c>
      <c r="I128" s="11"/>
    </row>
    <row r="129" spans="1:9" ht="25.5">
      <c r="A129" s="56">
        <v>41824</v>
      </c>
      <c r="B129" s="12" t="s">
        <v>132</v>
      </c>
      <c r="C129" s="12" t="s">
        <v>131</v>
      </c>
      <c r="D129" s="12"/>
      <c r="E129" s="18" t="str">
        <f t="shared" si="14"/>
        <v>Friday</v>
      </c>
      <c r="F129" s="82" t="s">
        <v>1230</v>
      </c>
      <c r="G129" s="13" t="s">
        <v>1218</v>
      </c>
      <c r="H129" s="13" t="s">
        <v>1220</v>
      </c>
      <c r="I129" s="11"/>
    </row>
    <row r="130" spans="1:9" ht="51">
      <c r="A130" s="56">
        <v>41825</v>
      </c>
      <c r="B130" s="12" t="s">
        <v>133</v>
      </c>
      <c r="C130" s="12" t="s">
        <v>132</v>
      </c>
      <c r="D130" s="12"/>
      <c r="E130" s="18" t="str">
        <f t="shared" si="14"/>
        <v>Saturday</v>
      </c>
      <c r="F130" s="82" t="s">
        <v>1231</v>
      </c>
      <c r="G130" s="13" t="s">
        <v>1218</v>
      </c>
      <c r="H130" s="13" t="s">
        <v>1219</v>
      </c>
      <c r="I130" s="11"/>
    </row>
    <row r="131" spans="1:9" ht="25.5">
      <c r="A131" s="56">
        <v>41826</v>
      </c>
      <c r="B131" s="12" t="s">
        <v>134</v>
      </c>
      <c r="C131" s="12" t="s">
        <v>133</v>
      </c>
      <c r="D131" s="12"/>
      <c r="E131" s="18" t="str">
        <f t="shared" si="14"/>
        <v>Sunday</v>
      </c>
      <c r="F131" s="82"/>
      <c r="G131" s="13" t="s">
        <v>1218</v>
      </c>
      <c r="H131" s="13" t="s">
        <v>1220</v>
      </c>
      <c r="I131" s="11"/>
    </row>
    <row r="132" spans="1:9" ht="102">
      <c r="A132" s="56">
        <v>41827</v>
      </c>
      <c r="B132" s="12" t="s">
        <v>148</v>
      </c>
      <c r="C132" s="12" t="s">
        <v>134</v>
      </c>
      <c r="D132" s="12"/>
      <c r="E132" s="18" t="str">
        <f t="shared" si="14"/>
        <v>Monday</v>
      </c>
      <c r="F132" s="82" t="s">
        <v>1246</v>
      </c>
      <c r="G132" s="13" t="s">
        <v>1242</v>
      </c>
      <c r="H132" s="13"/>
      <c r="I132" s="11">
        <v>20</v>
      </c>
    </row>
    <row r="133" spans="1:9">
      <c r="A133" s="56">
        <v>41828</v>
      </c>
      <c r="B133" s="12" t="s">
        <v>151</v>
      </c>
      <c r="C133" s="12"/>
      <c r="D133" s="12"/>
      <c r="E133" s="18" t="str">
        <f t="shared" si="14"/>
        <v>Tuesday</v>
      </c>
      <c r="F133" s="82" t="s">
        <v>1248</v>
      </c>
      <c r="G133" s="13"/>
      <c r="H133" s="13"/>
      <c r="I133" s="11"/>
    </row>
    <row r="134" spans="1:9" ht="51">
      <c r="A134" s="56">
        <v>41829</v>
      </c>
      <c r="B134" s="12" t="s">
        <v>152</v>
      </c>
      <c r="C134" s="12"/>
      <c r="D134" s="12"/>
      <c r="E134" s="18" t="str">
        <f t="shared" si="14"/>
        <v>Wednesday</v>
      </c>
      <c r="F134" s="82" t="s">
        <v>1249</v>
      </c>
      <c r="G134" s="13"/>
      <c r="H134" s="13"/>
      <c r="I134" s="11">
        <v>20</v>
      </c>
    </row>
    <row r="135" spans="1:9" ht="38.25">
      <c r="A135" s="56">
        <v>41830</v>
      </c>
      <c r="B135" s="12" t="s">
        <v>153</v>
      </c>
      <c r="C135" s="12"/>
      <c r="D135" s="12" t="s">
        <v>124</v>
      </c>
      <c r="E135" s="18" t="str">
        <f t="shared" si="14"/>
        <v>Thursday</v>
      </c>
      <c r="F135" s="82" t="s">
        <v>1256</v>
      </c>
      <c r="G135" s="13"/>
      <c r="H135" s="13"/>
      <c r="I135" s="11"/>
    </row>
    <row r="136" spans="1:9" ht="76.5">
      <c r="A136" s="56">
        <v>41831</v>
      </c>
      <c r="B136" s="12" t="s">
        <v>154</v>
      </c>
      <c r="C136" s="12"/>
      <c r="D136" s="12" t="s">
        <v>125</v>
      </c>
      <c r="E136" s="18" t="str">
        <f t="shared" si="14"/>
        <v>Friday</v>
      </c>
      <c r="F136" s="88" t="s">
        <v>1258</v>
      </c>
      <c r="G136" s="13"/>
      <c r="H136" s="13"/>
      <c r="I136" s="11">
        <f>20+20</f>
        <v>40</v>
      </c>
    </row>
    <row r="137" spans="1:9">
      <c r="A137" s="56">
        <v>41832</v>
      </c>
      <c r="B137" s="12" t="s">
        <v>155</v>
      </c>
      <c r="C137" s="12"/>
      <c r="D137" s="12" t="s">
        <v>126</v>
      </c>
      <c r="E137" s="18" t="str">
        <f t="shared" si="14"/>
        <v>Saturday</v>
      </c>
      <c r="F137" s="82"/>
      <c r="G137" s="13"/>
      <c r="H137" s="13"/>
      <c r="I137" s="11"/>
    </row>
    <row r="138" spans="1:9">
      <c r="A138" s="56">
        <v>41833</v>
      </c>
      <c r="B138" s="12" t="s">
        <v>156</v>
      </c>
      <c r="C138" s="12"/>
      <c r="D138" s="12" t="s">
        <v>127</v>
      </c>
      <c r="E138" s="18" t="str">
        <f t="shared" si="14"/>
        <v>Sunday</v>
      </c>
      <c r="F138" s="82"/>
      <c r="G138" s="13"/>
      <c r="H138" s="13"/>
      <c r="I138" s="11"/>
    </row>
    <row r="139" spans="1:9">
      <c r="A139" s="56">
        <v>41834</v>
      </c>
      <c r="B139" s="12" t="s">
        <v>157</v>
      </c>
      <c r="C139" s="12"/>
      <c r="D139" s="12" t="s">
        <v>128</v>
      </c>
      <c r="E139" s="18" t="str">
        <f t="shared" si="14"/>
        <v>Monday</v>
      </c>
      <c r="F139" s="82" t="s">
        <v>1267</v>
      </c>
      <c r="G139" s="13"/>
      <c r="H139" s="13"/>
      <c r="I139" s="11"/>
    </row>
    <row r="140" spans="1:9">
      <c r="A140" s="56">
        <v>41835</v>
      </c>
      <c r="B140" s="12" t="s">
        <v>158</v>
      </c>
      <c r="C140" s="12"/>
      <c r="D140" s="12" t="s">
        <v>129</v>
      </c>
      <c r="E140" s="18" t="str">
        <f t="shared" si="14"/>
        <v>Tuesday</v>
      </c>
      <c r="F140" s="82"/>
      <c r="G140" s="13"/>
      <c r="H140" s="13"/>
      <c r="I140" s="11"/>
    </row>
    <row r="141" spans="1:9" ht="51">
      <c r="A141" s="56">
        <v>41836</v>
      </c>
      <c r="B141" s="12" t="s">
        <v>188</v>
      </c>
      <c r="C141" s="12"/>
      <c r="D141" s="12" t="s">
        <v>130</v>
      </c>
      <c r="E141" s="18" t="str">
        <f t="shared" si="14"/>
        <v>Wednesday</v>
      </c>
      <c r="F141" s="82" t="s">
        <v>1268</v>
      </c>
      <c r="G141" s="13"/>
      <c r="H141" s="13"/>
      <c r="I141" s="11">
        <v>22</v>
      </c>
    </row>
    <row r="142" spans="1:9">
      <c r="A142" s="56">
        <v>41837</v>
      </c>
      <c r="B142" s="12" t="s">
        <v>189</v>
      </c>
      <c r="C142" s="12"/>
      <c r="D142" s="12" t="s">
        <v>131</v>
      </c>
      <c r="E142" s="18" t="str">
        <f t="shared" si="14"/>
        <v>Thursday</v>
      </c>
      <c r="F142" s="82"/>
      <c r="G142" s="13"/>
      <c r="H142" s="13"/>
      <c r="I142" s="11"/>
    </row>
    <row r="143" spans="1:9">
      <c r="A143" s="56">
        <v>41838</v>
      </c>
      <c r="B143" s="12" t="s">
        <v>190</v>
      </c>
      <c r="C143" s="12"/>
      <c r="D143" s="12" t="s">
        <v>132</v>
      </c>
      <c r="E143" s="18" t="str">
        <f t="shared" si="14"/>
        <v>Friday</v>
      </c>
      <c r="F143" s="82"/>
      <c r="G143" s="13"/>
      <c r="H143" s="13"/>
      <c r="I143" s="11"/>
    </row>
    <row r="144" spans="1:9">
      <c r="A144" s="56">
        <v>41839</v>
      </c>
      <c r="B144" s="12" t="s">
        <v>191</v>
      </c>
      <c r="C144" s="12"/>
      <c r="D144" s="12" t="s">
        <v>133</v>
      </c>
      <c r="E144" s="18" t="str">
        <f t="shared" si="14"/>
        <v>Saturday</v>
      </c>
      <c r="F144" s="82"/>
      <c r="G144" s="13"/>
      <c r="H144" s="13"/>
      <c r="I144" s="11"/>
    </row>
    <row r="145" spans="1:9">
      <c r="A145" s="56">
        <v>41840</v>
      </c>
      <c r="B145" s="12" t="s">
        <v>192</v>
      </c>
      <c r="C145" s="12"/>
      <c r="D145" s="12" t="s">
        <v>134</v>
      </c>
      <c r="E145" s="18" t="str">
        <f t="shared" si="14"/>
        <v>Sunday</v>
      </c>
      <c r="F145" s="82"/>
      <c r="G145" s="13"/>
      <c r="H145" s="13"/>
      <c r="I145" s="11"/>
    </row>
    <row r="146" spans="1:9">
      <c r="A146" s="56">
        <v>41841</v>
      </c>
      <c r="B146" s="12" t="s">
        <v>193</v>
      </c>
      <c r="C146" s="12"/>
      <c r="D146" s="12" t="s">
        <v>148</v>
      </c>
      <c r="E146" s="18" t="str">
        <f t="shared" si="14"/>
        <v>Monday</v>
      </c>
      <c r="F146" s="82"/>
      <c r="G146" s="13"/>
      <c r="H146" s="13"/>
      <c r="I146" s="11"/>
    </row>
    <row r="147" spans="1:9" ht="25.5">
      <c r="A147" s="56">
        <v>41842</v>
      </c>
      <c r="B147" s="12" t="s">
        <v>194</v>
      </c>
      <c r="C147" s="12"/>
      <c r="D147" s="12" t="s">
        <v>151</v>
      </c>
      <c r="E147" s="18" t="str">
        <f t="shared" si="14"/>
        <v>Tuesday</v>
      </c>
      <c r="F147" s="82" t="s">
        <v>1270</v>
      </c>
      <c r="G147" s="13"/>
      <c r="H147" s="13"/>
      <c r="I147" s="11"/>
    </row>
    <row r="148" spans="1:9">
      <c r="A148" s="56">
        <v>41843</v>
      </c>
      <c r="B148" s="12" t="s">
        <v>195</v>
      </c>
      <c r="C148" s="12"/>
      <c r="D148" s="12" t="s">
        <v>152</v>
      </c>
      <c r="E148" s="18" t="str">
        <f t="shared" si="14"/>
        <v>Wednesday</v>
      </c>
      <c r="F148" s="82"/>
      <c r="G148" s="13"/>
      <c r="H148" s="13"/>
      <c r="I148" s="11"/>
    </row>
    <row r="149" spans="1:9">
      <c r="A149" s="56">
        <v>41844</v>
      </c>
      <c r="B149" s="12" t="s">
        <v>196</v>
      </c>
      <c r="C149" s="12"/>
      <c r="D149" s="12" t="s">
        <v>153</v>
      </c>
      <c r="E149" s="18" t="str">
        <f t="shared" si="14"/>
        <v>Thursday</v>
      </c>
      <c r="F149" s="82"/>
      <c r="G149" s="13"/>
      <c r="H149" s="13"/>
      <c r="I149" s="11"/>
    </row>
    <row r="150" spans="1:9" ht="25.5">
      <c r="A150" s="56">
        <v>41845</v>
      </c>
      <c r="B150" s="12" t="s">
        <v>197</v>
      </c>
      <c r="C150" s="12"/>
      <c r="D150" s="12" t="s">
        <v>154</v>
      </c>
      <c r="E150" s="18" t="str">
        <f t="shared" si="14"/>
        <v>Friday</v>
      </c>
      <c r="F150" s="82" t="s">
        <v>1269</v>
      </c>
      <c r="G150" s="13"/>
      <c r="H150" s="13"/>
      <c r="I150" s="11"/>
    </row>
    <row r="151" spans="1:9" ht="51">
      <c r="A151" s="58">
        <v>41846</v>
      </c>
      <c r="B151" s="42" t="s">
        <v>217</v>
      </c>
      <c r="C151" s="42"/>
      <c r="D151" s="42" t="s">
        <v>155</v>
      </c>
      <c r="E151" s="43" t="str">
        <f t="shared" si="14"/>
        <v>Saturday</v>
      </c>
      <c r="F151" s="87" t="s">
        <v>1354</v>
      </c>
      <c r="G151" s="13"/>
      <c r="H151" s="13"/>
      <c r="I151" s="11">
        <v>14</v>
      </c>
    </row>
    <row r="152" spans="1:9" ht="38.25">
      <c r="A152" s="56">
        <v>41852</v>
      </c>
      <c r="B152" s="12"/>
      <c r="C152" s="12"/>
      <c r="D152" s="12"/>
      <c r="E152" s="18" t="str">
        <f t="shared" si="14"/>
        <v>Friday</v>
      </c>
      <c r="F152" s="82" t="s">
        <v>1310</v>
      </c>
      <c r="G152" s="13"/>
      <c r="H152" s="13"/>
      <c r="I152" s="11"/>
    </row>
    <row r="153" spans="1:9" ht="25.5">
      <c r="A153" s="56">
        <v>41883</v>
      </c>
      <c r="B153" s="12" t="s">
        <v>124</v>
      </c>
      <c r="C153" s="12"/>
      <c r="D153" s="12"/>
      <c r="E153" s="18" t="str">
        <f t="shared" si="14"/>
        <v>Monday</v>
      </c>
      <c r="F153" s="82" t="s">
        <v>1334</v>
      </c>
      <c r="G153" s="13"/>
      <c r="H153" s="13"/>
      <c r="I153" s="11"/>
    </row>
    <row r="154" spans="1:9">
      <c r="A154" s="56">
        <v>41884</v>
      </c>
      <c r="B154" s="12" t="s">
        <v>125</v>
      </c>
      <c r="C154" s="12"/>
      <c r="D154" s="12"/>
      <c r="E154" s="18" t="str">
        <f t="shared" si="14"/>
        <v>Tuesday</v>
      </c>
      <c r="F154" s="82"/>
      <c r="G154" s="13"/>
      <c r="H154" s="13"/>
      <c r="I154" s="11"/>
    </row>
    <row r="155" spans="1:9">
      <c r="A155" s="56">
        <v>41885</v>
      </c>
      <c r="B155" s="12" t="s">
        <v>126</v>
      </c>
      <c r="C155" s="12"/>
      <c r="D155" s="12"/>
      <c r="E155" s="18" t="str">
        <f t="shared" si="14"/>
        <v>Wednesday</v>
      </c>
      <c r="F155" s="82"/>
      <c r="G155" s="13"/>
      <c r="H155" s="13"/>
      <c r="I155" s="11"/>
    </row>
    <row r="156" spans="1:9">
      <c r="A156" s="56">
        <v>41886</v>
      </c>
      <c r="B156" s="12" t="s">
        <v>127</v>
      </c>
      <c r="C156" s="12"/>
      <c r="D156" s="12"/>
      <c r="E156" s="18" t="str">
        <f t="shared" si="14"/>
        <v>Thursday</v>
      </c>
      <c r="F156" s="82"/>
      <c r="G156" s="13"/>
      <c r="H156" s="13"/>
      <c r="I156" s="11"/>
    </row>
    <row r="157" spans="1:9">
      <c r="A157" s="56">
        <v>41887</v>
      </c>
      <c r="B157" s="12" t="s">
        <v>128</v>
      </c>
      <c r="C157" s="12"/>
      <c r="D157" s="12"/>
      <c r="E157" s="18" t="str">
        <f t="shared" si="14"/>
        <v>Friday</v>
      </c>
      <c r="F157" s="82"/>
      <c r="G157" s="13"/>
      <c r="H157" s="13"/>
      <c r="I157" s="11"/>
    </row>
    <row r="158" spans="1:9">
      <c r="A158" s="56">
        <v>41888</v>
      </c>
      <c r="B158" s="12" t="s">
        <v>129</v>
      </c>
      <c r="C158" s="12"/>
      <c r="D158" s="12"/>
      <c r="E158" s="18" t="str">
        <f t="shared" si="14"/>
        <v>Saturday</v>
      </c>
      <c r="F158" s="82" t="s">
        <v>1333</v>
      </c>
      <c r="G158" s="13"/>
      <c r="H158" s="13"/>
      <c r="I158" s="11"/>
    </row>
    <row r="159" spans="1:9" ht="25.5">
      <c r="A159" s="56">
        <v>41889</v>
      </c>
      <c r="B159" s="12" t="s">
        <v>130</v>
      </c>
      <c r="C159" s="12"/>
      <c r="D159" s="12"/>
      <c r="E159" s="18" t="str">
        <f t="shared" si="14"/>
        <v>Sunday</v>
      </c>
      <c r="F159" s="82" t="s">
        <v>1335</v>
      </c>
      <c r="G159" s="13"/>
      <c r="H159" s="13"/>
      <c r="I159" s="11"/>
    </row>
    <row r="160" spans="1:9" ht="63.75">
      <c r="A160" s="56">
        <v>41892</v>
      </c>
      <c r="B160" s="12" t="s">
        <v>133</v>
      </c>
      <c r="C160" s="12"/>
      <c r="D160" s="12"/>
      <c r="E160" s="18" t="str">
        <f t="shared" ref="E160:E199" si="15">VLOOKUP(WEEKDAY(A160,1),$P$4:$Q$10,2,0)</f>
        <v>Wednesday</v>
      </c>
      <c r="F160" s="82" t="s">
        <v>1342</v>
      </c>
      <c r="G160" s="13"/>
      <c r="H160" s="13"/>
      <c r="I160" s="11"/>
    </row>
    <row r="161" spans="1:9">
      <c r="A161" s="56">
        <v>41895</v>
      </c>
      <c r="B161" s="12" t="s">
        <v>151</v>
      </c>
      <c r="C161" s="12"/>
      <c r="D161" s="12"/>
      <c r="E161" s="18" t="str">
        <f t="shared" si="15"/>
        <v>Saturday</v>
      </c>
      <c r="F161" s="82" t="s">
        <v>1339</v>
      </c>
      <c r="G161" s="13"/>
      <c r="H161" s="13"/>
      <c r="I161" s="11"/>
    </row>
    <row r="162" spans="1:9">
      <c r="A162" s="56">
        <v>41896</v>
      </c>
      <c r="B162" s="12" t="s">
        <v>152</v>
      </c>
      <c r="C162" s="12"/>
      <c r="D162" s="12"/>
      <c r="E162" s="18" t="str">
        <f t="shared" si="15"/>
        <v>Sunday</v>
      </c>
      <c r="F162" s="82" t="s">
        <v>1340</v>
      </c>
      <c r="G162" s="13"/>
      <c r="H162" s="13"/>
      <c r="I162" s="11"/>
    </row>
    <row r="163" spans="1:9" ht="76.5">
      <c r="A163" s="56">
        <v>41897</v>
      </c>
      <c r="B163" s="12" t="s">
        <v>153</v>
      </c>
      <c r="C163" s="12"/>
      <c r="D163" s="12"/>
      <c r="E163" s="18" t="str">
        <f t="shared" si="15"/>
        <v>Monday</v>
      </c>
      <c r="F163" s="82" t="s">
        <v>1341</v>
      </c>
      <c r="G163" s="13"/>
      <c r="H163" s="13"/>
      <c r="I163" s="11"/>
    </row>
    <row r="164" spans="1:9" ht="51">
      <c r="A164" s="56">
        <v>41898</v>
      </c>
      <c r="B164" s="12" t="s">
        <v>154</v>
      </c>
      <c r="C164" s="12"/>
      <c r="D164" s="12"/>
      <c r="E164" s="18" t="str">
        <f t="shared" si="15"/>
        <v>Tuesday</v>
      </c>
      <c r="F164" s="88" t="s">
        <v>1344</v>
      </c>
      <c r="G164" s="13"/>
      <c r="H164" s="13"/>
      <c r="I164" s="11"/>
    </row>
    <row r="165" spans="1:9" ht="63.75">
      <c r="A165" s="56">
        <v>41899</v>
      </c>
      <c r="B165" s="12" t="s">
        <v>155</v>
      </c>
      <c r="C165" s="12"/>
      <c r="D165" s="12"/>
      <c r="E165" s="18" t="str">
        <f t="shared" si="15"/>
        <v>Wednesday</v>
      </c>
      <c r="F165" s="82" t="s">
        <v>1345</v>
      </c>
      <c r="G165" s="13"/>
      <c r="H165" s="13"/>
      <c r="I165" s="11"/>
    </row>
    <row r="166" spans="1:9" ht="25.5">
      <c r="A166" s="56">
        <v>41900</v>
      </c>
      <c r="B166" s="12" t="s">
        <v>156</v>
      </c>
      <c r="C166" s="12"/>
      <c r="D166" s="12"/>
      <c r="E166" s="18" t="str">
        <f t="shared" si="15"/>
        <v>Thursday</v>
      </c>
      <c r="F166" s="82" t="s">
        <v>1350</v>
      </c>
      <c r="G166" s="13"/>
      <c r="H166" s="13"/>
      <c r="I166" s="11"/>
    </row>
    <row r="167" spans="1:9" ht="102">
      <c r="A167" s="56">
        <v>41901</v>
      </c>
      <c r="B167" s="12" t="s">
        <v>157</v>
      </c>
      <c r="C167" s="12"/>
      <c r="D167" s="12"/>
      <c r="E167" s="18" t="str">
        <f t="shared" si="15"/>
        <v>Friday</v>
      </c>
      <c r="F167" s="82" t="s">
        <v>1351</v>
      </c>
      <c r="G167" s="13"/>
      <c r="H167" s="13"/>
      <c r="I167" s="11"/>
    </row>
    <row r="168" spans="1:9">
      <c r="A168" s="56">
        <v>41902</v>
      </c>
      <c r="B168" s="12" t="s">
        <v>158</v>
      </c>
      <c r="C168" s="12"/>
      <c r="D168" s="12" t="s">
        <v>124</v>
      </c>
      <c r="E168" s="18" t="str">
        <f t="shared" si="15"/>
        <v>Saturday</v>
      </c>
      <c r="F168" s="82" t="s">
        <v>1352</v>
      </c>
      <c r="G168" s="13"/>
      <c r="H168" s="13"/>
      <c r="I168" s="11"/>
    </row>
    <row r="169" spans="1:9" ht="25.5">
      <c r="A169" s="56">
        <v>41903</v>
      </c>
      <c r="B169" s="12" t="s">
        <v>188</v>
      </c>
      <c r="C169" s="12"/>
      <c r="D169" s="12" t="s">
        <v>125</v>
      </c>
      <c r="E169" s="18" t="str">
        <f t="shared" si="15"/>
        <v>Sunday</v>
      </c>
      <c r="F169" s="82" t="s">
        <v>1355</v>
      </c>
      <c r="G169" s="13"/>
      <c r="H169" s="13"/>
      <c r="I169" s="11"/>
    </row>
    <row r="170" spans="1:9">
      <c r="A170" s="56">
        <v>41904</v>
      </c>
      <c r="B170" s="12" t="s">
        <v>189</v>
      </c>
      <c r="C170" s="12"/>
      <c r="D170" s="12" t="s">
        <v>126</v>
      </c>
      <c r="E170" s="18" t="str">
        <f t="shared" si="15"/>
        <v>Monday</v>
      </c>
      <c r="F170" s="82" t="s">
        <v>1353</v>
      </c>
      <c r="G170" s="13"/>
      <c r="H170" s="13"/>
      <c r="I170" s="11"/>
    </row>
    <row r="171" spans="1:9">
      <c r="A171" s="56">
        <v>41905</v>
      </c>
      <c r="B171" s="12" t="s">
        <v>190</v>
      </c>
      <c r="C171" s="12"/>
      <c r="D171" s="12" t="s">
        <v>127</v>
      </c>
      <c r="E171" s="18" t="str">
        <f t="shared" si="15"/>
        <v>Tuesday</v>
      </c>
      <c r="F171" s="82"/>
      <c r="G171" s="13"/>
      <c r="H171" s="13"/>
      <c r="I171" s="11"/>
    </row>
    <row r="172" spans="1:9">
      <c r="A172" s="56">
        <v>41906</v>
      </c>
      <c r="B172" s="12" t="s">
        <v>191</v>
      </c>
      <c r="C172" s="12"/>
      <c r="D172" s="12" t="s">
        <v>128</v>
      </c>
      <c r="E172" s="18" t="str">
        <f t="shared" si="15"/>
        <v>Wednesday</v>
      </c>
      <c r="F172" s="82" t="s">
        <v>1360</v>
      </c>
      <c r="G172" s="13"/>
      <c r="H172" s="13"/>
      <c r="I172" s="11"/>
    </row>
    <row r="173" spans="1:9">
      <c r="A173" s="56">
        <v>41907</v>
      </c>
      <c r="B173" s="12" t="s">
        <v>192</v>
      </c>
      <c r="C173" s="12"/>
      <c r="D173" s="12" t="s">
        <v>129</v>
      </c>
      <c r="E173" s="18" t="str">
        <f t="shared" si="15"/>
        <v>Thursday</v>
      </c>
      <c r="F173" s="82"/>
      <c r="G173" s="13"/>
      <c r="H173" s="13"/>
      <c r="I173" s="11"/>
    </row>
    <row r="174" spans="1:9">
      <c r="A174" s="56">
        <v>41908</v>
      </c>
      <c r="B174" s="12" t="s">
        <v>193</v>
      </c>
      <c r="C174" s="12"/>
      <c r="D174" s="12" t="s">
        <v>130</v>
      </c>
      <c r="E174" s="18" t="str">
        <f t="shared" si="15"/>
        <v>Friday</v>
      </c>
      <c r="F174" s="82"/>
      <c r="G174" s="13"/>
      <c r="H174" s="13"/>
      <c r="I174" s="11"/>
    </row>
    <row r="175" spans="1:9">
      <c r="A175" s="56">
        <v>41909</v>
      </c>
      <c r="B175" s="12" t="s">
        <v>194</v>
      </c>
      <c r="C175" s="12"/>
      <c r="D175" s="12" t="s">
        <v>131</v>
      </c>
      <c r="E175" s="18" t="str">
        <f t="shared" si="15"/>
        <v>Saturday</v>
      </c>
      <c r="F175" s="82"/>
      <c r="G175" s="13"/>
      <c r="H175" s="13"/>
      <c r="I175" s="11"/>
    </row>
    <row r="176" spans="1:9">
      <c r="A176" s="56">
        <v>41910</v>
      </c>
      <c r="B176" s="12" t="s">
        <v>195</v>
      </c>
      <c r="C176" s="12"/>
      <c r="D176" s="12" t="s">
        <v>132</v>
      </c>
      <c r="E176" s="18" t="str">
        <f t="shared" si="15"/>
        <v>Sunday</v>
      </c>
      <c r="F176" s="82"/>
      <c r="G176" s="13"/>
      <c r="H176" s="13"/>
      <c r="I176" s="11"/>
    </row>
    <row r="177" spans="1:9">
      <c r="A177" s="56">
        <v>41911</v>
      </c>
      <c r="B177" s="12" t="s">
        <v>196</v>
      </c>
      <c r="C177" s="12"/>
      <c r="D177" s="12" t="s">
        <v>133</v>
      </c>
      <c r="E177" s="18" t="str">
        <f t="shared" si="15"/>
        <v>Monday</v>
      </c>
      <c r="F177" s="82"/>
      <c r="G177" s="13"/>
      <c r="H177" s="13"/>
      <c r="I177" s="11"/>
    </row>
    <row r="178" spans="1:9">
      <c r="A178" s="56">
        <v>41912</v>
      </c>
      <c r="B178" s="12" t="s">
        <v>197</v>
      </c>
      <c r="C178" s="12"/>
      <c r="D178" s="12" t="s">
        <v>134</v>
      </c>
      <c r="E178" s="18" t="str">
        <f t="shared" si="15"/>
        <v>Tuesday</v>
      </c>
      <c r="F178" s="82"/>
      <c r="G178" s="13"/>
      <c r="H178" s="13"/>
      <c r="I178" s="11"/>
    </row>
    <row r="179" spans="1:9">
      <c r="A179" s="56">
        <v>41913</v>
      </c>
      <c r="B179" s="12" t="s">
        <v>217</v>
      </c>
      <c r="C179" s="12"/>
      <c r="D179" s="12" t="s">
        <v>148</v>
      </c>
      <c r="E179" s="18" t="str">
        <f t="shared" si="15"/>
        <v>Wednesday</v>
      </c>
      <c r="F179" s="82"/>
      <c r="G179" s="13"/>
      <c r="H179" s="13"/>
      <c r="I179" s="11"/>
    </row>
    <row r="180" spans="1:9">
      <c r="A180" s="56">
        <v>41914</v>
      </c>
      <c r="B180" s="12" t="s">
        <v>218</v>
      </c>
      <c r="C180" s="12"/>
      <c r="D180" s="12" t="s">
        <v>151</v>
      </c>
      <c r="E180" s="18" t="str">
        <f t="shared" si="15"/>
        <v>Thursday</v>
      </c>
      <c r="F180" s="82"/>
      <c r="G180" s="13"/>
      <c r="H180" s="13"/>
      <c r="I180" s="11"/>
    </row>
    <row r="181" spans="1:9">
      <c r="A181" s="56">
        <v>41915</v>
      </c>
      <c r="B181" s="12" t="s">
        <v>219</v>
      </c>
      <c r="C181" s="12"/>
      <c r="D181" s="12" t="s">
        <v>152</v>
      </c>
      <c r="E181" s="18" t="str">
        <f t="shared" si="15"/>
        <v>Friday</v>
      </c>
      <c r="F181" s="82"/>
      <c r="G181" s="13"/>
      <c r="H181" s="13"/>
      <c r="I181" s="11"/>
    </row>
    <row r="182" spans="1:9" ht="51">
      <c r="A182" s="57">
        <v>41916</v>
      </c>
      <c r="B182" s="41" t="s">
        <v>220</v>
      </c>
      <c r="C182" s="41"/>
      <c r="D182" s="41" t="s">
        <v>153</v>
      </c>
      <c r="E182" s="41" t="str">
        <f t="shared" si="15"/>
        <v>Saturday</v>
      </c>
      <c r="F182" s="85" t="s">
        <v>1358</v>
      </c>
      <c r="G182" s="13"/>
      <c r="H182" s="13"/>
      <c r="I182" s="11"/>
    </row>
    <row r="183" spans="1:9">
      <c r="A183" s="56">
        <v>41917</v>
      </c>
      <c r="B183" s="12" t="s">
        <v>221</v>
      </c>
      <c r="C183" s="12"/>
      <c r="D183" s="12" t="s">
        <v>154</v>
      </c>
      <c r="E183" s="18" t="str">
        <f t="shared" si="15"/>
        <v>Sunday</v>
      </c>
      <c r="F183" s="82" t="s">
        <v>1361</v>
      </c>
      <c r="G183" s="13"/>
      <c r="H183" s="13"/>
      <c r="I183" s="11"/>
    </row>
    <row r="184" spans="1:9">
      <c r="A184" s="56">
        <v>41918</v>
      </c>
      <c r="B184" s="12" t="s">
        <v>222</v>
      </c>
      <c r="C184" s="12"/>
      <c r="D184" s="12" t="s">
        <v>155</v>
      </c>
      <c r="E184" s="18" t="str">
        <f t="shared" si="15"/>
        <v>Monday</v>
      </c>
      <c r="F184" s="82"/>
      <c r="G184" s="13"/>
      <c r="H184" s="13"/>
      <c r="I184" s="11"/>
    </row>
    <row r="185" spans="1:9">
      <c r="A185" s="56">
        <v>41919</v>
      </c>
      <c r="B185" s="12" t="s">
        <v>223</v>
      </c>
      <c r="C185" s="12"/>
      <c r="D185" s="12" t="s">
        <v>156</v>
      </c>
      <c r="E185" s="18" t="str">
        <f t="shared" si="15"/>
        <v>Tuesday</v>
      </c>
      <c r="F185" s="82"/>
      <c r="G185" s="13"/>
      <c r="H185" s="13"/>
      <c r="I185" s="11"/>
    </row>
    <row r="186" spans="1:9">
      <c r="A186" s="56">
        <v>41920</v>
      </c>
      <c r="B186" s="12" t="s">
        <v>224</v>
      </c>
      <c r="C186" s="12"/>
      <c r="D186" s="12" t="s">
        <v>157</v>
      </c>
      <c r="E186" s="18" t="str">
        <f t="shared" si="15"/>
        <v>Wednesday</v>
      </c>
      <c r="F186" s="82" t="s">
        <v>1356</v>
      </c>
      <c r="G186" s="13"/>
      <c r="H186" s="13"/>
      <c r="I186" s="11"/>
    </row>
    <row r="187" spans="1:9" ht="25.5">
      <c r="A187" s="56">
        <v>41921</v>
      </c>
      <c r="B187" s="12" t="s">
        <v>225</v>
      </c>
      <c r="C187" s="12"/>
      <c r="D187" s="12" t="s">
        <v>158</v>
      </c>
      <c r="E187" s="18" t="str">
        <f t="shared" si="15"/>
        <v>Thursday</v>
      </c>
      <c r="F187" s="82" t="s">
        <v>1357</v>
      </c>
      <c r="G187" s="13"/>
      <c r="H187" s="13"/>
      <c r="I187" s="11"/>
    </row>
    <row r="188" spans="1:9" ht="38.25">
      <c r="A188" s="56">
        <v>41922</v>
      </c>
      <c r="B188" s="12" t="s">
        <v>226</v>
      </c>
      <c r="C188" s="12"/>
      <c r="D188" s="12" t="s">
        <v>188</v>
      </c>
      <c r="E188" s="18" t="str">
        <f t="shared" si="15"/>
        <v>Friday</v>
      </c>
      <c r="F188" s="82" t="s">
        <v>1359</v>
      </c>
      <c r="G188" s="13"/>
      <c r="H188" s="13"/>
      <c r="I188" s="11"/>
    </row>
    <row r="189" spans="1:9" ht="25.5">
      <c r="A189" s="56">
        <v>41923</v>
      </c>
      <c r="B189" s="12" t="s">
        <v>227</v>
      </c>
      <c r="C189" s="12"/>
      <c r="D189" s="12" t="s">
        <v>189</v>
      </c>
      <c r="E189" s="18" t="str">
        <f t="shared" si="15"/>
        <v>Saturday</v>
      </c>
      <c r="F189" s="82" t="s">
        <v>1362</v>
      </c>
      <c r="G189" s="13"/>
      <c r="H189" s="13"/>
      <c r="I189" s="11"/>
    </row>
    <row r="190" spans="1:9">
      <c r="A190" s="56">
        <v>41924</v>
      </c>
      <c r="B190" s="12" t="s">
        <v>228</v>
      </c>
      <c r="C190" s="12"/>
      <c r="D190" s="12" t="s">
        <v>190</v>
      </c>
      <c r="E190" s="18" t="str">
        <f t="shared" si="15"/>
        <v>Sunday</v>
      </c>
      <c r="F190" s="82" t="s">
        <v>1363</v>
      </c>
      <c r="G190" s="13"/>
      <c r="H190" s="13"/>
      <c r="I190" s="11"/>
    </row>
    <row r="191" spans="1:9">
      <c r="A191" s="56">
        <v>41925</v>
      </c>
      <c r="B191" s="12" t="s">
        <v>229</v>
      </c>
      <c r="C191" s="12"/>
      <c r="D191" s="12" t="s">
        <v>191</v>
      </c>
      <c r="E191" s="18" t="str">
        <f t="shared" si="15"/>
        <v>Monday</v>
      </c>
      <c r="F191" s="82"/>
      <c r="G191" s="13"/>
      <c r="H191" s="13"/>
      <c r="I191" s="11"/>
    </row>
    <row r="192" spans="1:9">
      <c r="A192" s="56">
        <v>41926</v>
      </c>
      <c r="B192" s="12" t="s">
        <v>230</v>
      </c>
      <c r="C192" s="12"/>
      <c r="D192" s="12" t="s">
        <v>192</v>
      </c>
      <c r="E192" s="18" t="str">
        <f t="shared" si="15"/>
        <v>Tuesday</v>
      </c>
      <c r="F192" s="82"/>
      <c r="G192" s="13"/>
      <c r="H192" s="13"/>
      <c r="I192" s="11"/>
    </row>
    <row r="193" spans="1:9">
      <c r="A193" s="56">
        <v>41927</v>
      </c>
      <c r="B193" s="12" t="s">
        <v>231</v>
      </c>
      <c r="C193" s="12"/>
      <c r="D193" s="12" t="s">
        <v>193</v>
      </c>
      <c r="E193" s="18" t="str">
        <f t="shared" si="15"/>
        <v>Wednesday</v>
      </c>
      <c r="F193" s="82"/>
      <c r="G193" s="13"/>
      <c r="H193" s="13"/>
      <c r="I193" s="11"/>
    </row>
    <row r="194" spans="1:9">
      <c r="A194" s="56">
        <v>41928</v>
      </c>
      <c r="B194" s="12" t="s">
        <v>232</v>
      </c>
      <c r="C194" s="12"/>
      <c r="D194" s="12" t="s">
        <v>194</v>
      </c>
      <c r="E194" s="18" t="str">
        <f t="shared" si="15"/>
        <v>Thursday</v>
      </c>
      <c r="F194" s="82"/>
      <c r="G194" s="13"/>
      <c r="H194" s="13"/>
      <c r="I194" s="11"/>
    </row>
    <row r="195" spans="1:9">
      <c r="A195" s="56">
        <v>41929</v>
      </c>
      <c r="B195" s="12" t="s">
        <v>233</v>
      </c>
      <c r="C195" s="12"/>
      <c r="D195" s="12" t="s">
        <v>195</v>
      </c>
      <c r="E195" s="18" t="str">
        <f t="shared" si="15"/>
        <v>Friday</v>
      </c>
      <c r="F195" s="82" t="s">
        <v>1375</v>
      </c>
      <c r="G195" s="13"/>
      <c r="H195" s="13"/>
      <c r="I195" s="11"/>
    </row>
    <row r="196" spans="1:9" ht="51">
      <c r="A196" s="56">
        <v>41930</v>
      </c>
      <c r="B196" s="12" t="s">
        <v>234</v>
      </c>
      <c r="C196" s="12"/>
      <c r="D196" s="12" t="s">
        <v>196</v>
      </c>
      <c r="E196" s="18" t="str">
        <f t="shared" si="15"/>
        <v>Saturday</v>
      </c>
      <c r="F196" s="82" t="s">
        <v>1374</v>
      </c>
      <c r="G196" s="13"/>
      <c r="H196" s="13"/>
      <c r="I196" s="11"/>
    </row>
    <row r="197" spans="1:9">
      <c r="A197" s="56">
        <v>41931</v>
      </c>
      <c r="B197" s="12" t="s">
        <v>235</v>
      </c>
      <c r="C197" s="12"/>
      <c r="D197" s="12" t="s">
        <v>197</v>
      </c>
      <c r="E197" s="18" t="str">
        <f t="shared" si="15"/>
        <v>Sunday</v>
      </c>
      <c r="F197" s="82"/>
      <c r="G197" s="13"/>
      <c r="H197" s="13"/>
      <c r="I197" s="11"/>
    </row>
    <row r="198" spans="1:9">
      <c r="A198" s="56">
        <v>41932</v>
      </c>
      <c r="B198" s="12" t="s">
        <v>237</v>
      </c>
      <c r="C198" s="12"/>
      <c r="D198" s="12" t="s">
        <v>217</v>
      </c>
      <c r="E198" s="18" t="str">
        <f t="shared" si="15"/>
        <v>Monday</v>
      </c>
      <c r="F198" s="82" t="s">
        <v>1377</v>
      </c>
      <c r="G198" s="13"/>
      <c r="H198" s="13"/>
      <c r="I198" s="11"/>
    </row>
    <row r="199" spans="1:9">
      <c r="A199" s="56">
        <v>41933</v>
      </c>
      <c r="B199" s="12" t="s">
        <v>238</v>
      </c>
      <c r="C199" s="12"/>
      <c r="D199" s="12" t="s">
        <v>218</v>
      </c>
      <c r="E199" s="18" t="str">
        <f t="shared" si="15"/>
        <v>Tuesday</v>
      </c>
      <c r="F199" s="82" t="s">
        <v>1376</v>
      </c>
      <c r="G199" s="13"/>
      <c r="H199" s="13"/>
      <c r="I199" s="11"/>
    </row>
    <row r="200" spans="1:9" ht="38.25">
      <c r="A200" s="56">
        <v>41934</v>
      </c>
      <c r="B200" s="12" t="s">
        <v>239</v>
      </c>
      <c r="C200" s="12"/>
      <c r="D200" s="12" t="s">
        <v>219</v>
      </c>
      <c r="E200" s="18" t="str">
        <f t="shared" ref="E200:E209" si="16">VLOOKUP(WEEKDAY(A200,1),$P$4:$Q$10,2,0)</f>
        <v>Wednesday</v>
      </c>
      <c r="F200" s="82" t="s">
        <v>1379</v>
      </c>
      <c r="G200" s="13"/>
      <c r="H200" s="13"/>
      <c r="I200" s="11"/>
    </row>
    <row r="201" spans="1:9" ht="38.25">
      <c r="A201" s="56">
        <v>41935</v>
      </c>
      <c r="B201" s="12" t="s">
        <v>240</v>
      </c>
      <c r="C201" s="12"/>
      <c r="D201" s="12" t="s">
        <v>220</v>
      </c>
      <c r="E201" s="18" t="str">
        <f t="shared" si="16"/>
        <v>Thursday</v>
      </c>
      <c r="F201" s="82" t="s">
        <v>1378</v>
      </c>
      <c r="G201" s="13"/>
      <c r="H201" s="13"/>
      <c r="I201" s="11"/>
    </row>
    <row r="202" spans="1:9" ht="25.5">
      <c r="A202" s="56">
        <v>41936</v>
      </c>
      <c r="B202" s="12" t="s">
        <v>241</v>
      </c>
      <c r="C202" s="12"/>
      <c r="D202" s="12" t="s">
        <v>221</v>
      </c>
      <c r="E202" s="18" t="str">
        <f t="shared" si="16"/>
        <v>Friday</v>
      </c>
      <c r="F202" s="82" t="s">
        <v>1420</v>
      </c>
      <c r="G202" s="13"/>
      <c r="H202" s="13"/>
      <c r="I202" s="11"/>
    </row>
    <row r="203" spans="1:9">
      <c r="A203" s="56">
        <v>41937</v>
      </c>
      <c r="B203" s="12" t="s">
        <v>242</v>
      </c>
      <c r="C203" s="12"/>
      <c r="D203" s="12" t="s">
        <v>222</v>
      </c>
      <c r="E203" s="18" t="str">
        <f t="shared" si="16"/>
        <v>Saturday</v>
      </c>
      <c r="F203" s="82" t="s">
        <v>1419</v>
      </c>
      <c r="G203" s="13"/>
      <c r="H203" s="13"/>
      <c r="I203" s="11"/>
    </row>
    <row r="204" spans="1:9">
      <c r="A204" s="56">
        <v>41938</v>
      </c>
      <c r="B204" s="12" t="s">
        <v>243</v>
      </c>
      <c r="C204" s="12"/>
      <c r="D204" s="12" t="s">
        <v>223</v>
      </c>
      <c r="E204" s="18" t="str">
        <f t="shared" si="16"/>
        <v>Sunday</v>
      </c>
      <c r="F204" s="82"/>
      <c r="G204" s="13"/>
      <c r="H204" s="13"/>
      <c r="I204" s="11"/>
    </row>
    <row r="205" spans="1:9">
      <c r="A205" s="56">
        <v>41939</v>
      </c>
      <c r="B205" s="12" t="s">
        <v>1364</v>
      </c>
      <c r="C205" s="12"/>
      <c r="D205" s="12" t="s">
        <v>224</v>
      </c>
      <c r="E205" s="18" t="str">
        <f t="shared" si="16"/>
        <v>Monday</v>
      </c>
      <c r="F205" s="82"/>
      <c r="G205" s="13"/>
      <c r="H205" s="13"/>
      <c r="I205" s="11"/>
    </row>
    <row r="206" spans="1:9">
      <c r="A206" s="56">
        <v>41940</v>
      </c>
      <c r="B206" s="12" t="s">
        <v>1365</v>
      </c>
      <c r="C206" s="12"/>
      <c r="D206" s="12" t="s">
        <v>225</v>
      </c>
      <c r="E206" s="18" t="str">
        <f t="shared" si="16"/>
        <v>Tuesday</v>
      </c>
      <c r="F206" s="82" t="s">
        <v>1421</v>
      </c>
      <c r="G206" s="13"/>
      <c r="H206" s="13"/>
      <c r="I206" s="11"/>
    </row>
    <row r="207" spans="1:9">
      <c r="A207" s="56">
        <v>41941</v>
      </c>
      <c r="B207" s="12" t="s">
        <v>1366</v>
      </c>
      <c r="C207" s="12"/>
      <c r="D207" s="12" t="s">
        <v>226</v>
      </c>
      <c r="E207" s="18" t="str">
        <f t="shared" si="16"/>
        <v>Wednesday</v>
      </c>
      <c r="F207" s="82" t="s">
        <v>1422</v>
      </c>
      <c r="G207" s="13"/>
      <c r="H207" s="13"/>
      <c r="I207" s="11"/>
    </row>
    <row r="208" spans="1:9">
      <c r="A208" s="56">
        <v>41942</v>
      </c>
      <c r="B208" s="12" t="s">
        <v>1367</v>
      </c>
      <c r="C208" s="12"/>
      <c r="D208" s="12" t="s">
        <v>227</v>
      </c>
      <c r="E208" s="18" t="str">
        <f t="shared" si="16"/>
        <v>Thursday</v>
      </c>
      <c r="F208" s="82"/>
      <c r="G208" s="13"/>
      <c r="H208" s="13"/>
      <c r="I208" s="11"/>
    </row>
    <row r="209" spans="1:9">
      <c r="A209" s="56">
        <v>41943</v>
      </c>
      <c r="B209" s="12" t="s">
        <v>1368</v>
      </c>
      <c r="C209" s="12"/>
      <c r="D209" s="12" t="s">
        <v>228</v>
      </c>
      <c r="E209" s="18" t="str">
        <f t="shared" si="16"/>
        <v>Friday</v>
      </c>
      <c r="F209" s="82"/>
      <c r="G209" s="13"/>
      <c r="H209" s="13"/>
      <c r="I209" s="11"/>
    </row>
    <row r="210" spans="1:9">
      <c r="A210" s="56">
        <v>41944</v>
      </c>
      <c r="B210" s="12" t="s">
        <v>1369</v>
      </c>
      <c r="C210" s="12"/>
      <c r="D210" s="12" t="s">
        <v>229</v>
      </c>
      <c r="E210" s="18" t="str">
        <f t="shared" ref="E210:E214" si="17">VLOOKUP(WEEKDAY(A210,1),$P$4:$Q$10,2,0)</f>
        <v>Saturday</v>
      </c>
      <c r="F210" s="82" t="s">
        <v>1424</v>
      </c>
      <c r="G210" s="13"/>
      <c r="H210" s="13"/>
      <c r="I210" s="11"/>
    </row>
    <row r="211" spans="1:9" ht="25.5">
      <c r="A211" s="56">
        <v>41945</v>
      </c>
      <c r="B211" s="12" t="s">
        <v>1370</v>
      </c>
      <c r="C211" s="12"/>
      <c r="D211" s="12" t="s">
        <v>230</v>
      </c>
      <c r="E211" s="18" t="str">
        <f t="shared" si="17"/>
        <v>Sunday</v>
      </c>
      <c r="F211" s="82" t="s">
        <v>1423</v>
      </c>
      <c r="G211" s="13"/>
      <c r="H211" s="13"/>
      <c r="I211" s="11"/>
    </row>
    <row r="212" spans="1:9">
      <c r="A212" s="56">
        <v>41946</v>
      </c>
      <c r="B212" s="12" t="s">
        <v>1371</v>
      </c>
      <c r="C212" s="12"/>
      <c r="D212" s="12" t="s">
        <v>231</v>
      </c>
      <c r="E212" s="18" t="str">
        <f t="shared" si="17"/>
        <v>Monday</v>
      </c>
      <c r="F212" s="82" t="s">
        <v>1425</v>
      </c>
      <c r="G212" s="13"/>
      <c r="H212" s="13"/>
      <c r="I212" s="11"/>
    </row>
    <row r="213" spans="1:9">
      <c r="A213" s="56">
        <v>41947</v>
      </c>
      <c r="B213" s="12" t="s">
        <v>1372</v>
      </c>
      <c r="C213" s="12"/>
      <c r="D213" s="12" t="s">
        <v>232</v>
      </c>
      <c r="E213" s="18" t="str">
        <f t="shared" si="17"/>
        <v>Tuesday</v>
      </c>
      <c r="F213" s="82"/>
      <c r="G213" s="13"/>
      <c r="H213" s="13"/>
      <c r="I213" s="11"/>
    </row>
    <row r="214" spans="1:9">
      <c r="A214" s="56">
        <v>41948</v>
      </c>
      <c r="B214" s="12" t="s">
        <v>1373</v>
      </c>
      <c r="C214" s="12"/>
      <c r="D214" s="12" t="s">
        <v>233</v>
      </c>
      <c r="E214" s="18" t="str">
        <f t="shared" si="17"/>
        <v>Wednesday</v>
      </c>
      <c r="F214" s="82"/>
      <c r="G214" s="13"/>
      <c r="H214" s="13"/>
      <c r="I214" s="11"/>
    </row>
    <row r="215" spans="1:9" ht="25.5">
      <c r="A215" s="56">
        <v>41949</v>
      </c>
      <c r="B215" s="12" t="s">
        <v>1383</v>
      </c>
      <c r="C215" s="12"/>
      <c r="D215" s="12" t="s">
        <v>234</v>
      </c>
      <c r="E215" s="18" t="str">
        <f t="shared" ref="E215:E239" si="18">VLOOKUP(WEEKDAY(A215,1),$P$4:$Q$10,2,0)</f>
        <v>Thursday</v>
      </c>
      <c r="F215" s="82" t="s">
        <v>1430</v>
      </c>
      <c r="G215" s="13"/>
      <c r="H215" s="13"/>
      <c r="I215" s="11"/>
    </row>
    <row r="216" spans="1:9">
      <c r="A216" s="56">
        <v>41950</v>
      </c>
      <c r="B216" s="12" t="s">
        <v>1384</v>
      </c>
      <c r="C216" s="12"/>
      <c r="D216" s="12" t="s">
        <v>235</v>
      </c>
      <c r="E216" s="18" t="str">
        <f t="shared" si="18"/>
        <v>Friday</v>
      </c>
      <c r="F216" s="82"/>
      <c r="G216" s="13"/>
      <c r="H216" s="13"/>
      <c r="I216" s="11"/>
    </row>
    <row r="217" spans="1:9">
      <c r="A217" s="56">
        <v>41951</v>
      </c>
      <c r="B217" s="12" t="s">
        <v>1385</v>
      </c>
      <c r="C217" s="12"/>
      <c r="D217" s="12" t="s">
        <v>237</v>
      </c>
      <c r="E217" s="18" t="str">
        <f t="shared" si="18"/>
        <v>Saturday</v>
      </c>
      <c r="F217" s="82"/>
      <c r="G217" s="13"/>
      <c r="H217" s="13"/>
      <c r="I217" s="11"/>
    </row>
    <row r="218" spans="1:9">
      <c r="A218" s="56">
        <v>41952</v>
      </c>
      <c r="B218" s="12" t="s">
        <v>1386</v>
      </c>
      <c r="C218" s="12"/>
      <c r="D218" s="12" t="s">
        <v>238</v>
      </c>
      <c r="E218" s="18" t="str">
        <f t="shared" si="18"/>
        <v>Sunday</v>
      </c>
      <c r="F218" s="82"/>
      <c r="G218" s="13"/>
      <c r="H218" s="13"/>
      <c r="I218" s="11"/>
    </row>
    <row r="219" spans="1:9">
      <c r="A219" s="56">
        <v>41953</v>
      </c>
      <c r="B219" s="12" t="s">
        <v>1387</v>
      </c>
      <c r="C219" s="12"/>
      <c r="D219" s="12" t="s">
        <v>239</v>
      </c>
      <c r="E219" s="18" t="str">
        <f t="shared" si="18"/>
        <v>Monday</v>
      </c>
      <c r="F219" s="82"/>
      <c r="G219" s="13"/>
      <c r="H219" s="13"/>
      <c r="I219" s="11"/>
    </row>
    <row r="220" spans="1:9">
      <c r="A220" s="56">
        <v>41954</v>
      </c>
      <c r="B220" s="12" t="s">
        <v>1388</v>
      </c>
      <c r="C220" s="12"/>
      <c r="D220" s="12" t="s">
        <v>240</v>
      </c>
      <c r="E220" s="18" t="str">
        <f t="shared" si="18"/>
        <v>Tuesday</v>
      </c>
      <c r="F220" s="82"/>
      <c r="G220" s="13"/>
      <c r="H220" s="13"/>
      <c r="I220" s="11"/>
    </row>
    <row r="221" spans="1:9">
      <c r="A221" s="56">
        <v>41955</v>
      </c>
      <c r="B221" s="12" t="s">
        <v>1389</v>
      </c>
      <c r="C221" s="12"/>
      <c r="D221" s="12" t="s">
        <v>241</v>
      </c>
      <c r="E221" s="18" t="str">
        <f t="shared" si="18"/>
        <v>Wednesday</v>
      </c>
      <c r="F221" s="82"/>
      <c r="G221" s="13"/>
      <c r="H221" s="13"/>
      <c r="I221" s="11"/>
    </row>
    <row r="222" spans="1:9">
      <c r="A222" s="56">
        <v>41956</v>
      </c>
      <c r="B222" s="12" t="s">
        <v>1390</v>
      </c>
      <c r="C222" s="12"/>
      <c r="D222" s="12" t="s">
        <v>242</v>
      </c>
      <c r="E222" s="18" t="str">
        <f t="shared" si="18"/>
        <v>Thursday</v>
      </c>
      <c r="F222" s="82" t="s">
        <v>1418</v>
      </c>
      <c r="G222" s="13"/>
      <c r="H222" s="13"/>
      <c r="I222" s="11"/>
    </row>
    <row r="223" spans="1:9">
      <c r="A223" s="56">
        <v>41957</v>
      </c>
      <c r="B223" s="12" t="s">
        <v>1391</v>
      </c>
      <c r="C223" s="12"/>
      <c r="D223" s="12" t="s">
        <v>243</v>
      </c>
      <c r="E223" s="18" t="str">
        <f t="shared" si="18"/>
        <v>Friday</v>
      </c>
      <c r="F223" s="82"/>
      <c r="G223" s="13"/>
      <c r="H223" s="13"/>
      <c r="I223" s="11"/>
    </row>
    <row r="224" spans="1:9">
      <c r="A224" s="56">
        <v>41958</v>
      </c>
      <c r="B224" s="12" t="s">
        <v>1392</v>
      </c>
      <c r="C224" s="12"/>
      <c r="D224" s="12" t="s">
        <v>1364</v>
      </c>
      <c r="E224" s="18" t="str">
        <f t="shared" si="18"/>
        <v>Saturday</v>
      </c>
      <c r="F224" s="82"/>
      <c r="G224" s="13"/>
      <c r="H224" s="13"/>
      <c r="I224" s="11"/>
    </row>
    <row r="225" spans="1:9">
      <c r="A225" s="56">
        <v>41959</v>
      </c>
      <c r="B225" s="12" t="s">
        <v>1393</v>
      </c>
      <c r="C225" s="12"/>
      <c r="D225" s="12" t="s">
        <v>1365</v>
      </c>
      <c r="E225" s="18" t="str">
        <f t="shared" si="18"/>
        <v>Sunday</v>
      </c>
      <c r="F225" s="82"/>
      <c r="G225" s="13"/>
      <c r="H225" s="13"/>
      <c r="I225" s="11"/>
    </row>
    <row r="226" spans="1:9">
      <c r="A226" s="56">
        <v>41960</v>
      </c>
      <c r="B226" s="12" t="s">
        <v>1394</v>
      </c>
      <c r="C226" s="12"/>
      <c r="D226" s="12" t="s">
        <v>1366</v>
      </c>
      <c r="E226" s="18" t="str">
        <f t="shared" si="18"/>
        <v>Monday</v>
      </c>
      <c r="F226" s="82" t="s">
        <v>1427</v>
      </c>
      <c r="G226" s="13"/>
      <c r="H226" s="13"/>
      <c r="I226" s="11"/>
    </row>
    <row r="227" spans="1:9">
      <c r="A227" s="56">
        <v>41961</v>
      </c>
      <c r="B227" s="12" t="s">
        <v>1395</v>
      </c>
      <c r="C227" s="12"/>
      <c r="D227" s="12" t="s">
        <v>1367</v>
      </c>
      <c r="E227" s="18" t="str">
        <f t="shared" si="18"/>
        <v>Tuesday</v>
      </c>
      <c r="F227" s="82"/>
      <c r="G227" s="13"/>
      <c r="H227" s="13"/>
      <c r="I227" s="11"/>
    </row>
    <row r="228" spans="1:9">
      <c r="A228" s="56">
        <v>41962</v>
      </c>
      <c r="B228" s="12" t="s">
        <v>1396</v>
      </c>
      <c r="C228" s="12"/>
      <c r="D228" s="12" t="s">
        <v>1368</v>
      </c>
      <c r="E228" s="18" t="str">
        <f t="shared" si="18"/>
        <v>Wednesday</v>
      </c>
      <c r="F228" s="82"/>
      <c r="G228" s="13"/>
      <c r="H228" s="13"/>
      <c r="I228" s="11"/>
    </row>
    <row r="229" spans="1:9">
      <c r="A229" s="56">
        <v>41963</v>
      </c>
      <c r="B229" s="12" t="s">
        <v>1397</v>
      </c>
      <c r="C229" s="12"/>
      <c r="D229" s="12" t="s">
        <v>1369</v>
      </c>
      <c r="E229" s="18" t="str">
        <f t="shared" si="18"/>
        <v>Thursday</v>
      </c>
      <c r="F229" s="82"/>
      <c r="G229" s="13"/>
      <c r="H229" s="13"/>
      <c r="I229" s="11"/>
    </row>
    <row r="230" spans="1:9" ht="63.75">
      <c r="A230" s="56">
        <v>41964</v>
      </c>
      <c r="B230" s="12" t="s">
        <v>1398</v>
      </c>
      <c r="C230" s="12"/>
      <c r="D230" s="12" t="s">
        <v>1370</v>
      </c>
      <c r="E230" s="18" t="str">
        <f t="shared" si="18"/>
        <v>Friday</v>
      </c>
      <c r="F230" s="82" t="s">
        <v>1428</v>
      </c>
      <c r="G230" s="13"/>
      <c r="H230" s="13"/>
      <c r="I230" s="11"/>
    </row>
    <row r="231" spans="1:9" ht="38.25">
      <c r="A231" s="56">
        <v>41965</v>
      </c>
      <c r="B231" s="12" t="s">
        <v>1399</v>
      </c>
      <c r="C231" s="12"/>
      <c r="D231" s="12" t="s">
        <v>1371</v>
      </c>
      <c r="E231" s="18" t="str">
        <f t="shared" si="18"/>
        <v>Saturday</v>
      </c>
      <c r="F231" s="82" t="s">
        <v>1426</v>
      </c>
      <c r="G231" s="13"/>
      <c r="H231" s="13"/>
      <c r="I231" s="11"/>
    </row>
    <row r="232" spans="1:9" ht="51">
      <c r="A232" s="56">
        <v>41966</v>
      </c>
      <c r="B232" s="12" t="s">
        <v>1400</v>
      </c>
      <c r="C232" s="12"/>
      <c r="D232" s="12" t="s">
        <v>1372</v>
      </c>
      <c r="E232" s="18" t="str">
        <f t="shared" si="18"/>
        <v>Sunday</v>
      </c>
      <c r="F232" s="82" t="s">
        <v>1429</v>
      </c>
      <c r="G232" s="13"/>
      <c r="H232" s="13"/>
      <c r="I232" s="11"/>
    </row>
    <row r="233" spans="1:9">
      <c r="A233" s="56">
        <v>41967</v>
      </c>
      <c r="B233" s="12" t="s">
        <v>1401</v>
      </c>
      <c r="C233" s="12"/>
      <c r="D233" s="12" t="s">
        <v>1373</v>
      </c>
      <c r="E233" s="18" t="str">
        <f t="shared" si="18"/>
        <v>Monday</v>
      </c>
      <c r="F233" s="82" t="s">
        <v>1417</v>
      </c>
      <c r="G233" s="13"/>
      <c r="H233" s="13"/>
      <c r="I233" s="11"/>
    </row>
    <row r="234" spans="1:9">
      <c r="A234" s="56">
        <v>41968</v>
      </c>
      <c r="B234" s="12" t="s">
        <v>1402</v>
      </c>
      <c r="C234" s="12"/>
      <c r="D234" s="12" t="s">
        <v>1383</v>
      </c>
      <c r="E234" s="18" t="str">
        <f t="shared" si="18"/>
        <v>Tuesday</v>
      </c>
      <c r="F234" s="82" t="s">
        <v>1526</v>
      </c>
      <c r="G234" s="13"/>
      <c r="H234" s="13"/>
      <c r="I234" s="11"/>
    </row>
    <row r="235" spans="1:9" ht="51">
      <c r="A235" s="56">
        <v>41969</v>
      </c>
      <c r="B235" s="12" t="s">
        <v>1403</v>
      </c>
      <c r="C235" s="12"/>
      <c r="D235" s="12" t="s">
        <v>1384</v>
      </c>
      <c r="E235" s="18" t="str">
        <f t="shared" si="18"/>
        <v>Wednesday</v>
      </c>
      <c r="F235" s="82" t="s">
        <v>1513</v>
      </c>
      <c r="G235" s="13"/>
      <c r="H235" s="13"/>
      <c r="I235" s="11"/>
    </row>
    <row r="236" spans="1:9" ht="25.5">
      <c r="A236" s="56">
        <v>41970</v>
      </c>
      <c r="B236" s="12" t="s">
        <v>1404</v>
      </c>
      <c r="C236" s="12"/>
      <c r="D236" s="12" t="s">
        <v>1385</v>
      </c>
      <c r="E236" s="18" t="str">
        <f t="shared" si="18"/>
        <v>Thursday</v>
      </c>
      <c r="F236" s="82" t="s">
        <v>1514</v>
      </c>
      <c r="G236" s="13"/>
      <c r="H236" s="13"/>
      <c r="I236" s="11"/>
    </row>
    <row r="237" spans="1:9">
      <c r="A237" s="56">
        <v>41971</v>
      </c>
      <c r="B237" s="12" t="s">
        <v>1405</v>
      </c>
      <c r="C237" s="12"/>
      <c r="D237" s="12" t="s">
        <v>1386</v>
      </c>
      <c r="E237" s="18" t="str">
        <f t="shared" si="18"/>
        <v>Friday</v>
      </c>
      <c r="F237" s="82"/>
      <c r="G237" s="13"/>
      <c r="H237" s="13"/>
      <c r="I237" s="11"/>
    </row>
    <row r="238" spans="1:9">
      <c r="A238" s="56">
        <v>41972</v>
      </c>
      <c r="B238" s="12" t="s">
        <v>1406</v>
      </c>
      <c r="C238" s="12"/>
      <c r="D238" s="12" t="s">
        <v>1387</v>
      </c>
      <c r="E238" s="18" t="str">
        <f t="shared" si="18"/>
        <v>Saturday</v>
      </c>
      <c r="F238" s="82"/>
      <c r="G238" s="13"/>
      <c r="H238" s="13"/>
      <c r="I238" s="11"/>
    </row>
    <row r="239" spans="1:9">
      <c r="A239" s="56">
        <v>41973</v>
      </c>
      <c r="B239" s="12" t="s">
        <v>1407</v>
      </c>
      <c r="C239" s="12"/>
      <c r="D239" s="12" t="s">
        <v>1388</v>
      </c>
      <c r="E239" s="18" t="str">
        <f t="shared" si="18"/>
        <v>Sunday</v>
      </c>
      <c r="F239" s="82"/>
      <c r="G239" s="13"/>
      <c r="H239" s="13"/>
      <c r="I239" s="11"/>
    </row>
    <row r="240" spans="1:9">
      <c r="A240" s="56">
        <v>41974</v>
      </c>
      <c r="B240" s="12" t="s">
        <v>1431</v>
      </c>
      <c r="C240" s="12"/>
      <c r="D240" s="12" t="s">
        <v>1389</v>
      </c>
      <c r="E240" s="18" t="str">
        <f t="shared" ref="E240:E260" si="19">VLOOKUP(WEEKDAY(A240,1),$P$4:$Q$10,2,0)</f>
        <v>Monday</v>
      </c>
      <c r="F240" s="82"/>
      <c r="G240" s="13"/>
      <c r="H240" s="13"/>
      <c r="I240" s="11"/>
    </row>
    <row r="241" spans="1:9">
      <c r="A241" s="56">
        <v>41975</v>
      </c>
      <c r="B241" s="12" t="s">
        <v>1432</v>
      </c>
      <c r="C241" s="12"/>
      <c r="D241" s="12" t="s">
        <v>1390</v>
      </c>
      <c r="E241" s="18" t="str">
        <f t="shared" si="19"/>
        <v>Tuesday</v>
      </c>
      <c r="F241" s="82"/>
      <c r="G241" s="13"/>
      <c r="H241" s="13"/>
      <c r="I241" s="11"/>
    </row>
    <row r="242" spans="1:9">
      <c r="A242" s="56">
        <v>41976</v>
      </c>
      <c r="B242" s="12" t="s">
        <v>1433</v>
      </c>
      <c r="C242" s="12"/>
      <c r="D242" s="12" t="s">
        <v>1391</v>
      </c>
      <c r="E242" s="18" t="str">
        <f t="shared" si="19"/>
        <v>Wednesday</v>
      </c>
      <c r="F242" s="82" t="s">
        <v>1509</v>
      </c>
      <c r="G242" s="13"/>
      <c r="H242" s="13"/>
      <c r="I242" s="11"/>
    </row>
    <row r="243" spans="1:9">
      <c r="A243" s="56">
        <v>41977</v>
      </c>
      <c r="B243" s="12" t="s">
        <v>1434</v>
      </c>
      <c r="C243" s="12"/>
      <c r="D243" s="12" t="s">
        <v>1392</v>
      </c>
      <c r="E243" s="18" t="str">
        <f t="shared" si="19"/>
        <v>Thursday</v>
      </c>
      <c r="F243" s="82" t="s">
        <v>1504</v>
      </c>
      <c r="G243" s="13"/>
      <c r="H243" s="13"/>
      <c r="I243" s="11"/>
    </row>
    <row r="244" spans="1:9" ht="38.25">
      <c r="A244" s="56">
        <v>41978</v>
      </c>
      <c r="B244" s="12" t="s">
        <v>1435</v>
      </c>
      <c r="C244" s="12"/>
      <c r="D244" s="12" t="s">
        <v>1393</v>
      </c>
      <c r="E244" s="18" t="str">
        <f t="shared" si="19"/>
        <v>Friday</v>
      </c>
      <c r="F244" s="82" t="s">
        <v>1515</v>
      </c>
      <c r="G244" s="13"/>
      <c r="H244" s="13"/>
      <c r="I244" s="11"/>
    </row>
    <row r="245" spans="1:9">
      <c r="A245" s="56">
        <v>41979</v>
      </c>
      <c r="B245" s="12" t="s">
        <v>1436</v>
      </c>
      <c r="C245" s="12"/>
      <c r="D245" s="12" t="s">
        <v>1394</v>
      </c>
      <c r="E245" s="18" t="str">
        <f t="shared" si="19"/>
        <v>Saturday</v>
      </c>
      <c r="F245" s="82"/>
      <c r="G245" s="13"/>
      <c r="H245" s="13"/>
      <c r="I245" s="11"/>
    </row>
    <row r="246" spans="1:9">
      <c r="A246" s="56">
        <v>41980</v>
      </c>
      <c r="B246" s="12" t="s">
        <v>1437</v>
      </c>
      <c r="C246" s="12"/>
      <c r="D246" s="12" t="s">
        <v>1395</v>
      </c>
      <c r="E246" s="18" t="str">
        <f t="shared" si="19"/>
        <v>Sunday</v>
      </c>
      <c r="F246" s="82"/>
      <c r="G246" s="13"/>
      <c r="H246" s="13"/>
      <c r="I246" s="11"/>
    </row>
    <row r="247" spans="1:9">
      <c r="A247" s="56">
        <v>41981</v>
      </c>
      <c r="B247" s="12" t="s">
        <v>1438</v>
      </c>
      <c r="C247" s="12"/>
      <c r="D247" s="12" t="s">
        <v>1396</v>
      </c>
      <c r="E247" s="18" t="str">
        <f t="shared" si="19"/>
        <v>Monday</v>
      </c>
      <c r="F247" s="82" t="s">
        <v>1506</v>
      </c>
      <c r="G247" s="13"/>
      <c r="H247" s="13"/>
      <c r="I247" s="11"/>
    </row>
    <row r="248" spans="1:9">
      <c r="A248" s="56">
        <v>41982</v>
      </c>
      <c r="B248" s="12" t="s">
        <v>1439</v>
      </c>
      <c r="C248" s="12"/>
      <c r="D248" s="12" t="s">
        <v>1397</v>
      </c>
      <c r="E248" s="18" t="str">
        <f t="shared" si="19"/>
        <v>Tuesday</v>
      </c>
      <c r="F248" s="82"/>
      <c r="G248" s="13"/>
      <c r="H248" s="13"/>
      <c r="I248" s="11"/>
    </row>
    <row r="249" spans="1:9">
      <c r="A249" s="56">
        <v>41983</v>
      </c>
      <c r="B249" s="12" t="s">
        <v>1440</v>
      </c>
      <c r="C249" s="12"/>
      <c r="D249" s="12" t="s">
        <v>1398</v>
      </c>
      <c r="E249" s="18" t="str">
        <f t="shared" si="19"/>
        <v>Wednesday</v>
      </c>
      <c r="F249" s="82"/>
      <c r="G249" s="13"/>
      <c r="H249" s="13"/>
      <c r="I249" s="11"/>
    </row>
    <row r="250" spans="1:9">
      <c r="A250" s="56">
        <v>41984</v>
      </c>
      <c r="B250" s="12" t="s">
        <v>1441</v>
      </c>
      <c r="C250" s="12"/>
      <c r="D250" s="12" t="s">
        <v>1399</v>
      </c>
      <c r="E250" s="18" t="str">
        <f t="shared" si="19"/>
        <v>Thursday</v>
      </c>
      <c r="F250" s="82"/>
      <c r="G250" s="13"/>
      <c r="H250" s="13"/>
      <c r="I250" s="11"/>
    </row>
    <row r="251" spans="1:9">
      <c r="A251" s="56">
        <v>41985</v>
      </c>
      <c r="B251" s="12" t="s">
        <v>1442</v>
      </c>
      <c r="C251" s="12"/>
      <c r="D251" s="12" t="s">
        <v>1400</v>
      </c>
      <c r="E251" s="18" t="str">
        <f t="shared" si="19"/>
        <v>Friday</v>
      </c>
      <c r="F251" s="82"/>
      <c r="G251" s="13"/>
      <c r="H251" s="13"/>
      <c r="I251" s="11"/>
    </row>
    <row r="252" spans="1:9">
      <c r="A252" s="56">
        <v>41986</v>
      </c>
      <c r="B252" s="12" t="s">
        <v>1443</v>
      </c>
      <c r="C252" s="12"/>
      <c r="D252" s="12" t="s">
        <v>1401</v>
      </c>
      <c r="E252" s="18" t="str">
        <f t="shared" si="19"/>
        <v>Saturday</v>
      </c>
      <c r="F252" s="82"/>
      <c r="G252" s="13"/>
      <c r="H252" s="13"/>
      <c r="I252" s="11"/>
    </row>
    <row r="253" spans="1:9" ht="38.25">
      <c r="A253" s="56">
        <v>41987</v>
      </c>
      <c r="B253" s="12" t="s">
        <v>1444</v>
      </c>
      <c r="C253" s="12"/>
      <c r="D253" s="12" t="s">
        <v>1402</v>
      </c>
      <c r="E253" s="18" t="str">
        <f t="shared" si="19"/>
        <v>Sunday</v>
      </c>
      <c r="F253" s="82" t="s">
        <v>1505</v>
      </c>
      <c r="G253" s="13"/>
      <c r="H253" s="13"/>
      <c r="I253" s="11"/>
    </row>
    <row r="254" spans="1:9" ht="25.5">
      <c r="A254" s="56">
        <v>41988</v>
      </c>
      <c r="B254" s="12" t="s">
        <v>1445</v>
      </c>
      <c r="C254" s="12"/>
      <c r="D254" s="12" t="s">
        <v>1403</v>
      </c>
      <c r="E254" s="18" t="str">
        <f t="shared" si="19"/>
        <v>Monday</v>
      </c>
      <c r="F254" s="82" t="s">
        <v>1508</v>
      </c>
      <c r="G254" s="13"/>
      <c r="H254" s="13"/>
      <c r="I254" s="11"/>
    </row>
    <row r="255" spans="1:9">
      <c r="A255" s="56">
        <v>41989</v>
      </c>
      <c r="B255" s="12" t="s">
        <v>1446</v>
      </c>
      <c r="C255" s="12"/>
      <c r="D255" s="12" t="s">
        <v>1404</v>
      </c>
      <c r="E255" s="18" t="str">
        <f t="shared" si="19"/>
        <v>Tuesday</v>
      </c>
      <c r="F255" s="82"/>
      <c r="G255" s="13"/>
      <c r="H255" s="13"/>
      <c r="I255" s="11"/>
    </row>
    <row r="256" spans="1:9">
      <c r="A256" s="56">
        <v>41990</v>
      </c>
      <c r="B256" s="12" t="s">
        <v>1447</v>
      </c>
      <c r="C256" s="12"/>
      <c r="D256" s="12" t="s">
        <v>1405</v>
      </c>
      <c r="E256" s="18" t="str">
        <f t="shared" si="19"/>
        <v>Wednesday</v>
      </c>
      <c r="F256" s="82"/>
      <c r="G256" s="13"/>
      <c r="H256" s="13"/>
      <c r="I256" s="11"/>
    </row>
    <row r="257" spans="1:9" ht="38.25">
      <c r="A257" s="56">
        <v>41991</v>
      </c>
      <c r="B257" s="12" t="s">
        <v>1448</v>
      </c>
      <c r="C257" s="12"/>
      <c r="D257" s="12" t="s">
        <v>1406</v>
      </c>
      <c r="E257" s="18" t="str">
        <f t="shared" si="19"/>
        <v>Thursday</v>
      </c>
      <c r="F257" s="82" t="s">
        <v>1507</v>
      </c>
      <c r="G257" s="13"/>
      <c r="H257" s="13"/>
      <c r="I257" s="11"/>
    </row>
    <row r="258" spans="1:9" ht="63.75">
      <c r="A258" s="56">
        <v>41992</v>
      </c>
      <c r="B258" s="12" t="s">
        <v>1449</v>
      </c>
      <c r="C258" s="12"/>
      <c r="D258" s="12" t="s">
        <v>1407</v>
      </c>
      <c r="E258" s="18" t="str">
        <f t="shared" si="19"/>
        <v>Friday</v>
      </c>
      <c r="F258" s="82" t="s">
        <v>1511</v>
      </c>
      <c r="G258" s="13"/>
      <c r="H258" s="13"/>
      <c r="I258" s="11"/>
    </row>
    <row r="259" spans="1:9">
      <c r="A259" s="56">
        <v>41993</v>
      </c>
      <c r="B259" s="12" t="s">
        <v>1450</v>
      </c>
      <c r="C259" s="12"/>
      <c r="D259" s="12" t="s">
        <v>1431</v>
      </c>
      <c r="E259" s="18" t="str">
        <f t="shared" si="19"/>
        <v>Saturday</v>
      </c>
      <c r="F259" s="82" t="s">
        <v>1510</v>
      </c>
      <c r="G259" s="13"/>
      <c r="H259" s="13"/>
      <c r="I259" s="11"/>
    </row>
    <row r="260" spans="1:9" ht="25.5">
      <c r="A260" s="56">
        <v>41994</v>
      </c>
      <c r="B260" s="12" t="s">
        <v>1451</v>
      </c>
      <c r="C260" s="12"/>
      <c r="D260" s="12" t="s">
        <v>1432</v>
      </c>
      <c r="E260" s="18" t="str">
        <f t="shared" si="19"/>
        <v>Sunday</v>
      </c>
      <c r="F260" s="82" t="s">
        <v>1468</v>
      </c>
      <c r="G260" s="13"/>
      <c r="H260" s="13"/>
      <c r="I260" s="11"/>
    </row>
    <row r="261" spans="1:9">
      <c r="A261" s="56">
        <v>41995</v>
      </c>
      <c r="B261" s="12" t="s">
        <v>1452</v>
      </c>
      <c r="C261" s="12"/>
      <c r="D261" s="12" t="s">
        <v>1433</v>
      </c>
      <c r="E261" s="18" t="str">
        <f t="shared" ref="E261:E276" si="20">VLOOKUP(WEEKDAY(A261,1),$P$4:$Q$10,2,0)</f>
        <v>Monday</v>
      </c>
      <c r="F261" s="82" t="s">
        <v>1512</v>
      </c>
      <c r="G261" s="13"/>
      <c r="H261" s="13"/>
      <c r="I261" s="11"/>
    </row>
    <row r="262" spans="1:9">
      <c r="A262" s="56">
        <v>41996</v>
      </c>
      <c r="B262" s="12" t="s">
        <v>1453</v>
      </c>
      <c r="C262" s="12"/>
      <c r="D262" s="12" t="s">
        <v>1434</v>
      </c>
      <c r="E262" s="18" t="str">
        <f t="shared" si="20"/>
        <v>Tuesday</v>
      </c>
      <c r="F262" s="82" t="s">
        <v>1503</v>
      </c>
      <c r="G262" s="13"/>
      <c r="H262" s="13"/>
      <c r="I262" s="11"/>
    </row>
    <row r="263" spans="1:9">
      <c r="A263" s="56">
        <v>41997</v>
      </c>
      <c r="B263" s="12" t="s">
        <v>1454</v>
      </c>
      <c r="C263" s="12"/>
      <c r="D263" s="12" t="s">
        <v>1435</v>
      </c>
      <c r="E263" s="18" t="str">
        <f t="shared" si="20"/>
        <v>Wednesday</v>
      </c>
      <c r="F263" s="82"/>
      <c r="G263" s="13"/>
      <c r="H263" s="13"/>
      <c r="I263" s="11"/>
    </row>
    <row r="264" spans="1:9">
      <c r="A264" s="56">
        <v>41998</v>
      </c>
      <c r="B264" s="12" t="s">
        <v>1455</v>
      </c>
      <c r="C264" s="12"/>
      <c r="D264" s="12" t="s">
        <v>1436</v>
      </c>
      <c r="E264" s="18" t="str">
        <f t="shared" si="20"/>
        <v>Thursday</v>
      </c>
      <c r="F264" s="82" t="s">
        <v>1518</v>
      </c>
      <c r="G264" s="13"/>
      <c r="H264" s="13"/>
      <c r="I264" s="11"/>
    </row>
    <row r="265" spans="1:9">
      <c r="A265" s="56">
        <v>41999</v>
      </c>
      <c r="B265" s="12" t="s">
        <v>1456</v>
      </c>
      <c r="C265" s="12"/>
      <c r="D265" s="12" t="s">
        <v>1437</v>
      </c>
      <c r="E265" s="18" t="str">
        <f t="shared" si="20"/>
        <v>Friday</v>
      </c>
      <c r="F265" s="82" t="s">
        <v>1528</v>
      </c>
      <c r="G265" s="13"/>
      <c r="H265" s="13"/>
      <c r="I265" s="11"/>
    </row>
    <row r="266" spans="1:9">
      <c r="A266" s="56">
        <v>42000</v>
      </c>
      <c r="B266" s="12" t="s">
        <v>1457</v>
      </c>
      <c r="C266" s="12"/>
      <c r="D266" s="12" t="s">
        <v>1438</v>
      </c>
      <c r="E266" s="18" t="str">
        <f t="shared" si="20"/>
        <v>Saturday</v>
      </c>
      <c r="F266" s="82"/>
      <c r="G266" s="13"/>
      <c r="H266" s="13"/>
      <c r="I266" s="11"/>
    </row>
    <row r="267" spans="1:9" ht="38.25">
      <c r="A267" s="56">
        <v>42001</v>
      </c>
      <c r="B267" s="12" t="s">
        <v>1458</v>
      </c>
      <c r="C267" s="12"/>
      <c r="D267" s="12" t="s">
        <v>1439</v>
      </c>
      <c r="E267" s="18" t="str">
        <f t="shared" si="20"/>
        <v>Sunday</v>
      </c>
      <c r="F267" s="82" t="s">
        <v>1517</v>
      </c>
      <c r="G267" s="13"/>
      <c r="H267" s="13"/>
      <c r="I267" s="11"/>
    </row>
    <row r="268" spans="1:9">
      <c r="A268" s="56">
        <v>42002</v>
      </c>
      <c r="B268" s="12" t="s">
        <v>1459</v>
      </c>
      <c r="C268" s="12"/>
      <c r="D268" s="12" t="s">
        <v>1440</v>
      </c>
      <c r="E268" s="18" t="str">
        <f t="shared" si="20"/>
        <v>Monday</v>
      </c>
      <c r="F268" s="82" t="s">
        <v>1516</v>
      </c>
      <c r="G268" s="13"/>
      <c r="H268" s="13"/>
      <c r="I268" s="11"/>
    </row>
    <row r="269" spans="1:9" ht="25.5">
      <c r="A269" s="56">
        <v>42003</v>
      </c>
      <c r="B269" s="12" t="s">
        <v>1460</v>
      </c>
      <c r="C269" s="12"/>
      <c r="D269" s="12" t="s">
        <v>1441</v>
      </c>
      <c r="E269" s="18" t="str">
        <f t="shared" si="20"/>
        <v>Tuesday</v>
      </c>
      <c r="F269" s="82" t="s">
        <v>1519</v>
      </c>
      <c r="G269" s="13"/>
      <c r="H269" s="13"/>
      <c r="I269" s="11"/>
    </row>
    <row r="270" spans="1:9">
      <c r="A270" s="56">
        <v>42004</v>
      </c>
      <c r="B270" s="12" t="s">
        <v>1461</v>
      </c>
      <c r="C270" s="12"/>
      <c r="D270" s="12" t="s">
        <v>1442</v>
      </c>
      <c r="E270" s="18" t="str">
        <f t="shared" si="20"/>
        <v>Wednesday</v>
      </c>
      <c r="F270" s="82" t="s">
        <v>1525</v>
      </c>
      <c r="G270" s="13"/>
      <c r="H270" s="13"/>
      <c r="I270" s="11"/>
    </row>
    <row r="271" spans="1:9">
      <c r="A271" s="56">
        <v>42005</v>
      </c>
      <c r="B271" s="12" t="s">
        <v>1462</v>
      </c>
      <c r="C271" s="12"/>
      <c r="D271" s="12" t="s">
        <v>1443</v>
      </c>
      <c r="E271" s="18" t="str">
        <f t="shared" si="20"/>
        <v>Thursday</v>
      </c>
      <c r="F271" s="82"/>
      <c r="G271" s="13"/>
      <c r="H271" s="13"/>
      <c r="I271" s="11"/>
    </row>
    <row r="272" spans="1:9">
      <c r="A272" s="56">
        <v>42006</v>
      </c>
      <c r="B272" s="12" t="s">
        <v>1463</v>
      </c>
      <c r="C272" s="12"/>
      <c r="D272" s="12" t="s">
        <v>1444</v>
      </c>
      <c r="E272" s="18" t="str">
        <f t="shared" si="20"/>
        <v>Friday</v>
      </c>
      <c r="F272" s="82" t="s">
        <v>1527</v>
      </c>
      <c r="G272" s="13"/>
      <c r="H272" s="13"/>
      <c r="I272" s="11"/>
    </row>
    <row r="273" spans="1:9">
      <c r="A273" s="56">
        <v>42007</v>
      </c>
      <c r="B273" s="12" t="s">
        <v>1464</v>
      </c>
      <c r="C273" s="12"/>
      <c r="D273" s="12" t="s">
        <v>1445</v>
      </c>
      <c r="E273" s="18" t="str">
        <f t="shared" si="20"/>
        <v>Saturday</v>
      </c>
      <c r="F273" s="82"/>
      <c r="G273" s="13"/>
      <c r="H273" s="13"/>
      <c r="I273" s="11"/>
    </row>
    <row r="274" spans="1:9" ht="25.5">
      <c r="A274" s="56">
        <v>42008</v>
      </c>
      <c r="B274" s="12" t="s">
        <v>1465</v>
      </c>
      <c r="C274" s="12"/>
      <c r="D274" s="12" t="s">
        <v>1446</v>
      </c>
      <c r="E274" s="18" t="str">
        <f t="shared" si="20"/>
        <v>Sunday</v>
      </c>
      <c r="F274" s="82" t="s">
        <v>1524</v>
      </c>
      <c r="G274" s="13"/>
      <c r="H274" s="13"/>
      <c r="I274" s="11"/>
    </row>
    <row r="275" spans="1:9">
      <c r="A275" s="56">
        <v>42009</v>
      </c>
      <c r="B275" s="12" t="s">
        <v>1466</v>
      </c>
      <c r="C275" s="12"/>
      <c r="D275" s="12" t="s">
        <v>1447</v>
      </c>
      <c r="E275" s="18" t="str">
        <f t="shared" si="20"/>
        <v>Monday</v>
      </c>
      <c r="F275" s="82" t="s">
        <v>1523</v>
      </c>
      <c r="G275" s="13"/>
      <c r="H275" s="13"/>
      <c r="I275" s="11"/>
    </row>
    <row r="276" spans="1:9">
      <c r="A276" s="56">
        <v>42010</v>
      </c>
      <c r="B276" s="12" t="s">
        <v>1467</v>
      </c>
      <c r="C276" s="12"/>
      <c r="D276" s="12" t="s">
        <v>1448</v>
      </c>
      <c r="E276" s="18" t="str">
        <f t="shared" si="20"/>
        <v>Tuesday</v>
      </c>
      <c r="F276" s="82" t="s">
        <v>1522</v>
      </c>
      <c r="G276" s="13"/>
      <c r="H276" s="13"/>
      <c r="I276" s="11"/>
    </row>
    <row r="277" spans="1:9">
      <c r="A277" s="56">
        <v>42011</v>
      </c>
      <c r="B277" s="12" t="s">
        <v>1469</v>
      </c>
      <c r="C277" s="12"/>
      <c r="D277" s="12" t="s">
        <v>1449</v>
      </c>
      <c r="E277" s="18" t="str">
        <f t="shared" ref="E277:E310" si="21">VLOOKUP(WEEKDAY(A277,1),$P$4:$Q$10,2,0)</f>
        <v>Wednesday</v>
      </c>
      <c r="F277" s="82" t="s">
        <v>1521</v>
      </c>
      <c r="G277" s="13"/>
      <c r="H277" s="13"/>
      <c r="I277" s="11"/>
    </row>
    <row r="278" spans="1:9" ht="25.5">
      <c r="A278" s="56">
        <v>42012</v>
      </c>
      <c r="B278" s="12" t="s">
        <v>1470</v>
      </c>
      <c r="C278" s="12"/>
      <c r="D278" s="12" t="s">
        <v>1450</v>
      </c>
      <c r="E278" s="18" t="str">
        <f t="shared" si="21"/>
        <v>Thursday</v>
      </c>
      <c r="F278" s="82" t="s">
        <v>1520</v>
      </c>
      <c r="G278" s="13"/>
      <c r="H278" s="13"/>
      <c r="I278" s="11"/>
    </row>
    <row r="279" spans="1:9" ht="25.5">
      <c r="A279" s="56">
        <v>42013</v>
      </c>
      <c r="B279" s="12" t="s">
        <v>1471</v>
      </c>
      <c r="C279" s="12"/>
      <c r="D279" s="12" t="s">
        <v>1451</v>
      </c>
      <c r="E279" s="18" t="str">
        <f t="shared" si="21"/>
        <v>Friday</v>
      </c>
      <c r="F279" s="82" t="s">
        <v>1534</v>
      </c>
      <c r="G279" s="13"/>
      <c r="H279" s="13"/>
      <c r="I279" s="11"/>
    </row>
    <row r="280" spans="1:9">
      <c r="A280" s="56">
        <v>42014</v>
      </c>
      <c r="B280" s="12" t="s">
        <v>1472</v>
      </c>
      <c r="C280" s="12"/>
      <c r="D280" s="12" t="s">
        <v>1452</v>
      </c>
      <c r="E280" s="18" t="str">
        <f t="shared" si="21"/>
        <v>Saturday</v>
      </c>
      <c r="F280" s="82" t="s">
        <v>1529</v>
      </c>
      <c r="G280" s="13"/>
      <c r="H280" s="13"/>
      <c r="I280" s="11"/>
    </row>
    <row r="281" spans="1:9" ht="38.25">
      <c r="A281" s="56">
        <v>42015</v>
      </c>
      <c r="B281" s="12" t="s">
        <v>1473</v>
      </c>
      <c r="C281" s="12"/>
      <c r="D281" s="12" t="s">
        <v>1453</v>
      </c>
      <c r="E281" s="18" t="str">
        <f t="shared" si="21"/>
        <v>Sunday</v>
      </c>
      <c r="F281" s="82" t="s">
        <v>1535</v>
      </c>
      <c r="G281" s="13"/>
      <c r="H281" s="13"/>
      <c r="I281" s="11"/>
    </row>
    <row r="282" spans="1:9">
      <c r="A282" s="56">
        <v>42016</v>
      </c>
      <c r="B282" s="12" t="s">
        <v>1474</v>
      </c>
      <c r="C282" s="12"/>
      <c r="D282" s="12" t="s">
        <v>1454</v>
      </c>
      <c r="E282" s="18" t="str">
        <f t="shared" si="21"/>
        <v>Monday</v>
      </c>
      <c r="F282" s="82"/>
      <c r="G282" s="13"/>
      <c r="H282" s="13"/>
      <c r="I282" s="11"/>
    </row>
    <row r="283" spans="1:9">
      <c r="A283" s="56">
        <v>42017</v>
      </c>
      <c r="B283" s="12" t="s">
        <v>1475</v>
      </c>
      <c r="C283" s="12"/>
      <c r="D283" s="12" t="s">
        <v>1455</v>
      </c>
      <c r="E283" s="18" t="str">
        <f t="shared" si="21"/>
        <v>Tuesday</v>
      </c>
      <c r="F283" s="82" t="s">
        <v>1536</v>
      </c>
      <c r="G283" s="13"/>
      <c r="H283" s="13"/>
      <c r="I283" s="11"/>
    </row>
    <row r="284" spans="1:9">
      <c r="A284" s="56">
        <v>42018</v>
      </c>
      <c r="B284" s="12" t="s">
        <v>1476</v>
      </c>
      <c r="C284" s="12"/>
      <c r="D284" s="12" t="s">
        <v>1456</v>
      </c>
      <c r="E284" s="18" t="str">
        <f t="shared" si="21"/>
        <v>Wednesday</v>
      </c>
      <c r="F284" s="82"/>
      <c r="G284" s="13"/>
      <c r="H284" s="13"/>
      <c r="I284" s="11"/>
    </row>
    <row r="285" spans="1:9">
      <c r="A285" s="56">
        <v>42019</v>
      </c>
      <c r="B285" s="12" t="s">
        <v>1477</v>
      </c>
      <c r="C285" s="12"/>
      <c r="D285" s="12" t="s">
        <v>1457</v>
      </c>
      <c r="E285" s="18" t="str">
        <f t="shared" si="21"/>
        <v>Thursday</v>
      </c>
      <c r="F285" s="82"/>
      <c r="G285" s="13"/>
      <c r="H285" s="13"/>
      <c r="I285" s="11"/>
    </row>
    <row r="286" spans="1:9">
      <c r="A286" s="56">
        <v>42020</v>
      </c>
      <c r="B286" s="12" t="s">
        <v>1478</v>
      </c>
      <c r="C286" s="12"/>
      <c r="D286" s="12" t="s">
        <v>1458</v>
      </c>
      <c r="E286" s="18" t="str">
        <f t="shared" si="21"/>
        <v>Friday</v>
      </c>
      <c r="F286" s="82"/>
      <c r="G286" s="13"/>
      <c r="H286" s="13"/>
      <c r="I286" s="11"/>
    </row>
    <row r="287" spans="1:9" ht="25.5">
      <c r="A287" s="56">
        <v>42021</v>
      </c>
      <c r="B287" s="12" t="s">
        <v>1479</v>
      </c>
      <c r="C287" s="12"/>
      <c r="D287" s="12" t="s">
        <v>1459</v>
      </c>
      <c r="E287" s="18" t="str">
        <f t="shared" si="21"/>
        <v>Saturday</v>
      </c>
      <c r="F287" s="82" t="s">
        <v>1547</v>
      </c>
      <c r="G287" s="13"/>
      <c r="H287" s="13"/>
      <c r="I287" s="11"/>
    </row>
    <row r="288" spans="1:9">
      <c r="A288" s="56">
        <v>42022</v>
      </c>
      <c r="B288" s="12" t="s">
        <v>1480</v>
      </c>
      <c r="C288" s="12"/>
      <c r="D288" s="12" t="s">
        <v>1460</v>
      </c>
      <c r="E288" s="18" t="str">
        <f t="shared" si="21"/>
        <v>Sunday</v>
      </c>
      <c r="F288" s="82" t="s">
        <v>1531</v>
      </c>
      <c r="G288" s="13"/>
      <c r="H288" s="13"/>
      <c r="I288" s="11"/>
    </row>
    <row r="289" spans="1:9" ht="89.25">
      <c r="A289" s="56">
        <v>42023</v>
      </c>
      <c r="B289" s="12" t="s">
        <v>1481</v>
      </c>
      <c r="C289" s="12"/>
      <c r="D289" s="12" t="s">
        <v>1461</v>
      </c>
      <c r="E289" s="18" t="str">
        <f t="shared" si="21"/>
        <v>Monday</v>
      </c>
      <c r="F289" s="82" t="s">
        <v>1541</v>
      </c>
      <c r="G289" s="13"/>
      <c r="H289" s="13"/>
      <c r="I289" s="11"/>
    </row>
    <row r="290" spans="1:9">
      <c r="A290" s="56">
        <v>42024</v>
      </c>
      <c r="B290" s="12" t="s">
        <v>1482</v>
      </c>
      <c r="C290" s="12"/>
      <c r="D290" s="12" t="s">
        <v>1462</v>
      </c>
      <c r="E290" s="18" t="str">
        <f t="shared" si="21"/>
        <v>Tuesday</v>
      </c>
      <c r="F290" s="82"/>
      <c r="G290" s="13"/>
      <c r="H290" s="13"/>
      <c r="I290" s="11"/>
    </row>
    <row r="291" spans="1:9">
      <c r="A291" s="56">
        <v>42025</v>
      </c>
      <c r="B291" s="12" t="s">
        <v>1483</v>
      </c>
      <c r="C291" s="12"/>
      <c r="D291" s="12" t="s">
        <v>1463</v>
      </c>
      <c r="E291" s="18" t="str">
        <f t="shared" si="21"/>
        <v>Wednesday</v>
      </c>
      <c r="F291" s="82" t="s">
        <v>1537</v>
      </c>
      <c r="G291" s="13"/>
      <c r="H291" s="13"/>
      <c r="I291" s="11"/>
    </row>
    <row r="292" spans="1:9">
      <c r="A292" s="56">
        <v>42026</v>
      </c>
      <c r="B292" s="12" t="s">
        <v>1484</v>
      </c>
      <c r="C292" s="12"/>
      <c r="D292" s="12" t="s">
        <v>1464</v>
      </c>
      <c r="E292" s="18" t="str">
        <f t="shared" si="21"/>
        <v>Thursday</v>
      </c>
      <c r="F292" s="82" t="s">
        <v>1538</v>
      </c>
      <c r="G292" s="13"/>
      <c r="H292" s="13"/>
      <c r="I292" s="11"/>
    </row>
    <row r="293" spans="1:9">
      <c r="A293" s="56">
        <v>42027</v>
      </c>
      <c r="B293" s="12" t="s">
        <v>1485</v>
      </c>
      <c r="C293" s="12"/>
      <c r="D293" s="12" t="s">
        <v>1465</v>
      </c>
      <c r="E293" s="18" t="str">
        <f t="shared" si="21"/>
        <v>Friday</v>
      </c>
      <c r="F293" s="82" t="s">
        <v>1539</v>
      </c>
      <c r="G293" s="13"/>
      <c r="H293" s="13"/>
      <c r="I293" s="11"/>
    </row>
    <row r="294" spans="1:9">
      <c r="A294" s="56">
        <v>42028</v>
      </c>
      <c r="B294" s="12" t="s">
        <v>1486</v>
      </c>
      <c r="C294" s="12"/>
      <c r="D294" s="12" t="s">
        <v>1466</v>
      </c>
      <c r="E294" s="18" t="str">
        <f t="shared" si="21"/>
        <v>Saturday</v>
      </c>
      <c r="F294" s="82" t="s">
        <v>1546</v>
      </c>
      <c r="G294" s="13"/>
      <c r="H294" s="13"/>
      <c r="I294" s="11"/>
    </row>
    <row r="295" spans="1:9">
      <c r="A295" s="56">
        <v>42029</v>
      </c>
      <c r="B295" s="12" t="s">
        <v>1487</v>
      </c>
      <c r="C295" s="12"/>
      <c r="D295" s="12" t="s">
        <v>1467</v>
      </c>
      <c r="E295" s="18" t="str">
        <f t="shared" si="21"/>
        <v>Sunday</v>
      </c>
      <c r="F295" s="82" t="s">
        <v>1532</v>
      </c>
      <c r="G295" s="13"/>
      <c r="H295" s="13"/>
      <c r="I295" s="11"/>
    </row>
    <row r="296" spans="1:9" ht="25.5">
      <c r="A296" s="56">
        <v>42030</v>
      </c>
      <c r="B296" s="12" t="s">
        <v>1488</v>
      </c>
      <c r="C296" s="12"/>
      <c r="D296" s="12" t="s">
        <v>1469</v>
      </c>
      <c r="E296" s="18" t="str">
        <f t="shared" si="21"/>
        <v>Monday</v>
      </c>
      <c r="F296" s="82" t="s">
        <v>1540</v>
      </c>
      <c r="G296" s="13"/>
      <c r="H296" s="13"/>
      <c r="I296" s="11"/>
    </row>
    <row r="297" spans="1:9">
      <c r="A297" s="56">
        <v>42031</v>
      </c>
      <c r="B297" s="12" t="s">
        <v>1489</v>
      </c>
      <c r="C297" s="12"/>
      <c r="D297" s="12" t="s">
        <v>1470</v>
      </c>
      <c r="E297" s="18" t="str">
        <f t="shared" si="21"/>
        <v>Tuesday</v>
      </c>
      <c r="F297" s="82"/>
      <c r="G297" s="13"/>
      <c r="H297" s="13"/>
      <c r="I297" s="11"/>
    </row>
    <row r="298" spans="1:9">
      <c r="A298" s="56">
        <v>42032</v>
      </c>
      <c r="B298" s="12" t="s">
        <v>1490</v>
      </c>
      <c r="C298" s="12"/>
      <c r="D298" s="12" t="s">
        <v>1471</v>
      </c>
      <c r="E298" s="18" t="str">
        <f t="shared" si="21"/>
        <v>Wednesday</v>
      </c>
      <c r="F298" s="82"/>
      <c r="G298" s="13"/>
      <c r="H298" s="13"/>
      <c r="I298" s="11"/>
    </row>
    <row r="299" spans="1:9">
      <c r="A299" s="56">
        <v>42033</v>
      </c>
      <c r="B299" s="12" t="s">
        <v>1491</v>
      </c>
      <c r="C299" s="12"/>
      <c r="D299" s="12" t="s">
        <v>1472</v>
      </c>
      <c r="E299" s="18" t="str">
        <f t="shared" si="21"/>
        <v>Thursday</v>
      </c>
      <c r="F299" s="82" t="s">
        <v>1542</v>
      </c>
      <c r="G299" s="13"/>
      <c r="H299" s="13"/>
      <c r="I299" s="11"/>
    </row>
    <row r="300" spans="1:9">
      <c r="A300" s="56">
        <v>42034</v>
      </c>
      <c r="B300" s="12" t="s">
        <v>1492</v>
      </c>
      <c r="C300" s="12"/>
      <c r="D300" s="12" t="s">
        <v>1473</v>
      </c>
      <c r="E300" s="18" t="str">
        <f t="shared" si="21"/>
        <v>Friday</v>
      </c>
      <c r="F300" s="82"/>
      <c r="G300" s="13"/>
      <c r="H300" s="13"/>
      <c r="I300" s="11"/>
    </row>
    <row r="301" spans="1:9" ht="76.5">
      <c r="A301" s="56">
        <v>42035</v>
      </c>
      <c r="B301" s="12" t="s">
        <v>1493</v>
      </c>
      <c r="C301" s="12"/>
      <c r="D301" s="12" t="s">
        <v>1474</v>
      </c>
      <c r="E301" s="18" t="str">
        <f t="shared" si="21"/>
        <v>Saturday</v>
      </c>
      <c r="F301" s="82" t="s">
        <v>1543</v>
      </c>
      <c r="G301" s="13"/>
      <c r="H301" s="13"/>
      <c r="I301" s="11"/>
    </row>
    <row r="302" spans="1:9" ht="25.5">
      <c r="A302" s="56">
        <v>42036</v>
      </c>
      <c r="B302" s="12" t="s">
        <v>1494</v>
      </c>
      <c r="C302" s="12"/>
      <c r="D302" s="12" t="s">
        <v>1475</v>
      </c>
      <c r="E302" s="18" t="str">
        <f t="shared" si="21"/>
        <v>Sunday</v>
      </c>
      <c r="F302" s="82" t="s">
        <v>1545</v>
      </c>
      <c r="G302" s="13"/>
      <c r="H302" s="13"/>
      <c r="I302" s="11"/>
    </row>
    <row r="303" spans="1:9" ht="25.5">
      <c r="A303" s="56">
        <v>42037</v>
      </c>
      <c r="B303" s="12" t="s">
        <v>1495</v>
      </c>
      <c r="C303" s="12"/>
      <c r="D303" s="12" t="s">
        <v>1476</v>
      </c>
      <c r="E303" s="18" t="str">
        <f t="shared" si="21"/>
        <v>Monday</v>
      </c>
      <c r="F303" s="82" t="s">
        <v>1544</v>
      </c>
      <c r="G303" s="13"/>
      <c r="H303" s="13"/>
      <c r="I303" s="11"/>
    </row>
    <row r="304" spans="1:9">
      <c r="A304" s="56">
        <v>42038</v>
      </c>
      <c r="B304" s="12" t="s">
        <v>1496</v>
      </c>
      <c r="C304" s="12"/>
      <c r="D304" s="12" t="s">
        <v>1477</v>
      </c>
      <c r="E304" s="18" t="str">
        <f t="shared" si="21"/>
        <v>Tuesday</v>
      </c>
      <c r="F304" s="82"/>
      <c r="G304" s="13"/>
      <c r="H304" s="13"/>
      <c r="I304" s="11"/>
    </row>
    <row r="305" spans="1:9">
      <c r="A305" s="56">
        <v>42039</v>
      </c>
      <c r="B305" s="12" t="s">
        <v>1497</v>
      </c>
      <c r="C305" s="12"/>
      <c r="D305" s="12" t="s">
        <v>1478</v>
      </c>
      <c r="E305" s="18" t="str">
        <f t="shared" si="21"/>
        <v>Wednesday</v>
      </c>
      <c r="F305" s="82"/>
      <c r="G305" s="13"/>
      <c r="H305" s="13"/>
      <c r="I305" s="11"/>
    </row>
    <row r="306" spans="1:9">
      <c r="A306" s="56">
        <v>42040</v>
      </c>
      <c r="B306" s="12" t="s">
        <v>1498</v>
      </c>
      <c r="C306" s="12"/>
      <c r="D306" s="12" t="s">
        <v>1479</v>
      </c>
      <c r="E306" s="18" t="str">
        <f t="shared" si="21"/>
        <v>Thursday</v>
      </c>
      <c r="F306" s="82"/>
      <c r="G306" s="13"/>
      <c r="H306" s="13"/>
      <c r="I306" s="11"/>
    </row>
    <row r="307" spans="1:9" ht="51">
      <c r="A307" s="56">
        <v>42041</v>
      </c>
      <c r="B307" s="12" t="s">
        <v>1499</v>
      </c>
      <c r="C307" s="12"/>
      <c r="D307" s="12" t="s">
        <v>1480</v>
      </c>
      <c r="E307" s="18" t="str">
        <f t="shared" si="21"/>
        <v>Friday</v>
      </c>
      <c r="F307" s="82" t="s">
        <v>1551</v>
      </c>
      <c r="G307" s="13"/>
      <c r="H307" s="13"/>
      <c r="I307" s="11"/>
    </row>
    <row r="308" spans="1:9" ht="38.25">
      <c r="A308" s="56">
        <v>42042</v>
      </c>
      <c r="B308" s="12" t="s">
        <v>1500</v>
      </c>
      <c r="C308" s="12"/>
      <c r="D308" s="12" t="s">
        <v>1481</v>
      </c>
      <c r="E308" s="18" t="str">
        <f t="shared" si="21"/>
        <v>Saturday</v>
      </c>
      <c r="F308" s="82" t="s">
        <v>1554</v>
      </c>
      <c r="G308" s="13"/>
      <c r="H308" s="13"/>
      <c r="I308" s="11"/>
    </row>
    <row r="309" spans="1:9">
      <c r="A309" s="56">
        <v>42043</v>
      </c>
      <c r="B309" s="12" t="s">
        <v>1501</v>
      </c>
      <c r="C309" s="12"/>
      <c r="D309" s="12" t="s">
        <v>1482</v>
      </c>
      <c r="E309" s="18" t="str">
        <f t="shared" si="21"/>
        <v>Sunday</v>
      </c>
      <c r="F309" s="82" t="s">
        <v>1550</v>
      </c>
      <c r="G309" s="13"/>
      <c r="H309" s="13"/>
      <c r="I309" s="11"/>
    </row>
    <row r="310" spans="1:9" ht="25.5">
      <c r="A310" s="56">
        <v>42044</v>
      </c>
      <c r="B310" s="12" t="s">
        <v>1502</v>
      </c>
      <c r="C310" s="12"/>
      <c r="D310" s="12" t="s">
        <v>1483</v>
      </c>
      <c r="E310" s="18" t="str">
        <f t="shared" si="21"/>
        <v>Monday</v>
      </c>
      <c r="F310" s="82" t="s">
        <v>1552</v>
      </c>
      <c r="G310" s="13"/>
      <c r="H310" s="13"/>
      <c r="I310" s="11"/>
    </row>
    <row r="311" spans="1:9" ht="25.5">
      <c r="A311" s="56">
        <v>42045</v>
      </c>
      <c r="B311" s="12" t="s">
        <v>1502</v>
      </c>
      <c r="C311" s="12"/>
      <c r="D311" s="12" t="s">
        <v>1483</v>
      </c>
      <c r="E311" s="18" t="str">
        <f t="shared" ref="E311:E323" si="22">VLOOKUP(WEEKDAY(A311,1),$P$4:$Q$10,2,0)</f>
        <v>Tuesday</v>
      </c>
      <c r="F311" s="82" t="s">
        <v>1553</v>
      </c>
      <c r="G311" s="13"/>
      <c r="H311" s="13"/>
      <c r="I311" s="11"/>
    </row>
    <row r="312" spans="1:9" ht="51">
      <c r="A312" s="56">
        <v>42046</v>
      </c>
      <c r="B312" s="12" t="s">
        <v>1502</v>
      </c>
      <c r="C312" s="12"/>
      <c r="D312" s="12" t="s">
        <v>1483</v>
      </c>
      <c r="E312" s="18" t="str">
        <f t="shared" si="22"/>
        <v>Wednesday</v>
      </c>
      <c r="F312" s="82" t="s">
        <v>1548</v>
      </c>
      <c r="G312" s="13"/>
      <c r="H312" s="13"/>
      <c r="I312" s="11"/>
    </row>
    <row r="313" spans="1:9">
      <c r="A313" s="56">
        <v>42047</v>
      </c>
      <c r="B313" s="12" t="s">
        <v>1502</v>
      </c>
      <c r="C313" s="12"/>
      <c r="D313" s="12" t="s">
        <v>1483</v>
      </c>
      <c r="E313" s="18" t="str">
        <f t="shared" si="22"/>
        <v>Thursday</v>
      </c>
      <c r="F313" s="82" t="s">
        <v>1549</v>
      </c>
      <c r="G313" s="13"/>
      <c r="H313" s="13"/>
      <c r="I313" s="11"/>
    </row>
    <row r="314" spans="1:9">
      <c r="A314" s="56">
        <v>42048</v>
      </c>
      <c r="B314" s="12" t="s">
        <v>1502</v>
      </c>
      <c r="C314" s="12"/>
      <c r="D314" s="12" t="s">
        <v>1483</v>
      </c>
      <c r="E314" s="18" t="str">
        <f t="shared" si="22"/>
        <v>Friday</v>
      </c>
      <c r="F314" s="82" t="s">
        <v>1533</v>
      </c>
      <c r="G314" s="13"/>
      <c r="H314" s="13"/>
      <c r="I314" s="11"/>
    </row>
    <row r="315" spans="1:9">
      <c r="A315" s="56"/>
      <c r="B315" s="12"/>
      <c r="C315" s="12"/>
      <c r="D315" s="12"/>
      <c r="E315" s="18" t="str">
        <f t="shared" si="22"/>
        <v>Saturday</v>
      </c>
      <c r="F315" s="82"/>
      <c r="G315" s="13"/>
      <c r="H315" s="13"/>
      <c r="I315" s="11"/>
    </row>
    <row r="316" spans="1:9">
      <c r="A316" s="56"/>
      <c r="B316" s="12"/>
      <c r="C316" s="12"/>
      <c r="D316" s="12"/>
      <c r="E316" s="18" t="str">
        <f t="shared" si="22"/>
        <v>Saturday</v>
      </c>
      <c r="F316" s="82"/>
      <c r="G316" s="13"/>
      <c r="H316" s="13"/>
      <c r="I316" s="11"/>
    </row>
    <row r="317" spans="1:9" ht="25.5">
      <c r="A317" s="56">
        <v>42583</v>
      </c>
      <c r="B317" s="12"/>
      <c r="C317" s="12"/>
      <c r="D317" s="12"/>
      <c r="E317" s="18" t="str">
        <f t="shared" si="22"/>
        <v>Monday</v>
      </c>
      <c r="F317" s="82" t="s">
        <v>1789</v>
      </c>
      <c r="G317" s="13"/>
      <c r="H317" s="13"/>
      <c r="I317" s="11"/>
    </row>
    <row r="318" spans="1:9" ht="25.5">
      <c r="A318" s="56">
        <v>42917</v>
      </c>
      <c r="B318" s="12"/>
      <c r="C318" s="12"/>
      <c r="D318" s="12"/>
      <c r="E318" s="18" t="str">
        <f t="shared" si="22"/>
        <v>Saturday</v>
      </c>
      <c r="F318" s="82" t="s">
        <v>1790</v>
      </c>
      <c r="G318" s="13"/>
      <c r="H318" s="13"/>
      <c r="I318" s="11"/>
    </row>
    <row r="319" spans="1:9" ht="63.75">
      <c r="A319" s="56">
        <v>43080</v>
      </c>
      <c r="B319" s="12"/>
      <c r="C319" s="12"/>
      <c r="D319" s="12"/>
      <c r="E319" s="18" t="str">
        <f t="shared" si="22"/>
        <v>Monday</v>
      </c>
      <c r="F319" s="82" t="s">
        <v>1791</v>
      </c>
      <c r="G319" s="13"/>
      <c r="H319" s="13"/>
      <c r="I319" s="11"/>
    </row>
    <row r="320" spans="1:9" ht="102">
      <c r="A320" s="56">
        <v>42739</v>
      </c>
      <c r="B320" s="12" t="s">
        <v>133</v>
      </c>
      <c r="C320" s="12"/>
      <c r="D320" s="12"/>
      <c r="E320" s="18" t="str">
        <f t="shared" si="22"/>
        <v>Wednesday</v>
      </c>
      <c r="F320" s="82" t="s">
        <v>1868</v>
      </c>
      <c r="G320" s="13"/>
      <c r="H320" s="13"/>
      <c r="I320" s="11"/>
    </row>
    <row r="321" spans="1:9" ht="38.25">
      <c r="A321" s="56">
        <v>43136</v>
      </c>
      <c r="B321" s="12" t="s">
        <v>154</v>
      </c>
      <c r="C321" s="12"/>
      <c r="D321" s="12"/>
      <c r="E321" s="18" t="str">
        <f t="shared" si="22"/>
        <v>Monday</v>
      </c>
      <c r="F321" s="82" t="s">
        <v>1869</v>
      </c>
      <c r="G321" s="13"/>
      <c r="H321" s="13"/>
      <c r="I321" s="11"/>
    </row>
    <row r="322" spans="1:9" ht="25.5">
      <c r="A322" s="56">
        <v>43152</v>
      </c>
      <c r="B322" s="12" t="s">
        <v>124</v>
      </c>
      <c r="C322" s="12"/>
      <c r="D322" s="12"/>
      <c r="E322" s="18" t="str">
        <f t="shared" si="22"/>
        <v>Wednesday</v>
      </c>
      <c r="F322" s="82" t="s">
        <v>1976</v>
      </c>
      <c r="G322" s="13"/>
      <c r="H322" s="13"/>
      <c r="I322" s="11"/>
    </row>
    <row r="323" spans="1:9">
      <c r="A323" s="56">
        <v>43153</v>
      </c>
      <c r="B323" s="12" t="s">
        <v>125</v>
      </c>
      <c r="C323" s="12"/>
      <c r="D323" s="12"/>
      <c r="E323" s="18" t="str">
        <f t="shared" si="22"/>
        <v>Thursday</v>
      </c>
      <c r="F323" s="82" t="s">
        <v>1977</v>
      </c>
      <c r="G323" s="13"/>
      <c r="H323" s="13"/>
      <c r="I323" s="11"/>
    </row>
    <row r="324" spans="1:9" ht="51">
      <c r="A324" s="56">
        <v>43164</v>
      </c>
      <c r="B324" s="12" t="s">
        <v>151</v>
      </c>
      <c r="C324" s="12"/>
      <c r="D324" s="12"/>
      <c r="E324" s="18" t="str">
        <f t="shared" ref="E324:E356" si="23">VLOOKUP(WEEKDAY(A324,1),$P$4:$Q$10,2,0)</f>
        <v>Monday</v>
      </c>
      <c r="F324" s="82" t="s">
        <v>1978</v>
      </c>
      <c r="G324" s="13"/>
      <c r="H324" s="13"/>
      <c r="I324" s="11"/>
    </row>
    <row r="325" spans="1:9" ht="38.25">
      <c r="A325" s="56">
        <v>43166</v>
      </c>
      <c r="B325" s="12" t="s">
        <v>153</v>
      </c>
      <c r="C325" s="12"/>
      <c r="D325" s="12"/>
      <c r="E325" s="18" t="str">
        <f t="shared" si="23"/>
        <v>Wednesday</v>
      </c>
      <c r="F325" s="82" t="s">
        <v>1981</v>
      </c>
      <c r="G325" s="13"/>
      <c r="H325" s="13"/>
      <c r="I325" s="11"/>
    </row>
    <row r="326" spans="1:9" ht="25.5">
      <c r="A326" s="56">
        <v>43167</v>
      </c>
      <c r="B326" s="12" t="s">
        <v>154</v>
      </c>
      <c r="C326" s="12"/>
      <c r="D326" s="12"/>
      <c r="E326" s="18" t="str">
        <f t="shared" si="23"/>
        <v>Thursday</v>
      </c>
      <c r="F326" s="82" t="s">
        <v>1980</v>
      </c>
      <c r="G326" s="13"/>
      <c r="H326" s="13"/>
      <c r="I326" s="11"/>
    </row>
    <row r="327" spans="1:9">
      <c r="A327" s="56">
        <v>43168</v>
      </c>
      <c r="B327" s="12"/>
      <c r="C327" s="12"/>
      <c r="D327" s="12" t="s">
        <v>124</v>
      </c>
      <c r="E327" s="18" t="str">
        <f t="shared" si="23"/>
        <v>Friday</v>
      </c>
      <c r="F327" s="82" t="s">
        <v>1979</v>
      </c>
      <c r="G327" s="13"/>
      <c r="H327" s="13"/>
      <c r="I327" s="11"/>
    </row>
    <row r="328" spans="1:9">
      <c r="A328" s="56">
        <v>43169</v>
      </c>
      <c r="B328" s="12"/>
      <c r="C328" s="12"/>
      <c r="D328" s="12" t="s">
        <v>125</v>
      </c>
      <c r="E328" s="18" t="str">
        <f t="shared" si="23"/>
        <v>Saturday</v>
      </c>
      <c r="F328" s="82" t="s">
        <v>1979</v>
      </c>
      <c r="G328" s="13"/>
      <c r="H328" s="13"/>
      <c r="I328" s="11"/>
    </row>
    <row r="329" spans="1:9">
      <c r="A329" s="56">
        <v>43170</v>
      </c>
      <c r="B329" s="12"/>
      <c r="C329" s="12"/>
      <c r="D329" s="12" t="s">
        <v>126</v>
      </c>
      <c r="E329" s="18" t="str">
        <f t="shared" si="23"/>
        <v>Sunday</v>
      </c>
      <c r="F329" s="82"/>
      <c r="G329" s="13"/>
      <c r="H329" s="13"/>
      <c r="I329" s="11"/>
    </row>
    <row r="330" spans="1:9">
      <c r="A330" s="56">
        <v>43171</v>
      </c>
      <c r="B330" s="12"/>
      <c r="C330" s="12"/>
      <c r="D330" s="12" t="s">
        <v>127</v>
      </c>
      <c r="E330" s="18" t="str">
        <f t="shared" si="23"/>
        <v>Monday</v>
      </c>
      <c r="F330" s="82"/>
      <c r="G330" s="13"/>
      <c r="H330" s="13"/>
      <c r="I330" s="11"/>
    </row>
    <row r="331" spans="1:9">
      <c r="A331" s="56">
        <v>43176</v>
      </c>
      <c r="B331" s="12"/>
      <c r="C331" s="12"/>
      <c r="D331" s="12" t="s">
        <v>132</v>
      </c>
      <c r="E331" s="18" t="str">
        <f t="shared" si="23"/>
        <v>Saturday</v>
      </c>
      <c r="F331" s="82" t="s">
        <v>1984</v>
      </c>
      <c r="G331" s="13"/>
      <c r="H331" s="13"/>
      <c r="I331" s="11"/>
    </row>
    <row r="332" spans="1:9" ht="38.25">
      <c r="A332" s="56">
        <v>43178</v>
      </c>
      <c r="B332" s="12"/>
      <c r="C332" s="12"/>
      <c r="D332" s="12" t="s">
        <v>134</v>
      </c>
      <c r="E332" s="18" t="str">
        <f t="shared" si="23"/>
        <v>Monday</v>
      </c>
      <c r="F332" s="82" t="s">
        <v>1982</v>
      </c>
      <c r="G332" s="13"/>
      <c r="H332" s="13"/>
      <c r="I332" s="11"/>
    </row>
    <row r="333" spans="1:9" ht="114.75">
      <c r="A333" s="56">
        <v>43179</v>
      </c>
      <c r="B333" s="12"/>
      <c r="C333" s="12"/>
      <c r="D333" s="12" t="s">
        <v>148</v>
      </c>
      <c r="E333" s="18" t="str">
        <f t="shared" si="23"/>
        <v>Tuesday</v>
      </c>
      <c r="F333" s="82" t="s">
        <v>1985</v>
      </c>
      <c r="G333" s="13"/>
      <c r="H333" s="13"/>
      <c r="I333" s="11"/>
    </row>
    <row r="334" spans="1:9">
      <c r="A334" s="56">
        <v>43180</v>
      </c>
      <c r="B334" s="12"/>
      <c r="C334" s="12"/>
      <c r="D334" s="12" t="s">
        <v>151</v>
      </c>
      <c r="E334" s="18" t="str">
        <f t="shared" si="23"/>
        <v>Wednesday</v>
      </c>
      <c r="F334" s="82"/>
      <c r="G334" s="13"/>
      <c r="H334" s="13"/>
      <c r="I334" s="11"/>
    </row>
    <row r="335" spans="1:9">
      <c r="A335" s="56">
        <v>43181</v>
      </c>
      <c r="B335" s="12"/>
      <c r="C335" s="12"/>
      <c r="D335" s="12" t="s">
        <v>152</v>
      </c>
      <c r="E335" s="18" t="str">
        <f t="shared" si="23"/>
        <v>Thursday</v>
      </c>
      <c r="F335" s="82" t="s">
        <v>1983</v>
      </c>
      <c r="G335" s="13"/>
      <c r="H335" s="13"/>
      <c r="I335" s="11"/>
    </row>
    <row r="336" spans="1:9">
      <c r="A336" s="56">
        <v>43181</v>
      </c>
      <c r="B336" s="12"/>
      <c r="C336" s="12"/>
      <c r="D336" s="12" t="s">
        <v>153</v>
      </c>
      <c r="E336" s="18" t="str">
        <f t="shared" si="23"/>
        <v>Thursday</v>
      </c>
      <c r="F336" s="82" t="s">
        <v>3443</v>
      </c>
      <c r="G336" s="13"/>
      <c r="H336" s="13"/>
      <c r="I336" s="11"/>
    </row>
    <row r="337" spans="1:9">
      <c r="A337" s="56">
        <v>43185</v>
      </c>
      <c r="B337" s="12"/>
      <c r="C337" s="12"/>
      <c r="D337" s="12" t="s">
        <v>124</v>
      </c>
      <c r="E337" s="18" t="str">
        <f t="shared" si="23"/>
        <v>Monday</v>
      </c>
      <c r="F337" s="82" t="s">
        <v>3440</v>
      </c>
      <c r="G337" s="13"/>
      <c r="H337" s="13"/>
      <c r="I337" s="11"/>
    </row>
    <row r="338" spans="1:9">
      <c r="A338" s="56">
        <v>43200</v>
      </c>
      <c r="B338" s="12"/>
      <c r="C338" s="12"/>
      <c r="D338" s="12" t="s">
        <v>154</v>
      </c>
      <c r="E338" s="18" t="str">
        <f t="shared" si="23"/>
        <v>Tuesday</v>
      </c>
      <c r="F338" s="82" t="s">
        <v>3441</v>
      </c>
      <c r="G338" s="13"/>
      <c r="H338" s="13"/>
      <c r="I338" s="11"/>
    </row>
    <row r="339" spans="1:9">
      <c r="A339" s="56">
        <v>43209</v>
      </c>
      <c r="B339" s="12"/>
      <c r="C339" s="12"/>
      <c r="D339" s="12" t="s">
        <v>192</v>
      </c>
      <c r="E339" s="18" t="str">
        <f t="shared" si="23"/>
        <v>Thursday</v>
      </c>
      <c r="F339" s="82" t="s">
        <v>3442</v>
      </c>
      <c r="G339" s="13"/>
      <c r="H339" s="13"/>
      <c r="I339" s="11"/>
    </row>
    <row r="340" spans="1:9">
      <c r="A340" s="56">
        <v>43215</v>
      </c>
      <c r="B340" s="12"/>
      <c r="C340" s="12"/>
      <c r="D340" s="12" t="s">
        <v>217</v>
      </c>
      <c r="E340" s="18" t="str">
        <f t="shared" si="23"/>
        <v>Wednesday</v>
      </c>
      <c r="F340" s="82" t="s">
        <v>3444</v>
      </c>
      <c r="G340" s="13"/>
      <c r="H340" s="13"/>
      <c r="I340" s="11"/>
    </row>
    <row r="341" spans="1:9">
      <c r="A341" s="56">
        <v>43219</v>
      </c>
      <c r="B341" s="12"/>
      <c r="C341" s="12"/>
      <c r="D341" s="12" t="s">
        <v>221</v>
      </c>
      <c r="E341" s="18" t="str">
        <f t="shared" si="23"/>
        <v>Sunday</v>
      </c>
      <c r="F341" s="82" t="s">
        <v>3445</v>
      </c>
      <c r="G341" s="13"/>
      <c r="H341" s="13"/>
      <c r="I341" s="11"/>
    </row>
    <row r="342" spans="1:9">
      <c r="A342" s="56"/>
      <c r="B342" s="12"/>
      <c r="C342" s="12"/>
      <c r="D342" s="12"/>
      <c r="E342" s="18"/>
      <c r="F342" s="82"/>
      <c r="G342" s="13"/>
      <c r="H342" s="13"/>
      <c r="I342" s="11"/>
    </row>
    <row r="343" spans="1:9">
      <c r="A343" s="56">
        <v>43737</v>
      </c>
      <c r="B343" s="12" t="s">
        <v>124</v>
      </c>
      <c r="C343" s="12"/>
      <c r="D343" s="12"/>
      <c r="E343" s="18" t="str">
        <f t="shared" si="23"/>
        <v>Sunday</v>
      </c>
      <c r="F343" s="82" t="s">
        <v>3451</v>
      </c>
      <c r="G343" s="13"/>
      <c r="H343" s="13"/>
      <c r="I343" s="11"/>
    </row>
    <row r="344" spans="1:9" ht="63.75">
      <c r="A344" s="325">
        <v>43738</v>
      </c>
      <c r="B344" s="326" t="s">
        <v>125</v>
      </c>
      <c r="C344" s="326" t="s">
        <v>124</v>
      </c>
      <c r="D344" s="326"/>
      <c r="E344" s="327" t="str">
        <f t="shared" si="23"/>
        <v>Monday</v>
      </c>
      <c r="F344" s="328" t="s">
        <v>3455</v>
      </c>
      <c r="G344" s="13" t="s">
        <v>3453</v>
      </c>
      <c r="H344" s="13" t="s">
        <v>3452</v>
      </c>
      <c r="I344" s="11"/>
    </row>
    <row r="345" spans="1:9" ht="25.5">
      <c r="A345" s="56">
        <v>43739</v>
      </c>
      <c r="B345" s="12" t="s">
        <v>126</v>
      </c>
      <c r="C345" s="12" t="s">
        <v>125</v>
      </c>
      <c r="D345" s="12"/>
      <c r="E345" s="18" t="str">
        <f t="shared" si="23"/>
        <v>Tuesday</v>
      </c>
      <c r="F345" s="82" t="s">
        <v>3456</v>
      </c>
      <c r="G345" s="13" t="s">
        <v>3453</v>
      </c>
      <c r="H345" s="13" t="s">
        <v>3454</v>
      </c>
      <c r="I345" s="11"/>
    </row>
    <row r="346" spans="1:9" ht="25.5">
      <c r="A346" s="56">
        <v>43740</v>
      </c>
      <c r="B346" s="12" t="s">
        <v>127</v>
      </c>
      <c r="C346" s="12" t="s">
        <v>126</v>
      </c>
      <c r="D346" s="12"/>
      <c r="E346" s="18" t="str">
        <f t="shared" si="23"/>
        <v>Wednesday</v>
      </c>
      <c r="F346" s="82" t="s">
        <v>3458</v>
      </c>
      <c r="G346" s="13" t="s">
        <v>3453</v>
      </c>
      <c r="H346" s="13" t="s">
        <v>3457</v>
      </c>
      <c r="I346" s="11"/>
    </row>
    <row r="347" spans="1:9" ht="51">
      <c r="A347" s="56">
        <v>43741</v>
      </c>
      <c r="B347" s="12" t="s">
        <v>128</v>
      </c>
      <c r="C347" s="12" t="s">
        <v>127</v>
      </c>
      <c r="D347" s="12"/>
      <c r="E347" s="18" t="str">
        <f t="shared" si="23"/>
        <v>Thursday</v>
      </c>
      <c r="F347" s="82" t="s">
        <v>3462</v>
      </c>
      <c r="G347" s="13" t="s">
        <v>3453</v>
      </c>
      <c r="H347" s="13" t="s">
        <v>3454</v>
      </c>
      <c r="I347" s="11"/>
    </row>
    <row r="348" spans="1:9" ht="76.5">
      <c r="A348" s="56">
        <v>43742</v>
      </c>
      <c r="B348" s="12" t="s">
        <v>129</v>
      </c>
      <c r="C348" s="12" t="s">
        <v>128</v>
      </c>
      <c r="D348" s="12"/>
      <c r="E348" s="329" t="str">
        <f t="shared" si="23"/>
        <v>Friday</v>
      </c>
      <c r="F348" s="82" t="s">
        <v>3464</v>
      </c>
      <c r="G348" s="13" t="s">
        <v>3463</v>
      </c>
      <c r="H348" s="13" t="s">
        <v>3465</v>
      </c>
      <c r="I348" s="11"/>
    </row>
    <row r="349" spans="1:9" ht="38.25">
      <c r="A349" s="56">
        <v>43743</v>
      </c>
      <c r="B349" s="12" t="s">
        <v>130</v>
      </c>
      <c r="C349" s="12" t="s">
        <v>129</v>
      </c>
      <c r="D349" s="12"/>
      <c r="E349" s="18" t="str">
        <f t="shared" si="23"/>
        <v>Saturday</v>
      </c>
      <c r="F349" s="82" t="s">
        <v>3468</v>
      </c>
      <c r="G349" s="13" t="s">
        <v>3469</v>
      </c>
      <c r="H349" s="13" t="s">
        <v>3466</v>
      </c>
      <c r="I349" s="11"/>
    </row>
    <row r="350" spans="1:9" ht="38.25">
      <c r="A350" s="56">
        <v>43744</v>
      </c>
      <c r="B350" s="12" t="s">
        <v>131</v>
      </c>
      <c r="C350" s="12" t="s">
        <v>130</v>
      </c>
      <c r="D350" s="12"/>
      <c r="E350" s="18" t="str">
        <f t="shared" si="23"/>
        <v>Sunday</v>
      </c>
      <c r="F350" s="13" t="s">
        <v>3467</v>
      </c>
      <c r="G350" s="13" t="s">
        <v>3469</v>
      </c>
      <c r="H350" s="13" t="s">
        <v>3465</v>
      </c>
      <c r="I350" s="11"/>
    </row>
    <row r="351" spans="1:9" ht="63.75">
      <c r="A351" s="56">
        <v>43745</v>
      </c>
      <c r="B351" s="12" t="s">
        <v>132</v>
      </c>
      <c r="C351" s="12" t="s">
        <v>131</v>
      </c>
      <c r="D351" s="12"/>
      <c r="E351" s="18" t="str">
        <f t="shared" si="23"/>
        <v>Monday</v>
      </c>
      <c r="F351" s="13" t="s">
        <v>3475</v>
      </c>
      <c r="G351" s="13" t="s">
        <v>3469</v>
      </c>
      <c r="H351" s="13" t="s">
        <v>3466</v>
      </c>
      <c r="I351" s="11"/>
    </row>
    <row r="352" spans="1:9" ht="102">
      <c r="A352" s="56">
        <v>43746</v>
      </c>
      <c r="B352" s="12" t="s">
        <v>133</v>
      </c>
      <c r="C352" s="12" t="s">
        <v>132</v>
      </c>
      <c r="D352" s="12"/>
      <c r="E352" s="18" t="str">
        <f t="shared" si="23"/>
        <v>Tuesday</v>
      </c>
      <c r="F352" s="13" t="s">
        <v>3488</v>
      </c>
      <c r="G352" s="13" t="s">
        <v>3469</v>
      </c>
      <c r="H352" s="13" t="s">
        <v>3465</v>
      </c>
      <c r="I352" s="11"/>
    </row>
    <row r="353" spans="1:9" ht="63.75">
      <c r="A353" s="56">
        <v>43747</v>
      </c>
      <c r="B353" s="12" t="s">
        <v>134</v>
      </c>
      <c r="C353" s="12" t="s">
        <v>133</v>
      </c>
      <c r="D353" s="12"/>
      <c r="E353" s="18" t="str">
        <f t="shared" si="23"/>
        <v>Wednesday</v>
      </c>
      <c r="F353" s="82" t="s">
        <v>3487</v>
      </c>
      <c r="G353" s="13" t="s">
        <v>3474</v>
      </c>
      <c r="H353" s="13" t="s">
        <v>3476</v>
      </c>
      <c r="I353" s="11">
        <f>15+18</f>
        <v>33</v>
      </c>
    </row>
    <row r="354" spans="1:9" ht="51">
      <c r="A354" s="56">
        <v>43748</v>
      </c>
      <c r="B354" s="12" t="s">
        <v>148</v>
      </c>
      <c r="C354" s="12" t="s">
        <v>134</v>
      </c>
      <c r="D354" s="12"/>
      <c r="E354" s="18" t="str">
        <f t="shared" si="23"/>
        <v>Thursday</v>
      </c>
      <c r="F354" s="82" t="s">
        <v>3489</v>
      </c>
      <c r="G354" s="13"/>
      <c r="H354" s="13"/>
      <c r="I354" s="11"/>
    </row>
    <row r="355" spans="1:9" ht="63.75">
      <c r="A355" s="56">
        <v>43749</v>
      </c>
      <c r="B355" s="12" t="s">
        <v>151</v>
      </c>
      <c r="C355" s="12" t="s">
        <v>148</v>
      </c>
      <c r="D355" s="12"/>
      <c r="E355" s="18" t="str">
        <f t="shared" si="23"/>
        <v>Friday</v>
      </c>
      <c r="F355" s="82" t="s">
        <v>3492</v>
      </c>
      <c r="G355" s="13"/>
      <c r="H355" s="13"/>
      <c r="I355" s="11"/>
    </row>
    <row r="356" spans="1:9">
      <c r="A356" s="56">
        <v>43750</v>
      </c>
      <c r="B356" s="12" t="s">
        <v>152</v>
      </c>
      <c r="C356" s="12" t="s">
        <v>151</v>
      </c>
      <c r="D356" s="12"/>
      <c r="E356" s="329" t="str">
        <f t="shared" si="23"/>
        <v>Saturday</v>
      </c>
      <c r="F356" s="82" t="s">
        <v>3490</v>
      </c>
      <c r="G356" s="13"/>
      <c r="H356" s="13"/>
      <c r="I356" s="11"/>
    </row>
    <row r="357" spans="1:9" ht="38.25">
      <c r="A357" s="56">
        <v>43751</v>
      </c>
      <c r="B357" s="12" t="s">
        <v>153</v>
      </c>
      <c r="C357" s="12" t="s">
        <v>152</v>
      </c>
      <c r="D357" s="12"/>
      <c r="E357" s="18" t="str">
        <f t="shared" ref="E357:E362" si="24">VLOOKUP(WEEKDAY(A357,1),$P$4:$Q$10,2,0)</f>
        <v>Sunday</v>
      </c>
      <c r="F357" s="82" t="s">
        <v>3491</v>
      </c>
      <c r="G357" s="13"/>
      <c r="H357" s="13"/>
      <c r="I357" s="11"/>
    </row>
    <row r="358" spans="1:9" ht="127.5">
      <c r="A358" s="56">
        <v>43752</v>
      </c>
      <c r="B358" s="12" t="s">
        <v>154</v>
      </c>
      <c r="C358" s="12" t="s">
        <v>153</v>
      </c>
      <c r="D358" s="12"/>
      <c r="E358" s="329" t="str">
        <f t="shared" si="24"/>
        <v>Monday</v>
      </c>
      <c r="F358" s="82" t="s">
        <v>3494</v>
      </c>
      <c r="G358" s="13"/>
      <c r="H358" s="13"/>
      <c r="I358" s="11"/>
    </row>
    <row r="359" spans="1:9">
      <c r="A359" s="56">
        <v>43753</v>
      </c>
      <c r="B359" s="12" t="s">
        <v>155</v>
      </c>
      <c r="C359" s="12" t="s">
        <v>154</v>
      </c>
      <c r="D359" s="12" t="s">
        <v>124</v>
      </c>
      <c r="E359" s="18" t="str">
        <f t="shared" si="24"/>
        <v>Tuesday</v>
      </c>
      <c r="F359" s="82"/>
      <c r="G359" s="13"/>
      <c r="H359" s="13"/>
      <c r="I359" s="11"/>
    </row>
    <row r="360" spans="1:9">
      <c r="A360" s="56">
        <v>43754</v>
      </c>
      <c r="B360" s="12" t="s">
        <v>156</v>
      </c>
      <c r="C360" s="12" t="s">
        <v>155</v>
      </c>
      <c r="D360" s="12" t="s">
        <v>125</v>
      </c>
      <c r="E360" s="18" t="str">
        <f t="shared" si="24"/>
        <v>Wednesday</v>
      </c>
      <c r="F360" s="82"/>
      <c r="G360" s="13"/>
      <c r="H360" s="13"/>
      <c r="I360" s="11"/>
    </row>
    <row r="361" spans="1:9">
      <c r="A361" s="56">
        <v>43755</v>
      </c>
      <c r="B361" s="12" t="s">
        <v>157</v>
      </c>
      <c r="C361" s="12" t="s">
        <v>156</v>
      </c>
      <c r="D361" s="12" t="s">
        <v>126</v>
      </c>
      <c r="E361" s="18" t="str">
        <f t="shared" si="24"/>
        <v>Thursday</v>
      </c>
      <c r="F361" s="82"/>
      <c r="G361" s="13"/>
      <c r="H361" s="13"/>
      <c r="I361" s="11"/>
    </row>
    <row r="362" spans="1:9" ht="63.75">
      <c r="A362" s="56">
        <v>43756</v>
      </c>
      <c r="B362" s="12" t="s">
        <v>158</v>
      </c>
      <c r="C362" s="12" t="s">
        <v>157</v>
      </c>
      <c r="D362" s="12" t="s">
        <v>127</v>
      </c>
      <c r="E362" s="18" t="str">
        <f t="shared" si="24"/>
        <v>Friday</v>
      </c>
      <c r="F362" s="82" t="s">
        <v>3495</v>
      </c>
      <c r="G362" s="13"/>
      <c r="H362" s="13"/>
      <c r="I362" s="11"/>
    </row>
    <row r="363" spans="1:9" ht="51">
      <c r="A363" s="56">
        <v>43757</v>
      </c>
      <c r="B363" s="12" t="s">
        <v>188</v>
      </c>
      <c r="C363" s="12" t="s">
        <v>158</v>
      </c>
      <c r="D363" s="12" t="s">
        <v>128</v>
      </c>
      <c r="E363" s="18" t="str">
        <f t="shared" ref="E363:E372" si="25">VLOOKUP(WEEKDAY(A363,1),$P$4:$Q$10,2,0)</f>
        <v>Saturday</v>
      </c>
      <c r="F363" s="82" t="s">
        <v>3496</v>
      </c>
      <c r="G363" s="13"/>
      <c r="H363" s="13"/>
      <c r="I363" s="11"/>
    </row>
    <row r="364" spans="1:9" ht="63.75">
      <c r="A364" s="56">
        <v>43758</v>
      </c>
      <c r="B364" s="12" t="s">
        <v>189</v>
      </c>
      <c r="C364" s="12" t="s">
        <v>188</v>
      </c>
      <c r="D364" s="12" t="s">
        <v>129</v>
      </c>
      <c r="E364" s="18" t="str">
        <f t="shared" si="25"/>
        <v>Sunday</v>
      </c>
      <c r="F364" s="82" t="s">
        <v>3498</v>
      </c>
      <c r="G364" s="13"/>
      <c r="H364" s="13"/>
      <c r="I364" s="11"/>
    </row>
    <row r="365" spans="1:9">
      <c r="A365" s="56">
        <v>43759</v>
      </c>
      <c r="B365" s="12" t="s">
        <v>190</v>
      </c>
      <c r="C365" s="12" t="s">
        <v>189</v>
      </c>
      <c r="D365" s="12" t="s">
        <v>130</v>
      </c>
      <c r="E365" s="18" t="str">
        <f t="shared" si="25"/>
        <v>Monday</v>
      </c>
      <c r="F365" s="82" t="s">
        <v>3497</v>
      </c>
      <c r="G365" s="13"/>
      <c r="H365" s="13"/>
      <c r="I365" s="11"/>
    </row>
    <row r="366" spans="1:9">
      <c r="A366" s="56">
        <v>43760</v>
      </c>
      <c r="B366" s="12" t="s">
        <v>191</v>
      </c>
      <c r="C366" s="12" t="s">
        <v>190</v>
      </c>
      <c r="D366" s="12" t="s">
        <v>131</v>
      </c>
      <c r="E366" s="18" t="str">
        <f t="shared" si="25"/>
        <v>Tuesday</v>
      </c>
      <c r="F366" s="82" t="s">
        <v>3499</v>
      </c>
      <c r="G366" s="13"/>
      <c r="H366" s="13"/>
      <c r="I366" s="11"/>
    </row>
    <row r="367" spans="1:9">
      <c r="A367" s="56">
        <v>43761</v>
      </c>
      <c r="B367" s="12" t="s">
        <v>192</v>
      </c>
      <c r="C367" s="12" t="s">
        <v>191</v>
      </c>
      <c r="D367" s="12" t="s">
        <v>132</v>
      </c>
      <c r="E367" s="18" t="str">
        <f t="shared" si="25"/>
        <v>Wednesday</v>
      </c>
      <c r="F367" s="82"/>
      <c r="G367" s="13"/>
      <c r="H367" s="13"/>
      <c r="I367" s="11"/>
    </row>
    <row r="368" spans="1:9">
      <c r="A368" s="56">
        <v>43762</v>
      </c>
      <c r="B368" s="12" t="s">
        <v>193</v>
      </c>
      <c r="C368" s="12" t="s">
        <v>192</v>
      </c>
      <c r="D368" s="12" t="s">
        <v>133</v>
      </c>
      <c r="E368" s="18" t="str">
        <f t="shared" si="25"/>
        <v>Thursday</v>
      </c>
      <c r="F368" s="82"/>
      <c r="G368" s="13"/>
      <c r="H368" s="13"/>
      <c r="I368" s="11"/>
    </row>
    <row r="369" spans="1:9">
      <c r="A369" s="56">
        <v>43763</v>
      </c>
      <c r="B369" s="12" t="s">
        <v>194</v>
      </c>
      <c r="C369" s="12" t="s">
        <v>193</v>
      </c>
      <c r="D369" s="12" t="s">
        <v>134</v>
      </c>
      <c r="E369" s="18" t="str">
        <f t="shared" si="25"/>
        <v>Friday</v>
      </c>
      <c r="F369" s="82"/>
      <c r="G369" s="13"/>
      <c r="H369" s="13"/>
      <c r="I369" s="11"/>
    </row>
    <row r="370" spans="1:9">
      <c r="A370" s="56">
        <v>43764</v>
      </c>
      <c r="B370" s="12" t="s">
        <v>195</v>
      </c>
      <c r="C370" s="12" t="s">
        <v>194</v>
      </c>
      <c r="D370" s="12" t="s">
        <v>148</v>
      </c>
      <c r="E370" s="18" t="str">
        <f t="shared" si="25"/>
        <v>Saturday</v>
      </c>
      <c r="F370" s="82" t="s">
        <v>3534</v>
      </c>
      <c r="G370" s="13"/>
      <c r="H370" s="13"/>
      <c r="I370" s="11"/>
    </row>
    <row r="371" spans="1:9">
      <c r="A371" s="56">
        <v>43765</v>
      </c>
      <c r="B371" s="12" t="s">
        <v>196</v>
      </c>
      <c r="C371" s="12" t="s">
        <v>195</v>
      </c>
      <c r="D371" s="12" t="s">
        <v>151</v>
      </c>
      <c r="E371" s="18" t="str">
        <f t="shared" si="25"/>
        <v>Sunday</v>
      </c>
      <c r="F371" s="82"/>
      <c r="G371" s="13"/>
      <c r="H371" s="13"/>
      <c r="I371" s="11"/>
    </row>
    <row r="372" spans="1:9">
      <c r="A372" s="56">
        <v>43766</v>
      </c>
      <c r="B372" s="12" t="s">
        <v>197</v>
      </c>
      <c r="C372" s="12" t="s">
        <v>196</v>
      </c>
      <c r="D372" s="12" t="s">
        <v>152</v>
      </c>
      <c r="E372" s="18" t="str">
        <f t="shared" si="25"/>
        <v>Monday</v>
      </c>
      <c r="F372" s="82"/>
      <c r="G372" s="13"/>
      <c r="H372" s="13"/>
      <c r="I372" s="11"/>
    </row>
    <row r="373" spans="1:9" ht="25.5">
      <c r="A373" s="56">
        <v>43767</v>
      </c>
      <c r="B373" s="12" t="s">
        <v>217</v>
      </c>
      <c r="C373" s="12" t="s">
        <v>197</v>
      </c>
      <c r="D373" s="12" t="s">
        <v>153</v>
      </c>
      <c r="E373" s="18" t="str">
        <f t="shared" ref="E373" si="26">VLOOKUP(WEEKDAY(A373,1),$P$4:$Q$10,2,0)</f>
        <v>Tuesday</v>
      </c>
      <c r="F373" s="82" t="s">
        <v>3493</v>
      </c>
      <c r="G373" s="13"/>
      <c r="H373" s="13"/>
      <c r="I373" s="11"/>
    </row>
    <row r="374" spans="1:9">
      <c r="A374" s="56">
        <v>43768</v>
      </c>
      <c r="B374" s="12" t="s">
        <v>218</v>
      </c>
      <c r="C374" s="12" t="s">
        <v>217</v>
      </c>
      <c r="D374" s="12" t="s">
        <v>154</v>
      </c>
      <c r="E374" s="18" t="str">
        <f t="shared" ref="E374:E388" si="27">VLOOKUP(WEEKDAY(A374,1),$P$4:$Q$10,2,0)</f>
        <v>Wednesday</v>
      </c>
      <c r="F374" s="82"/>
      <c r="G374" s="13"/>
      <c r="H374" s="13"/>
      <c r="I374" s="11"/>
    </row>
    <row r="375" spans="1:9">
      <c r="A375" s="56">
        <v>43769</v>
      </c>
      <c r="B375" s="12" t="s">
        <v>219</v>
      </c>
      <c r="C375" s="12" t="s">
        <v>218</v>
      </c>
      <c r="D375" s="12" t="s">
        <v>155</v>
      </c>
      <c r="E375" s="18" t="str">
        <f t="shared" si="27"/>
        <v>Thursday</v>
      </c>
      <c r="F375" s="82"/>
      <c r="G375" s="13"/>
      <c r="H375" s="13"/>
      <c r="I375" s="11"/>
    </row>
    <row r="376" spans="1:9">
      <c r="A376" s="56">
        <v>43770</v>
      </c>
      <c r="B376" s="12" t="s">
        <v>220</v>
      </c>
      <c r="C376" s="12" t="s">
        <v>219</v>
      </c>
      <c r="D376" s="12" t="s">
        <v>156</v>
      </c>
      <c r="E376" s="18" t="str">
        <f t="shared" si="27"/>
        <v>Friday</v>
      </c>
      <c r="F376" s="82"/>
      <c r="G376" s="13"/>
      <c r="H376" s="13"/>
      <c r="I376" s="11"/>
    </row>
    <row r="377" spans="1:9">
      <c r="A377" s="56">
        <v>43771</v>
      </c>
      <c r="B377" s="12" t="s">
        <v>221</v>
      </c>
      <c r="C377" s="12" t="s">
        <v>220</v>
      </c>
      <c r="D377" s="12" t="s">
        <v>157</v>
      </c>
      <c r="E377" s="18" t="str">
        <f t="shared" si="27"/>
        <v>Saturday</v>
      </c>
      <c r="F377" s="82"/>
      <c r="G377" s="13"/>
      <c r="H377" s="13"/>
      <c r="I377" s="11"/>
    </row>
    <row r="378" spans="1:9">
      <c r="A378" s="56">
        <v>43772</v>
      </c>
      <c r="B378" s="12" t="s">
        <v>222</v>
      </c>
      <c r="C378" s="12" t="s">
        <v>221</v>
      </c>
      <c r="D378" s="12" t="s">
        <v>158</v>
      </c>
      <c r="E378" s="18" t="str">
        <f t="shared" si="27"/>
        <v>Sunday</v>
      </c>
      <c r="F378" s="82"/>
      <c r="G378" s="13"/>
      <c r="H378" s="13"/>
      <c r="I378" s="11"/>
    </row>
    <row r="379" spans="1:9">
      <c r="A379" s="56">
        <v>43773</v>
      </c>
      <c r="B379" s="12" t="s">
        <v>223</v>
      </c>
      <c r="C379" s="12" t="s">
        <v>222</v>
      </c>
      <c r="D379" s="12" t="s">
        <v>188</v>
      </c>
      <c r="E379" s="18" t="str">
        <f t="shared" si="27"/>
        <v>Monday</v>
      </c>
      <c r="F379" s="82"/>
      <c r="G379" s="13"/>
      <c r="H379" s="13"/>
      <c r="I379" s="11"/>
    </row>
    <row r="380" spans="1:9">
      <c r="A380" s="56">
        <v>43774</v>
      </c>
      <c r="B380" s="12" t="s">
        <v>224</v>
      </c>
      <c r="C380" s="12" t="s">
        <v>223</v>
      </c>
      <c r="D380" s="12" t="s">
        <v>189</v>
      </c>
      <c r="E380" s="18" t="str">
        <f t="shared" si="27"/>
        <v>Tuesday</v>
      </c>
      <c r="F380" s="82"/>
      <c r="G380" s="13"/>
      <c r="H380" s="13"/>
      <c r="I380" s="11"/>
    </row>
    <row r="381" spans="1:9">
      <c r="A381" s="56">
        <v>43775</v>
      </c>
      <c r="B381" s="12" t="s">
        <v>225</v>
      </c>
      <c r="C381" s="12" t="s">
        <v>224</v>
      </c>
      <c r="D381" s="12" t="s">
        <v>190</v>
      </c>
      <c r="E381" s="18" t="str">
        <f t="shared" si="27"/>
        <v>Wednesday</v>
      </c>
      <c r="F381" s="82"/>
      <c r="G381" s="13"/>
      <c r="H381" s="13"/>
      <c r="I381" s="11"/>
    </row>
    <row r="382" spans="1:9">
      <c r="A382" s="56">
        <v>43776</v>
      </c>
      <c r="B382" s="12" t="s">
        <v>226</v>
      </c>
      <c r="C382" s="12" t="s">
        <v>225</v>
      </c>
      <c r="D382" s="12" t="s">
        <v>191</v>
      </c>
      <c r="E382" s="18" t="str">
        <f t="shared" si="27"/>
        <v>Thursday</v>
      </c>
      <c r="F382" s="82"/>
      <c r="G382" s="13"/>
      <c r="H382" s="13"/>
      <c r="I382" s="11"/>
    </row>
    <row r="383" spans="1:9">
      <c r="A383" s="56">
        <v>43777</v>
      </c>
      <c r="B383" s="12" t="s">
        <v>227</v>
      </c>
      <c r="C383" s="12" t="s">
        <v>226</v>
      </c>
      <c r="D383" s="12" t="s">
        <v>192</v>
      </c>
      <c r="E383" s="18" t="str">
        <f t="shared" si="27"/>
        <v>Friday</v>
      </c>
      <c r="F383" s="82"/>
      <c r="G383" s="13"/>
      <c r="H383" s="13"/>
      <c r="I383" s="11"/>
    </row>
    <row r="384" spans="1:9">
      <c r="A384" s="56">
        <v>43778</v>
      </c>
      <c r="B384" s="12" t="s">
        <v>228</v>
      </c>
      <c r="C384" s="12" t="s">
        <v>227</v>
      </c>
      <c r="D384" s="12" t="s">
        <v>193</v>
      </c>
      <c r="E384" s="18" t="str">
        <f t="shared" si="27"/>
        <v>Saturday</v>
      </c>
      <c r="F384" s="82"/>
      <c r="G384" s="13"/>
      <c r="H384" s="13"/>
      <c r="I384" s="11"/>
    </row>
    <row r="385" spans="1:9">
      <c r="A385" s="56">
        <v>43779</v>
      </c>
      <c r="B385" s="12" t="s">
        <v>229</v>
      </c>
      <c r="C385" s="12" t="s">
        <v>228</v>
      </c>
      <c r="D385" s="12" t="s">
        <v>194</v>
      </c>
      <c r="E385" s="18" t="str">
        <f t="shared" si="27"/>
        <v>Sunday</v>
      </c>
      <c r="F385" s="82"/>
      <c r="G385" s="13"/>
      <c r="H385" s="13"/>
      <c r="I385" s="11"/>
    </row>
    <row r="386" spans="1:9">
      <c r="A386" s="56">
        <v>43780</v>
      </c>
      <c r="B386" s="12" t="s">
        <v>230</v>
      </c>
      <c r="C386" s="12" t="s">
        <v>229</v>
      </c>
      <c r="D386" s="12" t="s">
        <v>195</v>
      </c>
      <c r="E386" s="18" t="str">
        <f t="shared" si="27"/>
        <v>Monday</v>
      </c>
      <c r="F386" s="82"/>
      <c r="G386" s="13"/>
      <c r="H386" s="13"/>
      <c r="I386" s="11"/>
    </row>
    <row r="387" spans="1:9">
      <c r="A387" s="56">
        <v>43781</v>
      </c>
      <c r="B387" s="12" t="s">
        <v>231</v>
      </c>
      <c r="C387" s="12" t="s">
        <v>230</v>
      </c>
      <c r="D387" s="12" t="s">
        <v>196</v>
      </c>
      <c r="E387" s="18" t="str">
        <f t="shared" si="27"/>
        <v>Tuesday</v>
      </c>
      <c r="F387" s="82"/>
      <c r="G387" s="13"/>
      <c r="H387" s="13"/>
      <c r="I387" s="11"/>
    </row>
    <row r="388" spans="1:9">
      <c r="A388" s="56">
        <v>43782</v>
      </c>
      <c r="B388" s="12" t="s">
        <v>232</v>
      </c>
      <c r="C388" s="12" t="s">
        <v>231</v>
      </c>
      <c r="D388" s="12" t="s">
        <v>197</v>
      </c>
      <c r="E388" s="18" t="str">
        <f t="shared" si="27"/>
        <v>Wednesday</v>
      </c>
      <c r="F388" s="82"/>
      <c r="G388" s="13"/>
      <c r="H388" s="13"/>
      <c r="I388" s="11"/>
    </row>
  </sheetData>
  <autoFilter ref="A1:I372" xr:uid="{E646810B-85C1-467C-903A-EB3C2D8188BA}"/>
  <phoneticPr fontId="30" type="noConversion"/>
  <pageMargins left="0.7" right="0.7" top="0.75" bottom="0.75" header="0.3" footer="0.3"/>
  <pageSetup paperSize="9" orientation="portrait"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61"/>
  <sheetViews>
    <sheetView zoomScale="85" zoomScaleNormal="85" workbookViewId="0">
      <pane ySplit="1" topLeftCell="A388" activePane="bottomLeft" state="frozen"/>
      <selection activeCell="D9" sqref="D9"/>
      <selection pane="bottomLeft" activeCell="D9" sqref="D9"/>
    </sheetView>
  </sheetViews>
  <sheetFormatPr defaultColWidth="9.140625" defaultRowHeight="12.75"/>
  <cols>
    <col min="1" max="1" width="10.28515625" style="1" bestFit="1" customWidth="1"/>
    <col min="2" max="2" width="9.85546875" style="2" bestFit="1" customWidth="1"/>
    <col min="3" max="3" width="9.7109375" style="1" bestFit="1" customWidth="1"/>
    <col min="4" max="4" width="8" style="1" bestFit="1" customWidth="1"/>
    <col min="5" max="5" width="26.7109375" style="1" bestFit="1" customWidth="1"/>
    <col min="6" max="6" width="8.42578125" style="1" bestFit="1" customWidth="1"/>
    <col min="7" max="7" width="13" style="1" bestFit="1" customWidth="1"/>
    <col min="8" max="8" width="41.5703125" style="1" bestFit="1" customWidth="1"/>
    <col min="9" max="9" width="27.85546875" style="1" bestFit="1" customWidth="1"/>
    <col min="10" max="16384" width="9.140625" style="1"/>
  </cols>
  <sheetData>
    <row r="1" spans="1:9">
      <c r="A1" s="7" t="s">
        <v>53</v>
      </c>
      <c r="B1" s="8" t="s">
        <v>0</v>
      </c>
      <c r="C1" s="7" t="s">
        <v>19</v>
      </c>
      <c r="D1" s="7" t="s">
        <v>44</v>
      </c>
      <c r="E1" s="7" t="s">
        <v>1</v>
      </c>
      <c r="F1" s="7" t="s">
        <v>3</v>
      </c>
      <c r="G1" s="7" t="s">
        <v>2</v>
      </c>
      <c r="H1" s="7" t="s">
        <v>32</v>
      </c>
      <c r="I1" s="7" t="s">
        <v>56</v>
      </c>
    </row>
    <row r="2" spans="1:9">
      <c r="A2" s="1" t="s">
        <v>54</v>
      </c>
      <c r="B2" s="2">
        <v>40705</v>
      </c>
      <c r="C2" s="1" t="s">
        <v>25</v>
      </c>
      <c r="D2" s="1">
        <v>2011</v>
      </c>
      <c r="E2" s="1" t="s">
        <v>4</v>
      </c>
      <c r="F2" s="1" t="s">
        <v>13</v>
      </c>
      <c r="G2" s="1">
        <v>215</v>
      </c>
      <c r="I2" s="1" t="s">
        <v>4</v>
      </c>
    </row>
    <row r="3" spans="1:9">
      <c r="A3" s="1" t="s">
        <v>54</v>
      </c>
      <c r="B3" s="2">
        <v>40755</v>
      </c>
      <c r="C3" s="1" t="s">
        <v>26</v>
      </c>
      <c r="D3" s="1">
        <v>2011</v>
      </c>
      <c r="E3" s="1" t="s">
        <v>11</v>
      </c>
      <c r="G3" s="1">
        <v>500</v>
      </c>
      <c r="I3" s="1" t="s">
        <v>11</v>
      </c>
    </row>
    <row r="4" spans="1:9">
      <c r="A4" s="1" t="s">
        <v>54</v>
      </c>
      <c r="B4" s="2">
        <v>40762</v>
      </c>
      <c r="C4" s="1" t="s">
        <v>27</v>
      </c>
      <c r="D4" s="1">
        <v>2011</v>
      </c>
      <c r="E4" s="1" t="s">
        <v>33</v>
      </c>
      <c r="G4" s="1">
        <v>532</v>
      </c>
      <c r="H4" s="1" t="s">
        <v>43</v>
      </c>
      <c r="I4" s="1" t="s">
        <v>33</v>
      </c>
    </row>
    <row r="5" spans="1:9">
      <c r="A5" s="1" t="s">
        <v>54</v>
      </c>
      <c r="B5" s="2">
        <v>40762</v>
      </c>
      <c r="C5" s="1" t="s">
        <v>27</v>
      </c>
      <c r="D5" s="1">
        <v>2011</v>
      </c>
      <c r="E5" s="1" t="s">
        <v>4</v>
      </c>
      <c r="G5" s="1">
        <v>440</v>
      </c>
      <c r="I5" s="1" t="s">
        <v>4</v>
      </c>
    </row>
    <row r="6" spans="1:9">
      <c r="A6" s="1" t="s">
        <v>54</v>
      </c>
      <c r="B6" s="2">
        <v>40768</v>
      </c>
      <c r="C6" s="1" t="s">
        <v>27</v>
      </c>
      <c r="D6" s="1">
        <v>2011</v>
      </c>
      <c r="E6" s="1" t="s">
        <v>33</v>
      </c>
      <c r="F6" s="1" t="s">
        <v>13</v>
      </c>
      <c r="G6" s="1">
        <v>532</v>
      </c>
      <c r="H6" s="1" t="s">
        <v>39</v>
      </c>
      <c r="I6" s="1" t="s">
        <v>33</v>
      </c>
    </row>
    <row r="7" spans="1:9">
      <c r="A7" s="1" t="s">
        <v>54</v>
      </c>
      <c r="B7" s="2">
        <v>40778</v>
      </c>
      <c r="C7" s="1" t="s">
        <v>27</v>
      </c>
      <c r="D7" s="1">
        <v>2011</v>
      </c>
      <c r="E7" s="1" t="s">
        <v>15</v>
      </c>
      <c r="G7" s="1">
        <v>250</v>
      </c>
      <c r="I7" s="1" t="s">
        <v>15</v>
      </c>
    </row>
    <row r="8" spans="1:9">
      <c r="A8" s="1" t="s">
        <v>54</v>
      </c>
      <c r="B8" s="2">
        <v>40783</v>
      </c>
      <c r="C8" s="1" t="s">
        <v>27</v>
      </c>
      <c r="D8" s="1">
        <v>2011</v>
      </c>
      <c r="E8" s="1" t="s">
        <v>33</v>
      </c>
      <c r="G8" s="1">
        <v>532</v>
      </c>
      <c r="H8" s="1" t="s">
        <v>43</v>
      </c>
      <c r="I8" s="1" t="s">
        <v>33</v>
      </c>
    </row>
    <row r="9" spans="1:9">
      <c r="A9" s="1" t="s">
        <v>54</v>
      </c>
      <c r="B9" s="2">
        <v>40797</v>
      </c>
      <c r="C9" s="1" t="s">
        <v>28</v>
      </c>
      <c r="D9" s="1">
        <v>2011</v>
      </c>
      <c r="E9" s="1" t="s">
        <v>4</v>
      </c>
      <c r="G9" s="1">
        <v>944</v>
      </c>
      <c r="I9" s="1" t="s">
        <v>4</v>
      </c>
    </row>
    <row r="10" spans="1:9">
      <c r="A10" s="1" t="s">
        <v>54</v>
      </c>
      <c r="B10" s="2">
        <v>40797</v>
      </c>
      <c r="C10" s="1" t="s">
        <v>28</v>
      </c>
      <c r="D10" s="1">
        <v>2011</v>
      </c>
      <c r="E10" s="1" t="s">
        <v>11</v>
      </c>
      <c r="G10" s="1">
        <v>300</v>
      </c>
      <c r="I10" s="1" t="s">
        <v>11</v>
      </c>
    </row>
    <row r="11" spans="1:9">
      <c r="A11" s="1" t="s">
        <v>54</v>
      </c>
      <c r="B11" s="2">
        <v>40804</v>
      </c>
      <c r="C11" s="1" t="s">
        <v>28</v>
      </c>
      <c r="D11" s="1">
        <v>2011</v>
      </c>
      <c r="E11" s="1" t="s">
        <v>14</v>
      </c>
      <c r="F11" s="1" t="s">
        <v>12</v>
      </c>
      <c r="G11" s="1">
        <v>360</v>
      </c>
      <c r="I11" s="1" t="s">
        <v>14</v>
      </c>
    </row>
    <row r="12" spans="1:9">
      <c r="A12" s="1" t="s">
        <v>54</v>
      </c>
      <c r="B12" s="2">
        <v>40804</v>
      </c>
      <c r="C12" s="1" t="s">
        <v>28</v>
      </c>
      <c r="D12" s="1">
        <v>2011</v>
      </c>
      <c r="E12" s="1" t="s">
        <v>33</v>
      </c>
      <c r="G12" s="1">
        <v>602</v>
      </c>
      <c r="H12" s="1" t="s">
        <v>38</v>
      </c>
      <c r="I12" s="1" t="s">
        <v>33</v>
      </c>
    </row>
    <row r="13" spans="1:9">
      <c r="A13" s="1" t="s">
        <v>54</v>
      </c>
      <c r="B13" s="2">
        <v>40808</v>
      </c>
      <c r="C13" s="1" t="s">
        <v>28</v>
      </c>
      <c r="D13" s="1">
        <v>2011</v>
      </c>
      <c r="E13" s="1" t="s">
        <v>37</v>
      </c>
      <c r="G13" s="1">
        <v>8000</v>
      </c>
      <c r="H13" s="1" t="s">
        <v>37</v>
      </c>
      <c r="I13" s="1" t="s">
        <v>37</v>
      </c>
    </row>
    <row r="14" spans="1:9">
      <c r="A14" s="1" t="s">
        <v>54</v>
      </c>
      <c r="B14" s="2">
        <v>40808</v>
      </c>
      <c r="C14" s="1" t="s">
        <v>28</v>
      </c>
      <c r="D14" s="1">
        <v>2011</v>
      </c>
      <c r="E14" s="1" t="s">
        <v>42</v>
      </c>
      <c r="G14" s="1">
        <v>100</v>
      </c>
      <c r="I14" s="1" t="s">
        <v>42</v>
      </c>
    </row>
    <row r="15" spans="1:9">
      <c r="A15" s="1" t="s">
        <v>54</v>
      </c>
      <c r="B15" s="2">
        <v>40809</v>
      </c>
      <c r="C15" s="1" t="s">
        <v>28</v>
      </c>
      <c r="D15" s="1">
        <v>2011</v>
      </c>
      <c r="E15" s="1" t="s">
        <v>37</v>
      </c>
      <c r="G15" s="1">
        <v>8000</v>
      </c>
      <c r="H15" s="1" t="s">
        <v>37</v>
      </c>
      <c r="I15" s="1" t="s">
        <v>37</v>
      </c>
    </row>
    <row r="16" spans="1:9">
      <c r="A16" s="1" t="s">
        <v>54</v>
      </c>
      <c r="B16" s="2">
        <v>40809</v>
      </c>
      <c r="C16" s="1" t="s">
        <v>28</v>
      </c>
      <c r="D16" s="1">
        <v>2011</v>
      </c>
      <c r="E16" s="1" t="s">
        <v>34</v>
      </c>
      <c r="G16" s="1">
        <v>100</v>
      </c>
      <c r="H16" s="1">
        <v>2</v>
      </c>
      <c r="I16" s="1" t="s">
        <v>34</v>
      </c>
    </row>
    <row r="17" spans="1:9">
      <c r="A17" s="1" t="s">
        <v>54</v>
      </c>
      <c r="B17" s="2">
        <v>40809</v>
      </c>
      <c r="C17" s="1" t="s">
        <v>28</v>
      </c>
      <c r="D17" s="1">
        <v>2011</v>
      </c>
      <c r="E17" s="1" t="s">
        <v>4</v>
      </c>
      <c r="G17" s="1">
        <v>285</v>
      </c>
      <c r="I17" s="1" t="s">
        <v>4</v>
      </c>
    </row>
    <row r="18" spans="1:9">
      <c r="A18" s="1" t="s">
        <v>54</v>
      </c>
      <c r="B18" s="2">
        <v>40811</v>
      </c>
      <c r="C18" s="1" t="s">
        <v>28</v>
      </c>
      <c r="D18" s="1">
        <v>2011</v>
      </c>
      <c r="E18" s="1" t="s">
        <v>33</v>
      </c>
      <c r="F18" s="1" t="s">
        <v>13</v>
      </c>
      <c r="G18" s="1">
        <v>602</v>
      </c>
      <c r="H18" s="1" t="s">
        <v>38</v>
      </c>
      <c r="I18" s="1" t="s">
        <v>33</v>
      </c>
    </row>
    <row r="19" spans="1:9">
      <c r="A19" s="1" t="s">
        <v>54</v>
      </c>
      <c r="B19" s="2">
        <v>40818</v>
      </c>
      <c r="C19" s="1" t="s">
        <v>29</v>
      </c>
      <c r="D19" s="1">
        <v>2011</v>
      </c>
      <c r="E19" s="1" t="s">
        <v>33</v>
      </c>
      <c r="G19" s="1">
        <v>602</v>
      </c>
      <c r="H19" s="1" t="s">
        <v>38</v>
      </c>
      <c r="I19" s="1" t="s">
        <v>33</v>
      </c>
    </row>
    <row r="20" spans="1:9">
      <c r="A20" s="1" t="s">
        <v>54</v>
      </c>
      <c r="B20" s="2">
        <v>40818</v>
      </c>
      <c r="C20" s="1" t="s">
        <v>29</v>
      </c>
      <c r="D20" s="1">
        <v>2011</v>
      </c>
      <c r="E20" s="1" t="s">
        <v>4</v>
      </c>
      <c r="G20" s="1">
        <v>1346</v>
      </c>
      <c r="I20" s="1" t="s">
        <v>4</v>
      </c>
    </row>
    <row r="21" spans="1:9">
      <c r="A21" s="1" t="s">
        <v>54</v>
      </c>
      <c r="B21" s="2">
        <v>40826</v>
      </c>
      <c r="C21" s="1" t="s">
        <v>29</v>
      </c>
      <c r="D21" s="1">
        <v>2011</v>
      </c>
      <c r="E21" s="1" t="s">
        <v>33</v>
      </c>
      <c r="G21" s="1">
        <v>602</v>
      </c>
      <c r="H21" s="1" t="s">
        <v>38</v>
      </c>
      <c r="I21" s="1" t="s">
        <v>33</v>
      </c>
    </row>
    <row r="22" spans="1:9">
      <c r="A22" s="1" t="s">
        <v>54</v>
      </c>
      <c r="B22" s="2">
        <v>40832</v>
      </c>
      <c r="C22" s="1" t="s">
        <v>29</v>
      </c>
      <c r="D22" s="1">
        <v>2011</v>
      </c>
      <c r="E22" s="1" t="s">
        <v>4</v>
      </c>
      <c r="G22" s="1">
        <v>44</v>
      </c>
      <c r="I22" s="1" t="s">
        <v>4</v>
      </c>
    </row>
    <row r="23" spans="1:9">
      <c r="A23" s="1" t="s">
        <v>54</v>
      </c>
      <c r="B23" s="2">
        <v>40832</v>
      </c>
      <c r="C23" s="1" t="s">
        <v>29</v>
      </c>
      <c r="D23" s="1">
        <v>2011</v>
      </c>
      <c r="E23" s="1" t="s">
        <v>33</v>
      </c>
      <c r="G23" s="1">
        <v>602</v>
      </c>
      <c r="H23" s="1" t="s">
        <v>38</v>
      </c>
      <c r="I23" s="1" t="s">
        <v>33</v>
      </c>
    </row>
    <row r="24" spans="1:9">
      <c r="A24" s="1" t="s">
        <v>54</v>
      </c>
      <c r="B24" s="2">
        <v>40847</v>
      </c>
      <c r="C24" s="1" t="s">
        <v>29</v>
      </c>
      <c r="D24" s="1">
        <v>2011</v>
      </c>
      <c r="E24" s="1" t="s">
        <v>33</v>
      </c>
      <c r="G24" s="1">
        <v>602</v>
      </c>
      <c r="H24" s="1" t="s">
        <v>38</v>
      </c>
      <c r="I24" s="1" t="s">
        <v>33</v>
      </c>
    </row>
    <row r="25" spans="1:9">
      <c r="A25" s="1" t="s">
        <v>54</v>
      </c>
      <c r="B25" s="2">
        <v>40847</v>
      </c>
      <c r="C25" s="1" t="s">
        <v>29</v>
      </c>
      <c r="D25" s="1">
        <v>2011</v>
      </c>
      <c r="E25" s="1" t="s">
        <v>4</v>
      </c>
      <c r="G25" s="1">
        <v>825</v>
      </c>
      <c r="I25" s="1" t="s">
        <v>4</v>
      </c>
    </row>
    <row r="26" spans="1:9">
      <c r="A26" s="1" t="s">
        <v>54</v>
      </c>
      <c r="B26" s="2">
        <v>40847</v>
      </c>
      <c r="C26" s="1" t="s">
        <v>29</v>
      </c>
      <c r="D26" s="1">
        <v>2011</v>
      </c>
      <c r="E26" s="1" t="s">
        <v>11</v>
      </c>
      <c r="G26" s="1">
        <v>300</v>
      </c>
      <c r="I26" s="1" t="s">
        <v>11</v>
      </c>
    </row>
    <row r="27" spans="1:9">
      <c r="A27" s="1" t="s">
        <v>54</v>
      </c>
      <c r="B27" s="2">
        <v>40856</v>
      </c>
      <c r="C27" s="1" t="s">
        <v>30</v>
      </c>
      <c r="D27" s="1">
        <v>2011</v>
      </c>
      <c r="E27" s="1" t="s">
        <v>33</v>
      </c>
      <c r="G27" s="1">
        <v>602</v>
      </c>
      <c r="H27" s="1" t="s">
        <v>38</v>
      </c>
      <c r="I27" s="1" t="s">
        <v>33</v>
      </c>
    </row>
    <row r="28" spans="1:9">
      <c r="A28" s="1" t="s">
        <v>54</v>
      </c>
      <c r="B28" s="2">
        <v>40856</v>
      </c>
      <c r="C28" s="1" t="s">
        <v>30</v>
      </c>
      <c r="D28" s="1">
        <v>2011</v>
      </c>
      <c r="E28" s="1" t="s">
        <v>4</v>
      </c>
      <c r="G28" s="1">
        <v>1346</v>
      </c>
      <c r="I28" s="1" t="s">
        <v>4</v>
      </c>
    </row>
    <row r="29" spans="1:9">
      <c r="A29" s="1" t="s">
        <v>54</v>
      </c>
      <c r="B29" s="2">
        <v>40860</v>
      </c>
      <c r="C29" s="1" t="s">
        <v>30</v>
      </c>
      <c r="D29" s="1">
        <v>2011</v>
      </c>
      <c r="E29" s="1" t="s">
        <v>33</v>
      </c>
      <c r="G29" s="1">
        <v>602</v>
      </c>
      <c r="H29" s="1" t="s">
        <v>38</v>
      </c>
      <c r="I29" s="1" t="s">
        <v>33</v>
      </c>
    </row>
    <row r="30" spans="1:9">
      <c r="A30" s="1" t="s">
        <v>54</v>
      </c>
      <c r="B30" s="2">
        <v>40860</v>
      </c>
      <c r="C30" s="1" t="s">
        <v>30</v>
      </c>
      <c r="D30" s="1">
        <v>2011</v>
      </c>
      <c r="E30" s="1" t="s">
        <v>4</v>
      </c>
      <c r="G30" s="1">
        <v>225</v>
      </c>
      <c r="I30" s="1" t="s">
        <v>4</v>
      </c>
    </row>
    <row r="31" spans="1:9">
      <c r="A31" s="1" t="s">
        <v>54</v>
      </c>
      <c r="B31" s="2">
        <v>40868</v>
      </c>
      <c r="C31" s="1" t="s">
        <v>30</v>
      </c>
      <c r="D31" s="1">
        <v>2011</v>
      </c>
      <c r="E31" s="1" t="s">
        <v>33</v>
      </c>
      <c r="G31" s="1">
        <v>602</v>
      </c>
      <c r="H31" s="1" t="s">
        <v>38</v>
      </c>
      <c r="I31" s="1" t="s">
        <v>33</v>
      </c>
    </row>
    <row r="32" spans="1:9">
      <c r="A32" s="1" t="s">
        <v>54</v>
      </c>
      <c r="B32" s="2">
        <v>40889</v>
      </c>
      <c r="C32" s="1" t="s">
        <v>31</v>
      </c>
      <c r="D32" s="1">
        <v>2011</v>
      </c>
      <c r="E32" s="1" t="s">
        <v>33</v>
      </c>
      <c r="G32" s="1">
        <v>602</v>
      </c>
      <c r="H32" s="1" t="s">
        <v>38</v>
      </c>
      <c r="I32" s="1" t="s">
        <v>33</v>
      </c>
    </row>
    <row r="33" spans="1:9">
      <c r="A33" s="1" t="s">
        <v>54</v>
      </c>
      <c r="B33" s="2">
        <v>40889</v>
      </c>
      <c r="C33" s="1" t="s">
        <v>31</v>
      </c>
      <c r="D33" s="1">
        <v>2011</v>
      </c>
      <c r="E33" s="1" t="s">
        <v>4</v>
      </c>
      <c r="G33" s="1">
        <v>1094</v>
      </c>
      <c r="I33" s="1" t="s">
        <v>4</v>
      </c>
    </row>
    <row r="34" spans="1:9">
      <c r="A34" s="1" t="s">
        <v>54</v>
      </c>
      <c r="B34" s="2">
        <v>40896</v>
      </c>
      <c r="C34" s="1" t="s">
        <v>31</v>
      </c>
      <c r="D34" s="1">
        <v>2011</v>
      </c>
      <c r="E34" s="1" t="s">
        <v>33</v>
      </c>
      <c r="G34" s="1">
        <v>602</v>
      </c>
      <c r="H34" s="1" t="s">
        <v>38</v>
      </c>
      <c r="I34" s="1" t="s">
        <v>33</v>
      </c>
    </row>
    <row r="35" spans="1:9">
      <c r="A35" s="1" t="s">
        <v>54</v>
      </c>
      <c r="B35" s="2">
        <v>40901</v>
      </c>
      <c r="C35" s="1" t="s">
        <v>31</v>
      </c>
      <c r="D35" s="1">
        <v>2011</v>
      </c>
      <c r="E35" s="1" t="s">
        <v>15</v>
      </c>
      <c r="F35" s="1" t="s">
        <v>13</v>
      </c>
      <c r="G35" s="1">
        <v>250</v>
      </c>
      <c r="I35" s="1" t="s">
        <v>15</v>
      </c>
    </row>
    <row r="36" spans="1:9">
      <c r="A36" s="1" t="s">
        <v>54</v>
      </c>
      <c r="B36" s="2">
        <v>40905</v>
      </c>
      <c r="C36" s="1" t="s">
        <v>31</v>
      </c>
      <c r="D36" s="1">
        <v>2011</v>
      </c>
      <c r="E36" s="1" t="s">
        <v>33</v>
      </c>
      <c r="G36" s="1">
        <v>475</v>
      </c>
      <c r="H36" s="1" t="s">
        <v>41</v>
      </c>
      <c r="I36" s="1" t="s">
        <v>33</v>
      </c>
    </row>
    <row r="37" spans="1:9">
      <c r="A37" s="1" t="s">
        <v>54</v>
      </c>
      <c r="B37" s="2">
        <v>40910</v>
      </c>
      <c r="C37" s="1" t="s">
        <v>20</v>
      </c>
      <c r="D37" s="1">
        <v>2012</v>
      </c>
      <c r="E37" s="1" t="s">
        <v>33</v>
      </c>
      <c r="G37" s="1">
        <v>602</v>
      </c>
      <c r="H37" s="1" t="s">
        <v>38</v>
      </c>
      <c r="I37" s="1" t="s">
        <v>33</v>
      </c>
    </row>
    <row r="38" spans="1:9">
      <c r="A38" s="1" t="s">
        <v>54</v>
      </c>
      <c r="B38" s="2">
        <v>40917</v>
      </c>
      <c r="C38" s="1" t="s">
        <v>20</v>
      </c>
      <c r="D38" s="1">
        <v>2012</v>
      </c>
      <c r="E38" s="1" t="s">
        <v>33</v>
      </c>
      <c r="G38" s="1">
        <v>602</v>
      </c>
      <c r="H38" s="1" t="s">
        <v>38</v>
      </c>
      <c r="I38" s="1" t="s">
        <v>33</v>
      </c>
    </row>
    <row r="39" spans="1:9">
      <c r="A39" s="1" t="s">
        <v>54</v>
      </c>
      <c r="B39" s="2">
        <v>40924</v>
      </c>
      <c r="C39" s="1" t="s">
        <v>20</v>
      </c>
      <c r="D39" s="1">
        <v>2012</v>
      </c>
      <c r="E39" s="1" t="s">
        <v>33</v>
      </c>
      <c r="G39" s="1">
        <v>602</v>
      </c>
      <c r="H39" s="1" t="s">
        <v>38</v>
      </c>
      <c r="I39" s="1" t="s">
        <v>33</v>
      </c>
    </row>
    <row r="40" spans="1:9">
      <c r="A40" s="1" t="s">
        <v>54</v>
      </c>
      <c r="B40" s="2">
        <v>40931</v>
      </c>
      <c r="C40" s="1" t="s">
        <v>20</v>
      </c>
      <c r="D40" s="1">
        <v>2012</v>
      </c>
      <c r="E40" s="1" t="s">
        <v>33</v>
      </c>
      <c r="G40" s="1">
        <v>602</v>
      </c>
      <c r="H40" s="1" t="s">
        <v>38</v>
      </c>
      <c r="I40" s="1" t="s">
        <v>33</v>
      </c>
    </row>
    <row r="41" spans="1:9">
      <c r="A41" s="1" t="s">
        <v>54</v>
      </c>
      <c r="B41" s="2">
        <v>40931</v>
      </c>
      <c r="C41" s="1" t="s">
        <v>20</v>
      </c>
      <c r="D41" s="1">
        <v>2012</v>
      </c>
      <c r="E41" s="1" t="s">
        <v>4</v>
      </c>
      <c r="G41" s="1">
        <v>975</v>
      </c>
      <c r="I41" s="1" t="s">
        <v>4</v>
      </c>
    </row>
    <row r="42" spans="1:9">
      <c r="A42" s="1" t="s">
        <v>54</v>
      </c>
      <c r="B42" s="2">
        <v>40938</v>
      </c>
      <c r="C42" s="1" t="s">
        <v>20</v>
      </c>
      <c r="D42" s="1">
        <v>2012</v>
      </c>
      <c r="E42" s="1" t="s">
        <v>33</v>
      </c>
      <c r="G42" s="1">
        <v>602</v>
      </c>
      <c r="H42" s="1" t="s">
        <v>38</v>
      </c>
      <c r="I42" s="1" t="s">
        <v>33</v>
      </c>
    </row>
    <row r="43" spans="1:9">
      <c r="A43" s="1" t="s">
        <v>54</v>
      </c>
      <c r="B43" s="2">
        <v>40945</v>
      </c>
      <c r="C43" s="1" t="s">
        <v>21</v>
      </c>
      <c r="D43" s="1">
        <v>2012</v>
      </c>
      <c r="E43" s="1" t="s">
        <v>33</v>
      </c>
      <c r="G43" s="1">
        <v>602</v>
      </c>
      <c r="H43" s="1" t="s">
        <v>38</v>
      </c>
      <c r="I43" s="1" t="s">
        <v>33</v>
      </c>
    </row>
    <row r="44" spans="1:9">
      <c r="A44" s="1" t="s">
        <v>54</v>
      </c>
      <c r="B44" s="2">
        <v>40949</v>
      </c>
      <c r="C44" s="1" t="s">
        <v>21</v>
      </c>
      <c r="D44" s="1">
        <v>2012</v>
      </c>
      <c r="E44" s="1" t="s">
        <v>15</v>
      </c>
      <c r="G44" s="1">
        <v>250</v>
      </c>
      <c r="I44" s="1" t="s">
        <v>15</v>
      </c>
    </row>
    <row r="45" spans="1:9">
      <c r="A45" s="1" t="s">
        <v>54</v>
      </c>
      <c r="B45" s="2">
        <v>40950</v>
      </c>
      <c r="C45" s="1" t="s">
        <v>21</v>
      </c>
      <c r="D45" s="1">
        <v>2012</v>
      </c>
      <c r="E45" s="1" t="s">
        <v>37</v>
      </c>
      <c r="G45" s="1">
        <v>5000</v>
      </c>
      <c r="H45" s="1" t="s">
        <v>37</v>
      </c>
      <c r="I45" s="1" t="s">
        <v>37</v>
      </c>
    </row>
    <row r="46" spans="1:9">
      <c r="A46" s="1" t="s">
        <v>54</v>
      </c>
      <c r="B46" s="2">
        <v>40950</v>
      </c>
      <c r="C46" s="1" t="s">
        <v>21</v>
      </c>
      <c r="D46" s="1">
        <v>2012</v>
      </c>
      <c r="E46" s="1" t="s">
        <v>15</v>
      </c>
      <c r="G46" s="1">
        <v>250</v>
      </c>
      <c r="I46" s="1" t="s">
        <v>15</v>
      </c>
    </row>
    <row r="47" spans="1:9">
      <c r="A47" s="1" t="s">
        <v>54</v>
      </c>
      <c r="B47" s="2">
        <v>40950</v>
      </c>
      <c r="C47" s="1" t="s">
        <v>21</v>
      </c>
      <c r="D47" s="1">
        <v>2012</v>
      </c>
      <c r="E47" s="1" t="s">
        <v>33</v>
      </c>
      <c r="G47" s="1">
        <v>602</v>
      </c>
      <c r="H47" s="1" t="s">
        <v>38</v>
      </c>
      <c r="I47" s="1" t="s">
        <v>33</v>
      </c>
    </row>
    <row r="48" spans="1:9">
      <c r="A48" s="1" t="s">
        <v>54</v>
      </c>
      <c r="B48" s="2">
        <v>40951</v>
      </c>
      <c r="C48" s="1" t="s">
        <v>21</v>
      </c>
      <c r="D48" s="1">
        <v>2012</v>
      </c>
      <c r="E48" s="1" t="s">
        <v>33</v>
      </c>
      <c r="G48" s="1">
        <v>602</v>
      </c>
      <c r="H48" s="1" t="s">
        <v>38</v>
      </c>
      <c r="I48" s="1" t="s">
        <v>33</v>
      </c>
    </row>
    <row r="49" spans="1:9">
      <c r="A49" s="1" t="s">
        <v>54</v>
      </c>
      <c r="B49" s="2">
        <v>40951</v>
      </c>
      <c r="C49" s="1" t="s">
        <v>21</v>
      </c>
      <c r="D49" s="1">
        <v>2012</v>
      </c>
      <c r="E49" s="1" t="s">
        <v>4</v>
      </c>
      <c r="G49" s="1">
        <v>285</v>
      </c>
      <c r="I49" s="1" t="s">
        <v>4</v>
      </c>
    </row>
    <row r="50" spans="1:9">
      <c r="A50" s="1" t="s">
        <v>54</v>
      </c>
      <c r="B50" s="2">
        <v>40951</v>
      </c>
      <c r="C50" s="1" t="s">
        <v>21</v>
      </c>
      <c r="D50" s="1">
        <v>2012</v>
      </c>
      <c r="E50" s="1" t="s">
        <v>34</v>
      </c>
      <c r="G50" s="1">
        <v>55</v>
      </c>
      <c r="H50" s="1">
        <v>1</v>
      </c>
      <c r="I50" s="1" t="s">
        <v>34</v>
      </c>
    </row>
    <row r="51" spans="1:9">
      <c r="A51" s="1" t="s">
        <v>54</v>
      </c>
      <c r="B51" s="2">
        <v>40951</v>
      </c>
      <c r="C51" s="1" t="s">
        <v>21</v>
      </c>
      <c r="D51" s="1">
        <v>2012</v>
      </c>
      <c r="E51" s="1" t="s">
        <v>37</v>
      </c>
      <c r="G51" s="1">
        <v>5000</v>
      </c>
      <c r="H51" s="1" t="s">
        <v>37</v>
      </c>
      <c r="I51" s="1" t="s">
        <v>37</v>
      </c>
    </row>
    <row r="52" spans="1:9">
      <c r="A52" s="1" t="s">
        <v>54</v>
      </c>
      <c r="B52" s="2">
        <v>40960</v>
      </c>
      <c r="C52" s="1" t="s">
        <v>21</v>
      </c>
      <c r="D52" s="1">
        <v>2012</v>
      </c>
      <c r="E52" s="1" t="s">
        <v>33</v>
      </c>
      <c r="G52" s="1">
        <v>602</v>
      </c>
      <c r="H52" s="1" t="s">
        <v>38</v>
      </c>
      <c r="I52" s="1" t="s">
        <v>33</v>
      </c>
    </row>
    <row r="53" spans="1:9">
      <c r="A53" s="1" t="s">
        <v>54</v>
      </c>
      <c r="B53" s="2">
        <v>40967</v>
      </c>
      <c r="C53" s="1" t="s">
        <v>21</v>
      </c>
      <c r="D53" s="1">
        <v>2012</v>
      </c>
      <c r="E53" s="1" t="s">
        <v>33</v>
      </c>
      <c r="F53" s="1" t="s">
        <v>13</v>
      </c>
      <c r="G53" s="1">
        <v>602</v>
      </c>
      <c r="H53" s="1" t="s">
        <v>38</v>
      </c>
      <c r="I53" s="1" t="s">
        <v>33</v>
      </c>
    </row>
    <row r="54" spans="1:9">
      <c r="A54" s="1" t="s">
        <v>54</v>
      </c>
      <c r="B54" s="2">
        <v>40971</v>
      </c>
      <c r="C54" s="1" t="s">
        <v>22</v>
      </c>
      <c r="D54" s="1">
        <v>2012</v>
      </c>
      <c r="E54" s="1" t="s">
        <v>4</v>
      </c>
      <c r="G54" s="1">
        <v>1050</v>
      </c>
      <c r="I54" s="1" t="s">
        <v>4</v>
      </c>
    </row>
    <row r="55" spans="1:9">
      <c r="A55" s="1" t="s">
        <v>54</v>
      </c>
      <c r="B55" s="2">
        <v>40974</v>
      </c>
      <c r="C55" s="1" t="s">
        <v>22</v>
      </c>
      <c r="D55" s="1">
        <v>2012</v>
      </c>
      <c r="E55" s="1" t="s">
        <v>33</v>
      </c>
      <c r="F55" s="1" t="s">
        <v>13</v>
      </c>
      <c r="G55" s="1">
        <v>602</v>
      </c>
      <c r="H55" s="1" t="s">
        <v>38</v>
      </c>
      <c r="I55" s="1" t="s">
        <v>33</v>
      </c>
    </row>
    <row r="56" spans="1:9">
      <c r="A56" s="1" t="s">
        <v>54</v>
      </c>
      <c r="B56" s="2">
        <v>40980</v>
      </c>
      <c r="C56" s="1" t="s">
        <v>22</v>
      </c>
      <c r="D56" s="1">
        <v>2012</v>
      </c>
      <c r="E56" s="1" t="s">
        <v>33</v>
      </c>
      <c r="G56" s="1">
        <v>602</v>
      </c>
      <c r="H56" s="1" t="s">
        <v>38</v>
      </c>
      <c r="I56" s="1" t="s">
        <v>33</v>
      </c>
    </row>
    <row r="57" spans="1:9">
      <c r="A57" s="1" t="s">
        <v>54</v>
      </c>
      <c r="B57" s="2">
        <v>40980</v>
      </c>
      <c r="C57" s="1" t="s">
        <v>22</v>
      </c>
      <c r="D57" s="1">
        <v>2012</v>
      </c>
      <c r="E57" s="1" t="s">
        <v>4</v>
      </c>
      <c r="G57" s="1">
        <v>46</v>
      </c>
      <c r="I57" s="1" t="s">
        <v>4</v>
      </c>
    </row>
    <row r="58" spans="1:9">
      <c r="A58" s="1" t="s">
        <v>54</v>
      </c>
      <c r="B58" s="2">
        <v>40981</v>
      </c>
      <c r="C58" s="1" t="s">
        <v>22</v>
      </c>
      <c r="D58" s="1">
        <v>2012</v>
      </c>
      <c r="E58" s="1" t="s">
        <v>15</v>
      </c>
      <c r="F58" s="1" t="s">
        <v>13</v>
      </c>
      <c r="G58" s="1">
        <v>250</v>
      </c>
      <c r="I58" s="1" t="s">
        <v>15</v>
      </c>
    </row>
    <row r="59" spans="1:9">
      <c r="A59" s="1" t="s">
        <v>54</v>
      </c>
      <c r="B59" s="2">
        <v>40981</v>
      </c>
      <c r="C59" s="1" t="s">
        <v>22</v>
      </c>
      <c r="D59" s="1">
        <v>2012</v>
      </c>
      <c r="E59" s="1" t="s">
        <v>33</v>
      </c>
      <c r="F59" s="1" t="s">
        <v>13</v>
      </c>
      <c r="G59" s="1">
        <v>900</v>
      </c>
      <c r="H59" s="1" t="s">
        <v>40</v>
      </c>
      <c r="I59" s="1" t="s">
        <v>33</v>
      </c>
    </row>
    <row r="60" spans="1:9">
      <c r="A60" s="1" t="s">
        <v>54</v>
      </c>
      <c r="B60" s="2">
        <v>40982</v>
      </c>
      <c r="C60" s="1" t="s">
        <v>22</v>
      </c>
      <c r="D60" s="1">
        <v>2012</v>
      </c>
      <c r="E60" s="1" t="s">
        <v>37</v>
      </c>
      <c r="F60" s="1" t="s">
        <v>13</v>
      </c>
      <c r="G60" s="1">
        <v>5000</v>
      </c>
      <c r="H60" s="1" t="s">
        <v>37</v>
      </c>
      <c r="I60" s="1" t="s">
        <v>37</v>
      </c>
    </row>
    <row r="61" spans="1:9">
      <c r="A61" s="1" t="s">
        <v>54</v>
      </c>
      <c r="B61" s="2">
        <v>40983</v>
      </c>
      <c r="C61" s="1" t="s">
        <v>22</v>
      </c>
      <c r="D61" s="1">
        <v>2012</v>
      </c>
      <c r="E61" s="1" t="s">
        <v>37</v>
      </c>
      <c r="G61" s="1">
        <v>5000</v>
      </c>
      <c r="H61" s="1" t="s">
        <v>37</v>
      </c>
      <c r="I61" s="1" t="s">
        <v>37</v>
      </c>
    </row>
    <row r="62" spans="1:9">
      <c r="A62" s="1" t="s">
        <v>54</v>
      </c>
      <c r="B62" s="2">
        <v>40983</v>
      </c>
      <c r="C62" s="1" t="s">
        <v>22</v>
      </c>
      <c r="D62" s="1">
        <v>2012</v>
      </c>
      <c r="E62" s="1" t="s">
        <v>4</v>
      </c>
      <c r="G62" s="1">
        <v>287</v>
      </c>
      <c r="I62" s="1" t="s">
        <v>4</v>
      </c>
    </row>
    <row r="63" spans="1:9">
      <c r="A63" s="1" t="s">
        <v>54</v>
      </c>
      <c r="B63" s="2">
        <v>40983</v>
      </c>
      <c r="C63" s="1" t="s">
        <v>22</v>
      </c>
      <c r="D63" s="1">
        <v>2012</v>
      </c>
      <c r="E63" s="1" t="s">
        <v>34</v>
      </c>
      <c r="F63" s="1" t="s">
        <v>13</v>
      </c>
      <c r="G63" s="1">
        <v>110</v>
      </c>
      <c r="H63" s="1">
        <v>2</v>
      </c>
      <c r="I63" s="1" t="s">
        <v>34</v>
      </c>
    </row>
    <row r="64" spans="1:9">
      <c r="A64" s="1" t="s">
        <v>54</v>
      </c>
      <c r="B64" s="2">
        <v>40988</v>
      </c>
      <c r="C64" s="1" t="s">
        <v>22</v>
      </c>
      <c r="D64" s="1">
        <v>2012</v>
      </c>
      <c r="E64" s="1" t="s">
        <v>33</v>
      </c>
      <c r="G64" s="1">
        <v>602</v>
      </c>
      <c r="H64" s="1" t="s">
        <v>38</v>
      </c>
      <c r="I64" s="1" t="s">
        <v>33</v>
      </c>
    </row>
    <row r="65" spans="1:9">
      <c r="A65" s="1" t="s">
        <v>54</v>
      </c>
      <c r="B65" s="2">
        <v>40994</v>
      </c>
      <c r="C65" s="1" t="s">
        <v>22</v>
      </c>
      <c r="D65" s="1">
        <v>2012</v>
      </c>
      <c r="E65" s="1" t="s">
        <v>33</v>
      </c>
      <c r="G65" s="1">
        <v>602</v>
      </c>
      <c r="H65" s="1" t="s">
        <v>38</v>
      </c>
      <c r="I65" s="1" t="s">
        <v>33</v>
      </c>
    </row>
    <row r="66" spans="1:9">
      <c r="A66" s="1" t="s">
        <v>54</v>
      </c>
      <c r="B66" s="2">
        <v>41008</v>
      </c>
      <c r="C66" s="1" t="s">
        <v>23</v>
      </c>
      <c r="D66" s="1">
        <v>2012</v>
      </c>
      <c r="E66" s="1" t="s">
        <v>33</v>
      </c>
      <c r="F66" s="1" t="s">
        <v>13</v>
      </c>
      <c r="G66" s="1">
        <v>602</v>
      </c>
      <c r="H66" s="1" t="s">
        <v>38</v>
      </c>
      <c r="I66" s="1" t="s">
        <v>33</v>
      </c>
    </row>
    <row r="67" spans="1:9">
      <c r="A67" s="1" t="s">
        <v>54</v>
      </c>
      <c r="B67" s="2">
        <v>41008</v>
      </c>
      <c r="C67" s="1" t="s">
        <v>23</v>
      </c>
      <c r="D67" s="1">
        <v>2012</v>
      </c>
      <c r="E67" s="1" t="s">
        <v>4</v>
      </c>
      <c r="F67" s="1" t="s">
        <v>13</v>
      </c>
      <c r="G67" s="1">
        <v>1021</v>
      </c>
      <c r="I67" s="1" t="s">
        <v>4</v>
      </c>
    </row>
    <row r="68" spans="1:9">
      <c r="A68" s="1" t="s">
        <v>54</v>
      </c>
      <c r="B68" s="2">
        <v>41012</v>
      </c>
      <c r="C68" s="1" t="s">
        <v>23</v>
      </c>
      <c r="D68" s="1">
        <v>2012</v>
      </c>
      <c r="E68" s="1" t="s">
        <v>33</v>
      </c>
      <c r="F68" s="1" t="s">
        <v>13</v>
      </c>
      <c r="G68" s="1">
        <v>602</v>
      </c>
      <c r="H68" s="1" t="s">
        <v>38</v>
      </c>
      <c r="I68" s="1" t="s">
        <v>33</v>
      </c>
    </row>
    <row r="69" spans="1:9">
      <c r="A69" s="1" t="s">
        <v>54</v>
      </c>
      <c r="B69" s="2">
        <v>41012</v>
      </c>
      <c r="C69" s="1" t="s">
        <v>23</v>
      </c>
      <c r="D69" s="1">
        <v>2012</v>
      </c>
      <c r="E69" s="1" t="s">
        <v>15</v>
      </c>
      <c r="F69" s="1" t="s">
        <v>13</v>
      </c>
      <c r="G69" s="1">
        <v>250</v>
      </c>
      <c r="I69" s="1" t="s">
        <v>15</v>
      </c>
    </row>
    <row r="70" spans="1:9">
      <c r="A70" s="1" t="s">
        <v>54</v>
      </c>
      <c r="B70" s="2">
        <v>41014</v>
      </c>
      <c r="C70" s="1" t="s">
        <v>23</v>
      </c>
      <c r="D70" s="1">
        <v>2012</v>
      </c>
      <c r="E70" s="1" t="s">
        <v>37</v>
      </c>
      <c r="G70" s="1">
        <v>5000</v>
      </c>
      <c r="H70" s="1" t="s">
        <v>37</v>
      </c>
      <c r="I70" s="1" t="s">
        <v>37</v>
      </c>
    </row>
    <row r="71" spans="1:9">
      <c r="A71" s="1" t="s">
        <v>54</v>
      </c>
      <c r="B71" s="2">
        <v>41015</v>
      </c>
      <c r="C71" s="1" t="s">
        <v>23</v>
      </c>
      <c r="D71" s="1">
        <v>2012</v>
      </c>
      <c r="E71" s="1" t="s">
        <v>33</v>
      </c>
      <c r="F71" s="1" t="s">
        <v>13</v>
      </c>
      <c r="G71" s="1">
        <v>602</v>
      </c>
      <c r="H71" s="1" t="s">
        <v>38</v>
      </c>
      <c r="I71" s="1" t="s">
        <v>33</v>
      </c>
    </row>
    <row r="72" spans="1:9">
      <c r="A72" s="1" t="s">
        <v>54</v>
      </c>
      <c r="B72" s="2">
        <v>41029</v>
      </c>
      <c r="C72" s="1" t="s">
        <v>23</v>
      </c>
      <c r="D72" s="1">
        <v>2012</v>
      </c>
      <c r="E72" s="1" t="s">
        <v>33</v>
      </c>
      <c r="G72" s="1">
        <v>602</v>
      </c>
      <c r="H72" s="1" t="s">
        <v>38</v>
      </c>
      <c r="I72" s="1" t="s">
        <v>33</v>
      </c>
    </row>
    <row r="73" spans="1:9">
      <c r="A73" s="1" t="s">
        <v>54</v>
      </c>
      <c r="B73" s="2">
        <v>41031</v>
      </c>
      <c r="C73" s="1" t="s">
        <v>24</v>
      </c>
      <c r="D73" s="1">
        <v>2012</v>
      </c>
      <c r="E73" s="1" t="s">
        <v>33</v>
      </c>
      <c r="F73" s="1" t="s">
        <v>13</v>
      </c>
      <c r="G73" s="1">
        <v>910</v>
      </c>
      <c r="H73" s="1" t="s">
        <v>40</v>
      </c>
      <c r="I73" s="1" t="s">
        <v>33</v>
      </c>
    </row>
    <row r="74" spans="1:9">
      <c r="A74" s="1" t="s">
        <v>54</v>
      </c>
      <c r="B74" s="2">
        <v>41036</v>
      </c>
      <c r="C74" s="1" t="s">
        <v>24</v>
      </c>
      <c r="D74" s="1">
        <v>2012</v>
      </c>
      <c r="E74" s="1" t="s">
        <v>15</v>
      </c>
      <c r="F74" s="1" t="s">
        <v>13</v>
      </c>
      <c r="G74" s="1">
        <v>250</v>
      </c>
      <c r="I74" s="1" t="s">
        <v>15</v>
      </c>
    </row>
    <row r="75" spans="1:9">
      <c r="A75" s="1" t="s">
        <v>54</v>
      </c>
      <c r="B75" s="2">
        <v>41036</v>
      </c>
      <c r="C75" s="1" t="s">
        <v>24</v>
      </c>
      <c r="D75" s="1">
        <v>2012</v>
      </c>
      <c r="E75" s="1" t="s">
        <v>4</v>
      </c>
      <c r="F75" s="1" t="s">
        <v>13</v>
      </c>
      <c r="G75" s="1">
        <v>852</v>
      </c>
      <c r="I75" s="1" t="s">
        <v>4</v>
      </c>
    </row>
    <row r="76" spans="1:9">
      <c r="A76" s="1" t="s">
        <v>54</v>
      </c>
      <c r="B76" s="2">
        <v>41047</v>
      </c>
      <c r="C76" s="1" t="s">
        <v>24</v>
      </c>
      <c r="D76" s="1">
        <v>2012</v>
      </c>
      <c r="E76" s="1" t="s">
        <v>4</v>
      </c>
      <c r="F76" s="1" t="s">
        <v>13</v>
      </c>
      <c r="G76" s="1">
        <v>2820</v>
      </c>
      <c r="I76" s="1" t="s">
        <v>4</v>
      </c>
    </row>
    <row r="77" spans="1:9">
      <c r="A77" s="1" t="s">
        <v>54</v>
      </c>
      <c r="B77" s="2">
        <v>41049</v>
      </c>
      <c r="C77" s="1" t="s">
        <v>24</v>
      </c>
      <c r="D77" s="1">
        <v>2012</v>
      </c>
      <c r="E77" s="1" t="s">
        <v>47</v>
      </c>
      <c r="F77" s="1" t="s">
        <v>13</v>
      </c>
      <c r="G77" s="1">
        <v>180000</v>
      </c>
      <c r="H77" s="1" t="s">
        <v>47</v>
      </c>
      <c r="I77" s="1" t="s">
        <v>47</v>
      </c>
    </row>
    <row r="78" spans="1:9">
      <c r="A78" s="1" t="s">
        <v>54</v>
      </c>
      <c r="B78" s="2">
        <v>41056</v>
      </c>
      <c r="C78" s="1" t="s">
        <v>24</v>
      </c>
      <c r="D78" s="1">
        <v>2012</v>
      </c>
      <c r="E78" s="1" t="s">
        <v>33</v>
      </c>
      <c r="F78" s="1" t="s">
        <v>13</v>
      </c>
      <c r="G78" s="1">
        <v>900</v>
      </c>
      <c r="H78" s="1" t="s">
        <v>40</v>
      </c>
      <c r="I78" s="1" t="s">
        <v>33</v>
      </c>
    </row>
    <row r="79" spans="1:9">
      <c r="A79" s="1" t="s">
        <v>54</v>
      </c>
      <c r="B79" s="2">
        <v>41070</v>
      </c>
      <c r="C79" s="1" t="s">
        <v>25</v>
      </c>
      <c r="D79" s="1">
        <v>2012</v>
      </c>
      <c r="E79" s="1" t="s">
        <v>4</v>
      </c>
      <c r="F79" s="1" t="s">
        <v>13</v>
      </c>
      <c r="G79" s="1">
        <v>523</v>
      </c>
      <c r="I79" s="1" t="s">
        <v>4</v>
      </c>
    </row>
    <row r="80" spans="1:9">
      <c r="A80" s="1" t="s">
        <v>54</v>
      </c>
      <c r="B80" s="2">
        <v>41081</v>
      </c>
      <c r="C80" s="1" t="s">
        <v>25</v>
      </c>
      <c r="D80" s="1">
        <v>2012</v>
      </c>
      <c r="E80" s="1" t="s">
        <v>15</v>
      </c>
      <c r="F80" s="1" t="s">
        <v>13</v>
      </c>
      <c r="G80" s="1">
        <v>250</v>
      </c>
      <c r="I80" s="1" t="s">
        <v>15</v>
      </c>
    </row>
    <row r="81" spans="1:9">
      <c r="A81" s="1" t="s">
        <v>54</v>
      </c>
      <c r="B81" s="2">
        <v>41085</v>
      </c>
      <c r="C81" s="1" t="s">
        <v>25</v>
      </c>
      <c r="D81" s="1">
        <v>2012</v>
      </c>
      <c r="E81" s="1" t="s">
        <v>34</v>
      </c>
      <c r="F81" s="1" t="s">
        <v>13</v>
      </c>
      <c r="G81" s="1">
        <v>110</v>
      </c>
      <c r="H81" s="1">
        <v>2</v>
      </c>
      <c r="I81" s="1" t="s">
        <v>34</v>
      </c>
    </row>
    <row r="82" spans="1:9">
      <c r="A82" s="1" t="s">
        <v>54</v>
      </c>
      <c r="B82" s="2">
        <v>41085</v>
      </c>
      <c r="C82" s="1" t="s">
        <v>25</v>
      </c>
      <c r="D82" s="1">
        <v>2012</v>
      </c>
      <c r="E82" s="1" t="s">
        <v>35</v>
      </c>
      <c r="F82" s="1" t="s">
        <v>13</v>
      </c>
      <c r="G82" s="1">
        <v>5000</v>
      </c>
      <c r="H82" s="1" t="s">
        <v>35</v>
      </c>
      <c r="I82" s="1" t="s">
        <v>35</v>
      </c>
    </row>
    <row r="83" spans="1:9">
      <c r="A83" s="1" t="s">
        <v>54</v>
      </c>
      <c r="B83" s="2">
        <v>41085</v>
      </c>
      <c r="C83" s="1" t="s">
        <v>25</v>
      </c>
      <c r="D83" s="1">
        <v>2012</v>
      </c>
      <c r="E83" s="1" t="s">
        <v>36</v>
      </c>
      <c r="F83" s="1" t="s">
        <v>13</v>
      </c>
      <c r="G83" s="1">
        <v>2499</v>
      </c>
      <c r="I83" s="1" t="s">
        <v>36</v>
      </c>
    </row>
    <row r="84" spans="1:9">
      <c r="A84" s="1" t="s">
        <v>55</v>
      </c>
      <c r="B84" s="2">
        <f>'Manipal Details'!A2</f>
        <v>41278</v>
      </c>
      <c r="C84" s="2" t="str">
        <f>'Manipal Details'!B2</f>
        <v>Jan</v>
      </c>
      <c r="D84" s="1">
        <v>2013</v>
      </c>
      <c r="E84" s="2" t="str">
        <f>'Manipal Details'!C2</f>
        <v>Consult</v>
      </c>
      <c r="F84" s="5" t="str">
        <f>'Manipal Details'!D2</f>
        <v>Me</v>
      </c>
      <c r="G84" s="5">
        <f>'Manipal Details'!F2</f>
        <v>400</v>
      </c>
      <c r="H84" s="5" t="str">
        <f>'Manipal Details'!G2</f>
        <v>Bina</v>
      </c>
      <c r="I84" s="6">
        <f>'Manipal Details'!H2</f>
        <v>0</v>
      </c>
    </row>
    <row r="85" spans="1:9">
      <c r="A85" s="1" t="s">
        <v>55</v>
      </c>
      <c r="B85" s="2">
        <f>'Manipal Details'!A3</f>
        <v>41293</v>
      </c>
      <c r="C85" s="2" t="str">
        <f>'Manipal Details'!B3</f>
        <v>Jan</v>
      </c>
      <c r="D85" s="1">
        <v>2013</v>
      </c>
      <c r="E85" s="2" t="str">
        <f>'Manipal Details'!C3</f>
        <v>Blood test</v>
      </c>
      <c r="F85" s="5" t="str">
        <f>'Manipal Details'!D3</f>
        <v>Me</v>
      </c>
      <c r="G85" s="5">
        <f>'Manipal Details'!F3</f>
        <v>9170</v>
      </c>
      <c r="H85" s="5" t="str">
        <f>'Manipal Details'!G3</f>
        <v>Biochemistry</v>
      </c>
      <c r="I85" s="6">
        <f>'Manipal Details'!H3</f>
        <v>0</v>
      </c>
    </row>
    <row r="86" spans="1:9">
      <c r="A86" s="1" t="s">
        <v>55</v>
      </c>
      <c r="B86" s="2">
        <f>'Manipal Details'!A4</f>
        <v>41295</v>
      </c>
      <c r="C86" s="2" t="str">
        <f>'Manipal Details'!B4</f>
        <v>Jan</v>
      </c>
      <c r="D86" s="1">
        <v>2013</v>
      </c>
      <c r="E86" s="2" t="str">
        <f>'Manipal Details'!C4</f>
        <v>Medicine</v>
      </c>
      <c r="F86" s="5" t="str">
        <f>'Manipal Details'!D4</f>
        <v>Me</v>
      </c>
      <c r="G86" s="5">
        <f>'Manipal Details'!F4</f>
        <v>35</v>
      </c>
      <c r="H86" s="5" t="str">
        <f>'Manipal Details'!G4</f>
        <v xml:space="preserve">Cytolog 200 mcg tablet </v>
      </c>
      <c r="I86" s="6">
        <f>'Manipal Details'!H4</f>
        <v>0</v>
      </c>
    </row>
    <row r="87" spans="1:9">
      <c r="A87" s="1" t="s">
        <v>55</v>
      </c>
      <c r="B87" s="2">
        <f>'Manipal Details'!A5</f>
        <v>41295</v>
      </c>
      <c r="C87" s="2" t="str">
        <f>'Manipal Details'!B5</f>
        <v>Jan</v>
      </c>
      <c r="D87" s="1">
        <v>2013</v>
      </c>
      <c r="E87" s="2" t="str">
        <f>'Manipal Details'!C5</f>
        <v>Registration</v>
      </c>
      <c r="F87" s="5" t="str">
        <f>'Manipal Details'!D5</f>
        <v>DH</v>
      </c>
      <c r="G87" s="5">
        <f>'Manipal Details'!F5</f>
        <v>100</v>
      </c>
      <c r="H87" s="5">
        <f>'Manipal Details'!G5</f>
        <v>0</v>
      </c>
      <c r="I87" s="6">
        <f>'Manipal Details'!H5</f>
        <v>0</v>
      </c>
    </row>
    <row r="88" spans="1:9">
      <c r="A88" s="1" t="s">
        <v>55</v>
      </c>
      <c r="B88" s="2">
        <f>'Manipal Details'!A6</f>
        <v>41295</v>
      </c>
      <c r="C88" s="2" t="str">
        <f>'Manipal Details'!B6</f>
        <v>Jan</v>
      </c>
      <c r="D88" s="1">
        <v>2013</v>
      </c>
      <c r="E88" s="2" t="str">
        <f>'Manipal Details'!C6</f>
        <v>SA</v>
      </c>
      <c r="F88" s="5" t="str">
        <f>'Manipal Details'!D6</f>
        <v>DH</v>
      </c>
      <c r="G88" s="5">
        <f>'Manipal Details'!F6</f>
        <v>2660</v>
      </c>
      <c r="H88" s="5" t="str">
        <f>'Manipal Details'!G6</f>
        <v>DFI</v>
      </c>
      <c r="I88" s="6">
        <f>'Manipal Details'!H6</f>
        <v>0</v>
      </c>
    </row>
    <row r="89" spans="1:9">
      <c r="A89" s="1" t="s">
        <v>55</v>
      </c>
      <c r="B89" s="2">
        <f>'Manipal Details'!A7</f>
        <v>41295</v>
      </c>
      <c r="C89" s="2" t="str">
        <f>'Manipal Details'!B7</f>
        <v>Jan</v>
      </c>
      <c r="D89" s="1">
        <v>2013</v>
      </c>
      <c r="E89" s="2" t="str">
        <f>'Manipal Details'!C7</f>
        <v>Consult</v>
      </c>
      <c r="F89" s="5" t="str">
        <f>'Manipal Details'!D7</f>
        <v>Me</v>
      </c>
      <c r="G89" s="5">
        <f>'Manipal Details'!F7</f>
        <v>400</v>
      </c>
      <c r="H89" s="5" t="str">
        <f>'Manipal Details'!G7</f>
        <v>Manju</v>
      </c>
      <c r="I89" s="6">
        <f>'Manipal Details'!H7</f>
        <v>0</v>
      </c>
    </row>
    <row r="90" spans="1:9">
      <c r="A90" s="1" t="s">
        <v>55</v>
      </c>
      <c r="B90" s="2">
        <f>'Manipal Details'!A8</f>
        <v>41295</v>
      </c>
      <c r="C90" s="2" t="str">
        <f>'Manipal Details'!B8</f>
        <v>Jan</v>
      </c>
      <c r="D90" s="1">
        <v>2013</v>
      </c>
      <c r="E90" s="2" t="str">
        <f>'Manipal Details'!C8</f>
        <v>Scan</v>
      </c>
      <c r="F90" s="5" t="str">
        <f>'Manipal Details'!D8</f>
        <v>Me</v>
      </c>
      <c r="G90" s="5">
        <f>'Manipal Details'!F8</f>
        <v>790</v>
      </c>
      <c r="H90" s="5">
        <f>'Manipal Details'!G8</f>
        <v>0</v>
      </c>
      <c r="I90" s="6">
        <f>'Manipal Details'!H8</f>
        <v>0</v>
      </c>
    </row>
    <row r="91" spans="1:9">
      <c r="A91" s="1" t="s">
        <v>55</v>
      </c>
      <c r="B91" s="2">
        <f>'Manipal Details'!A9</f>
        <v>41299</v>
      </c>
      <c r="C91" s="2" t="str">
        <f>'Manipal Details'!B9</f>
        <v>Jan</v>
      </c>
      <c r="D91" s="1">
        <v>2013</v>
      </c>
      <c r="E91" s="2" t="str">
        <f>'Manipal Details'!C9</f>
        <v>Procedure</v>
      </c>
      <c r="F91" s="5" t="str">
        <f>'Manipal Details'!D9</f>
        <v>Me</v>
      </c>
      <c r="G91" s="5">
        <f>'Manipal Details'!F9</f>
        <v>28403</v>
      </c>
      <c r="H91" s="5" t="str">
        <f>'Manipal Details'!G9</f>
        <v>Hysteroscopy</v>
      </c>
      <c r="I91" s="6">
        <f>'Manipal Details'!H9</f>
        <v>0</v>
      </c>
    </row>
    <row r="92" spans="1:9">
      <c r="A92" s="1" t="s">
        <v>55</v>
      </c>
      <c r="B92" s="2">
        <f>'Manipal Details'!A10</f>
        <v>41299</v>
      </c>
      <c r="C92" s="2" t="str">
        <f>'Manipal Details'!B10</f>
        <v>Jan</v>
      </c>
      <c r="D92" s="1">
        <v>2013</v>
      </c>
      <c r="E92" s="2" t="str">
        <f>'Manipal Details'!C10</f>
        <v>Blood test</v>
      </c>
      <c r="F92" s="5" t="str">
        <f>'Manipal Details'!D10</f>
        <v>DH</v>
      </c>
      <c r="G92" s="5">
        <f>'Manipal Details'!F10</f>
        <v>3410</v>
      </c>
      <c r="H92" s="5" t="str">
        <f>'Manipal Details'!G10</f>
        <v>Hepatitis + HIV</v>
      </c>
      <c r="I92" s="6">
        <f>'Manipal Details'!H10</f>
        <v>0</v>
      </c>
    </row>
    <row r="93" spans="1:9">
      <c r="A93" s="1" t="s">
        <v>55</v>
      </c>
      <c r="B93" s="2">
        <f>'Manipal Details'!A11</f>
        <v>41299</v>
      </c>
      <c r="C93" s="2" t="str">
        <f>'Manipal Details'!B11</f>
        <v>Jan</v>
      </c>
      <c r="D93" s="1">
        <v>2013</v>
      </c>
      <c r="E93" s="2" t="str">
        <f>'Manipal Details'!C11</f>
        <v>Consult</v>
      </c>
      <c r="F93" s="5" t="str">
        <f>'Manipal Details'!D11</f>
        <v>DH</v>
      </c>
      <c r="G93" s="5">
        <f>'Manipal Details'!F11</f>
        <v>400</v>
      </c>
      <c r="H93" s="5" t="str">
        <f>'Manipal Details'!G11</f>
        <v>Vasan</v>
      </c>
      <c r="I93" s="6">
        <f>'Manipal Details'!H11</f>
        <v>0</v>
      </c>
    </row>
    <row r="94" spans="1:9">
      <c r="A94" s="1" t="s">
        <v>55</v>
      </c>
      <c r="B94" s="2">
        <f>'Manipal Details'!A12</f>
        <v>41306</v>
      </c>
      <c r="C94" s="2" t="str">
        <f>'Manipal Details'!B12</f>
        <v>Feb</v>
      </c>
      <c r="D94" s="1">
        <v>2013</v>
      </c>
      <c r="E94" s="2" t="str">
        <f>'Manipal Details'!C12</f>
        <v>Medicine</v>
      </c>
      <c r="F94" s="5" t="str">
        <f>'Manipal Details'!D12</f>
        <v>Me</v>
      </c>
      <c r="G94" s="5">
        <f>'Manipal Details'!F12</f>
        <v>55</v>
      </c>
      <c r="H94" s="5" t="str">
        <f>'Manipal Details'!G12</f>
        <v xml:space="preserve">Primolut-N 5 mg tablet </v>
      </c>
      <c r="I94" s="6">
        <f>'Manipal Details'!H12</f>
        <v>0</v>
      </c>
    </row>
    <row r="95" spans="1:9">
      <c r="A95" s="1" t="s">
        <v>55</v>
      </c>
      <c r="B95" s="2">
        <f>'Manipal Details'!A13</f>
        <v>41306</v>
      </c>
      <c r="C95" s="2" t="str">
        <f>'Manipal Details'!B13</f>
        <v>Feb</v>
      </c>
      <c r="D95" s="1">
        <v>2013</v>
      </c>
      <c r="E95" s="2" t="str">
        <f>'Manipal Details'!C13</f>
        <v>Medicine</v>
      </c>
      <c r="F95" s="5" t="str">
        <f>'Manipal Details'!D13</f>
        <v>DH</v>
      </c>
      <c r="G95" s="5">
        <f>'Manipal Details'!F13</f>
        <v>400</v>
      </c>
      <c r="H95" s="5" t="str">
        <f>'Manipal Details'!G13</f>
        <v xml:space="preserve">Paternia tablet </v>
      </c>
      <c r="I95" s="6">
        <f>'Manipal Details'!H13</f>
        <v>0</v>
      </c>
    </row>
    <row r="96" spans="1:9">
      <c r="A96" s="1" t="s">
        <v>55</v>
      </c>
      <c r="B96" s="2">
        <f>'Manipal Details'!A14</f>
        <v>41306</v>
      </c>
      <c r="C96" s="2" t="str">
        <f>'Manipal Details'!B14</f>
        <v>Feb</v>
      </c>
      <c r="D96" s="1">
        <v>2013</v>
      </c>
      <c r="E96" s="2" t="str">
        <f>'Manipal Details'!C14</f>
        <v>Medicine</v>
      </c>
      <c r="F96" s="5" t="str">
        <f>'Manipal Details'!D14</f>
        <v>DH</v>
      </c>
      <c r="G96" s="5">
        <f>'Manipal Details'!F14</f>
        <v>6</v>
      </c>
      <c r="H96" s="5" t="str">
        <f>'Manipal Details'!G14</f>
        <v xml:space="preserve">Wysolone 5 mg disp tablet </v>
      </c>
      <c r="I96" s="6">
        <f>'Manipal Details'!H14</f>
        <v>0</v>
      </c>
    </row>
    <row r="97" spans="1:9">
      <c r="A97" s="1" t="s">
        <v>55</v>
      </c>
      <c r="B97" s="2">
        <f>'Manipal Details'!A15</f>
        <v>41320</v>
      </c>
      <c r="C97" s="2" t="str">
        <f>'Manipal Details'!B15</f>
        <v>Feb</v>
      </c>
      <c r="D97" s="1">
        <v>2013</v>
      </c>
      <c r="E97" s="2" t="str">
        <f>'Manipal Details'!C15</f>
        <v>Medicine</v>
      </c>
      <c r="F97" s="5" t="str">
        <f>'Manipal Details'!D15</f>
        <v>Me</v>
      </c>
      <c r="G97" s="5">
        <f>'Manipal Details'!F15</f>
        <v>63</v>
      </c>
      <c r="H97" s="5" t="str">
        <f>'Manipal Details'!G15</f>
        <v xml:space="preserve">Azithral 500 mg tablet </v>
      </c>
      <c r="I97" s="6">
        <f>'Manipal Details'!H15</f>
        <v>0</v>
      </c>
    </row>
    <row r="98" spans="1:9">
      <c r="A98" s="1" t="s">
        <v>55</v>
      </c>
      <c r="B98" s="2">
        <f>'Manipal Details'!A16</f>
        <v>41320</v>
      </c>
      <c r="C98" s="2" t="str">
        <f>'Manipal Details'!B16</f>
        <v>Feb</v>
      </c>
      <c r="D98" s="1">
        <v>2013</v>
      </c>
      <c r="E98" s="2" t="str">
        <f>'Manipal Details'!C16</f>
        <v>Medicine</v>
      </c>
      <c r="F98" s="5" t="str">
        <f>'Manipal Details'!D16</f>
        <v>Me</v>
      </c>
      <c r="G98" s="5">
        <f>'Manipal Details'!F16</f>
        <v>7</v>
      </c>
      <c r="H98" s="5" t="str">
        <f>'Manipal Details'!G16</f>
        <v xml:space="preserve">Metrogyl 400 mg tablet </v>
      </c>
      <c r="I98" s="6">
        <f>'Manipal Details'!H16</f>
        <v>0</v>
      </c>
    </row>
    <row r="99" spans="1:9">
      <c r="A99" s="1" t="s">
        <v>55</v>
      </c>
      <c r="B99" s="2">
        <f>'Manipal Details'!A17</f>
        <v>41320</v>
      </c>
      <c r="C99" s="2" t="str">
        <f>'Manipal Details'!B17</f>
        <v>Feb</v>
      </c>
      <c r="D99" s="1">
        <v>2013</v>
      </c>
      <c r="E99" s="2" t="str">
        <f>'Manipal Details'!C17</f>
        <v>IVF Registration</v>
      </c>
      <c r="F99" s="5" t="str">
        <f>'Manipal Details'!D17</f>
        <v>DH</v>
      </c>
      <c r="G99" s="5">
        <f>'Manipal Details'!F17</f>
        <v>115000</v>
      </c>
      <c r="H99" s="5">
        <f>'Manipal Details'!G17</f>
        <v>0</v>
      </c>
      <c r="I99" s="6">
        <f>'Manipal Details'!H17</f>
        <v>0</v>
      </c>
    </row>
    <row r="100" spans="1:9">
      <c r="A100" s="1" t="s">
        <v>55</v>
      </c>
      <c r="B100" s="2">
        <f>'Manipal Details'!A18</f>
        <v>41328</v>
      </c>
      <c r="C100" s="2" t="str">
        <f>'Manipal Details'!B18</f>
        <v>Feb</v>
      </c>
      <c r="D100" s="1">
        <v>2013</v>
      </c>
      <c r="E100" s="2" t="str">
        <f>'Manipal Details'!C18</f>
        <v>SA</v>
      </c>
      <c r="F100" s="5" t="str">
        <f>'Manipal Details'!D18</f>
        <v>DH</v>
      </c>
      <c r="G100" s="5">
        <f>'Manipal Details'!F18</f>
        <v>3300</v>
      </c>
      <c r="H100" s="5" t="str">
        <f>'Manipal Details'!G18</f>
        <v>Temp cryo freezing and DFI for a month</v>
      </c>
      <c r="I100" s="6">
        <f>'Manipal Details'!H18</f>
        <v>0</v>
      </c>
    </row>
    <row r="101" spans="1:9">
      <c r="A101" s="1" t="s">
        <v>55</v>
      </c>
      <c r="B101" s="2">
        <f>'Manipal Details'!A19</f>
        <v>41329</v>
      </c>
      <c r="C101" s="2" t="str">
        <f>'Manipal Details'!B19</f>
        <v>Feb</v>
      </c>
      <c r="D101" s="1">
        <v>2013</v>
      </c>
      <c r="E101" s="2" t="str">
        <f>'Manipal Details'!C19</f>
        <v>Blood test</v>
      </c>
      <c r="F101" s="5" t="str">
        <f>'Manipal Details'!D19</f>
        <v>Me</v>
      </c>
      <c r="G101" s="5">
        <f>'Manipal Details'!F19</f>
        <v>650</v>
      </c>
      <c r="H101" s="5" t="str">
        <f>'Manipal Details'!G19</f>
        <v>Progesterone</v>
      </c>
      <c r="I101" s="6">
        <f>'Manipal Details'!H19</f>
        <v>0</v>
      </c>
    </row>
    <row r="102" spans="1:9">
      <c r="A102" s="1" t="s">
        <v>55</v>
      </c>
      <c r="B102" s="2">
        <f>'Manipal Details'!A20</f>
        <v>41330</v>
      </c>
      <c r="C102" s="2" t="str">
        <f>'Manipal Details'!B20</f>
        <v>Feb</v>
      </c>
      <c r="D102" s="1">
        <v>2013</v>
      </c>
      <c r="E102" s="2" t="str">
        <f>'Manipal Details'!C20</f>
        <v>Consult</v>
      </c>
      <c r="F102" s="5" t="str">
        <f>'Manipal Details'!D20</f>
        <v>DH</v>
      </c>
      <c r="G102" s="5">
        <f>'Manipal Details'!F20</f>
        <v>400</v>
      </c>
      <c r="H102" s="5" t="str">
        <f>'Manipal Details'!G20</f>
        <v>Vasan</v>
      </c>
      <c r="I102" s="6">
        <f>'Manipal Details'!H20</f>
        <v>0</v>
      </c>
    </row>
    <row r="103" spans="1:9">
      <c r="A103" s="1" t="s">
        <v>55</v>
      </c>
      <c r="B103" s="2">
        <f>'Manipal Details'!A21</f>
        <v>41330</v>
      </c>
      <c r="C103" s="2" t="str">
        <f>'Manipal Details'!B21</f>
        <v>Feb</v>
      </c>
      <c r="D103" s="1">
        <v>2013</v>
      </c>
      <c r="E103" s="2" t="str">
        <f>'Manipal Details'!C21</f>
        <v>Medicine</v>
      </c>
      <c r="F103" s="5" t="str">
        <f>'Manipal Details'!D21</f>
        <v>DH</v>
      </c>
      <c r="G103" s="5">
        <f>'Manipal Details'!F21</f>
        <v>3</v>
      </c>
      <c r="H103" s="5" t="str">
        <f>'Manipal Details'!G21</f>
        <v xml:space="preserve">Wysolone 5 mg disp tablet </v>
      </c>
      <c r="I103" s="6">
        <f>'Manipal Details'!H21</f>
        <v>0</v>
      </c>
    </row>
    <row r="104" spans="1:9">
      <c r="A104" s="1" t="s">
        <v>55</v>
      </c>
      <c r="B104" s="2">
        <f>'Manipal Details'!A22</f>
        <v>41330</v>
      </c>
      <c r="C104" s="2" t="str">
        <f>'Manipal Details'!B22</f>
        <v>Feb</v>
      </c>
      <c r="D104" s="1">
        <v>2013</v>
      </c>
      <c r="E104" s="2" t="str">
        <f>'Manipal Details'!C22</f>
        <v>Medicine</v>
      </c>
      <c r="F104" s="5" t="str">
        <f>'Manipal Details'!D22</f>
        <v>DH</v>
      </c>
      <c r="G104" s="5">
        <f>'Manipal Details'!F22</f>
        <v>400</v>
      </c>
      <c r="H104" s="5" t="str">
        <f>'Manipal Details'!G22</f>
        <v xml:space="preserve">Paternia tablet </v>
      </c>
      <c r="I104" s="6">
        <f>'Manipal Details'!H22</f>
        <v>0</v>
      </c>
    </row>
    <row r="105" spans="1:9">
      <c r="A105" s="1" t="s">
        <v>55</v>
      </c>
      <c r="B105" s="2">
        <f>'Manipal Details'!A23</f>
        <v>41330</v>
      </c>
      <c r="C105" s="2" t="str">
        <f>'Manipal Details'!B23</f>
        <v>Feb</v>
      </c>
      <c r="D105" s="1">
        <v>2013</v>
      </c>
      <c r="E105" s="2" t="str">
        <f>'Manipal Details'!C23</f>
        <v>Medicine</v>
      </c>
      <c r="F105" s="5" t="str">
        <f>'Manipal Details'!D23</f>
        <v>DH</v>
      </c>
      <c r="G105" s="5">
        <f>'Manipal Details'!F23</f>
        <v>382</v>
      </c>
      <c r="H105" s="5" t="str">
        <f>'Manipal Details'!G23</f>
        <v xml:space="preserve">Maxoza-L sachet </v>
      </c>
      <c r="I105" s="6">
        <f>'Manipal Details'!H23</f>
        <v>0</v>
      </c>
    </row>
    <row r="106" spans="1:9">
      <c r="A106" s="1" t="s">
        <v>55</v>
      </c>
      <c r="B106" s="2">
        <f>'Manipal Details'!A24</f>
        <v>41331</v>
      </c>
      <c r="C106" s="2" t="str">
        <f>'Manipal Details'!B24</f>
        <v>Feb</v>
      </c>
      <c r="D106" s="1">
        <v>2013</v>
      </c>
      <c r="E106" s="2" t="str">
        <f>'Manipal Details'!C24</f>
        <v>Procedure</v>
      </c>
      <c r="F106" s="5" t="str">
        <f>'Manipal Details'!D24</f>
        <v>Me</v>
      </c>
      <c r="G106" s="5">
        <f>'Manipal Details'!F24</f>
        <v>9066</v>
      </c>
      <c r="H106" s="5" t="str">
        <f>'Manipal Details'!G24</f>
        <v>Cyst aspiration</v>
      </c>
      <c r="I106" s="6">
        <f>'Manipal Details'!H24</f>
        <v>0</v>
      </c>
    </row>
    <row r="107" spans="1:9">
      <c r="A107" s="1" t="s">
        <v>55</v>
      </c>
      <c r="B107" s="2">
        <f>'Manipal Details'!A25</f>
        <v>41331</v>
      </c>
      <c r="C107" s="2" t="str">
        <f>'Manipal Details'!B25</f>
        <v>Feb</v>
      </c>
      <c r="D107" s="1">
        <v>2013</v>
      </c>
      <c r="E107" s="2" t="str">
        <f>'Manipal Details'!C25</f>
        <v>Medicine</v>
      </c>
      <c r="F107" s="5" t="str">
        <f>'Manipal Details'!D25</f>
        <v>Me</v>
      </c>
      <c r="G107" s="5">
        <f>'Manipal Details'!F25</f>
        <v>130</v>
      </c>
      <c r="H107" s="5" t="str">
        <f>'Manipal Details'!G25</f>
        <v xml:space="preserve">Novelon 5 mg </v>
      </c>
      <c r="I107" s="6">
        <f>'Manipal Details'!H25</f>
        <v>0</v>
      </c>
    </row>
    <row r="108" spans="1:9">
      <c r="A108" s="1" t="s">
        <v>55</v>
      </c>
      <c r="B108" s="2">
        <f>'Manipal Details'!A26</f>
        <v>41339</v>
      </c>
      <c r="C108" s="2" t="str">
        <f>'Manipal Details'!B26</f>
        <v>Mar</v>
      </c>
      <c r="D108" s="1">
        <v>2013</v>
      </c>
      <c r="E108" s="2" t="str">
        <f>'Manipal Details'!C26</f>
        <v>Medicine</v>
      </c>
      <c r="F108" s="5" t="str">
        <f>'Manipal Details'!D26</f>
        <v>DH</v>
      </c>
      <c r="G108" s="5">
        <f>'Manipal Details'!F26</f>
        <v>400</v>
      </c>
      <c r="H108" s="5" t="str">
        <f>'Manipal Details'!G26</f>
        <v xml:space="preserve">Paternia tablet </v>
      </c>
      <c r="I108" s="6" t="str">
        <f>'Manipal Details'!H26</f>
        <v>From Medicine House</v>
      </c>
    </row>
    <row r="109" spans="1:9">
      <c r="A109" s="1" t="s">
        <v>55</v>
      </c>
      <c r="B109" s="2">
        <f>'Manipal Details'!A27</f>
        <v>41339</v>
      </c>
      <c r="C109" s="2" t="str">
        <f>'Manipal Details'!B27</f>
        <v>Mar</v>
      </c>
      <c r="D109" s="1">
        <v>2013</v>
      </c>
      <c r="E109" s="2" t="str">
        <f>'Manipal Details'!C27</f>
        <v>Medicine</v>
      </c>
      <c r="F109" s="5" t="str">
        <f>'Manipal Details'!D27</f>
        <v>DH</v>
      </c>
      <c r="G109" s="5">
        <f>'Manipal Details'!F27</f>
        <v>764</v>
      </c>
      <c r="H109" s="5" t="str">
        <f>'Manipal Details'!G27</f>
        <v xml:space="preserve">Maxoza-L sachet </v>
      </c>
      <c r="I109" s="6" t="str">
        <f>'Manipal Details'!H27</f>
        <v>From Medicine House</v>
      </c>
    </row>
    <row r="110" spans="1:9">
      <c r="A110" s="1" t="s">
        <v>55</v>
      </c>
      <c r="B110" s="2">
        <f>'Manipal Details'!A28</f>
        <v>41355</v>
      </c>
      <c r="C110" s="2" t="str">
        <f>'Manipal Details'!B28</f>
        <v>Mar</v>
      </c>
      <c r="D110" s="1">
        <v>2013</v>
      </c>
      <c r="E110" s="2" t="str">
        <f>'Manipal Details'!C28</f>
        <v>Medicine</v>
      </c>
      <c r="F110" s="5" t="str">
        <f>'Manipal Details'!D28</f>
        <v>DH</v>
      </c>
      <c r="G110" s="5">
        <f>'Manipal Details'!F28</f>
        <v>1148</v>
      </c>
      <c r="H110" s="5" t="str">
        <f>'Manipal Details'!G28</f>
        <v xml:space="preserve">Maxoza-L sachet </v>
      </c>
      <c r="I110" s="6" t="str">
        <f>'Manipal Details'!H28</f>
        <v>From Fame Balaji</v>
      </c>
    </row>
    <row r="111" spans="1:9">
      <c r="A111" s="1" t="s">
        <v>55</v>
      </c>
      <c r="B111" s="2">
        <f>'Manipal Details'!A29</f>
        <v>41355</v>
      </c>
      <c r="C111" s="2" t="str">
        <f>'Manipal Details'!B29</f>
        <v>Mar</v>
      </c>
      <c r="D111" s="1">
        <v>2013</v>
      </c>
      <c r="E111" s="2" t="str">
        <f>'Manipal Details'!C29</f>
        <v>Medicine</v>
      </c>
      <c r="F111" s="5" t="str">
        <f>'Manipal Details'!D29</f>
        <v>DH</v>
      </c>
      <c r="G111" s="5">
        <f>'Manipal Details'!F29</f>
        <v>1200</v>
      </c>
      <c r="H111" s="5" t="str">
        <f>'Manipal Details'!G29</f>
        <v xml:space="preserve">Paternia tablet </v>
      </c>
      <c r="I111" s="6" t="str">
        <f>'Manipal Details'!H29</f>
        <v>From Fame Balaji</v>
      </c>
    </row>
    <row r="112" spans="1:9">
      <c r="A112" s="1" t="s">
        <v>55</v>
      </c>
      <c r="B112" s="2">
        <f>'Manipal Details'!A30</f>
        <v>41355</v>
      </c>
      <c r="C112" s="2" t="str">
        <f>'Manipal Details'!B30</f>
        <v>Mar</v>
      </c>
      <c r="D112" s="1">
        <v>2013</v>
      </c>
      <c r="E112" s="2" t="str">
        <f>'Manipal Details'!C30</f>
        <v>Medicine</v>
      </c>
      <c r="F112" s="5" t="str">
        <f>'Manipal Details'!D30</f>
        <v>DH</v>
      </c>
      <c r="G112" s="5">
        <f>'Manipal Details'!F30</f>
        <v>9</v>
      </c>
      <c r="H112" s="5" t="str">
        <f>'Manipal Details'!G30</f>
        <v xml:space="preserve">Wysolone 5 mg disp tablet </v>
      </c>
      <c r="I112" s="6" t="str">
        <f>'Manipal Details'!H30</f>
        <v>From Fame Balaji</v>
      </c>
    </row>
    <row r="113" spans="1:9">
      <c r="A113" s="1" t="s">
        <v>55</v>
      </c>
      <c r="B113" s="2">
        <f>'Manipal Details'!A31</f>
        <v>41359</v>
      </c>
      <c r="C113" s="2" t="str">
        <f>'Manipal Details'!B31</f>
        <v>Mar</v>
      </c>
      <c r="D113" s="1">
        <v>2013</v>
      </c>
      <c r="E113" s="2" t="str">
        <f>'Manipal Details'!C31</f>
        <v>IVF Medicine</v>
      </c>
      <c r="F113" s="5" t="str">
        <f>'Manipal Details'!D31</f>
        <v>Me</v>
      </c>
      <c r="G113" s="5">
        <f>'Manipal Details'!F31</f>
        <v>32080</v>
      </c>
      <c r="H113" s="5" t="str">
        <f>'Manipal Details'!G31</f>
        <v xml:space="preserve">Gonal F 300 IU </v>
      </c>
      <c r="I113" s="6" t="str">
        <f>'Manipal Details'!H31</f>
        <v>Injection 225 daily</v>
      </c>
    </row>
    <row r="114" spans="1:9">
      <c r="A114" s="1" t="s">
        <v>55</v>
      </c>
      <c r="B114" s="2">
        <f>'Manipal Details'!A32</f>
        <v>41363</v>
      </c>
      <c r="C114" s="2" t="str">
        <f>'Manipal Details'!B32</f>
        <v>Mar</v>
      </c>
      <c r="D114" s="1">
        <v>2013</v>
      </c>
      <c r="E114" s="2" t="str">
        <f>'Manipal Details'!C32</f>
        <v>Blood test</v>
      </c>
      <c r="F114" s="5" t="str">
        <f>'Manipal Details'!D32</f>
        <v>DH</v>
      </c>
      <c r="G114" s="5">
        <f>'Manipal Details'!F32</f>
        <v>370</v>
      </c>
      <c r="H114" s="5" t="str">
        <f>'Manipal Details'!G134</f>
        <v>Complete blood count</v>
      </c>
      <c r="I114" s="6" t="str">
        <f>'Manipal Details'!H134</f>
        <v>Part of pre anaestesia check</v>
      </c>
    </row>
    <row r="115" spans="1:9">
      <c r="A115" s="1" t="s">
        <v>55</v>
      </c>
      <c r="B115" s="2">
        <f>'Manipal Details'!A33</f>
        <v>41364</v>
      </c>
      <c r="C115" s="2" t="str">
        <f>'Manipal Details'!B33</f>
        <v>Mar</v>
      </c>
      <c r="D115" s="1">
        <v>2013</v>
      </c>
      <c r="E115" s="2" t="str">
        <f>'Manipal Details'!C33</f>
        <v>IVF Medicine</v>
      </c>
      <c r="F115" s="5" t="str">
        <f>'Manipal Details'!D33</f>
        <v>Me</v>
      </c>
      <c r="G115" s="5">
        <f>'Manipal Details'!F33</f>
        <v>8020</v>
      </c>
      <c r="H115" s="5" t="str">
        <f>'Manipal Details'!G33</f>
        <v xml:space="preserve">Gonal F 300 IU </v>
      </c>
      <c r="I115" s="6">
        <f>'Manipal Details'!H33</f>
        <v>0</v>
      </c>
    </row>
    <row r="116" spans="1:9">
      <c r="A116" s="1" t="s">
        <v>55</v>
      </c>
      <c r="B116" s="2">
        <f>'Manipal Details'!A34</f>
        <v>41364</v>
      </c>
      <c r="C116" s="2" t="str">
        <f>'Manipal Details'!B34</f>
        <v>Mar</v>
      </c>
      <c r="D116" s="1">
        <v>2013</v>
      </c>
      <c r="E116" s="2" t="str">
        <f>'Manipal Details'!C34</f>
        <v>IVF Medicine</v>
      </c>
      <c r="F116" s="5" t="str">
        <f>'Manipal Details'!D34</f>
        <v>Me</v>
      </c>
      <c r="G116" s="5">
        <f>'Manipal Details'!F34</f>
        <v>2040</v>
      </c>
      <c r="H116" s="5" t="str">
        <f>'Manipal Details'!G34</f>
        <v xml:space="preserve">Ovurelix 0.25 mg </v>
      </c>
      <c r="I116" s="6">
        <f>'Manipal Details'!H34</f>
        <v>0</v>
      </c>
    </row>
    <row r="117" spans="1:9">
      <c r="A117" s="1" t="s">
        <v>55</v>
      </c>
      <c r="B117" s="2">
        <f>'Manipal Details'!A35</f>
        <v>41364</v>
      </c>
      <c r="C117" s="2" t="str">
        <f>'Manipal Details'!B35</f>
        <v>Mar</v>
      </c>
      <c r="D117" s="1">
        <v>2013</v>
      </c>
      <c r="E117" s="2" t="str">
        <f>'Manipal Details'!C35</f>
        <v>IVF Medicine</v>
      </c>
      <c r="F117" s="5" t="str">
        <f>'Manipal Details'!D35</f>
        <v>Me</v>
      </c>
      <c r="G117" s="5">
        <f>'Manipal Details'!F35</f>
        <v>15</v>
      </c>
      <c r="H117" s="5" t="str">
        <f>'Manipal Details'!G35</f>
        <v xml:space="preserve">Syringe </v>
      </c>
      <c r="I117" s="6">
        <f>'Manipal Details'!H35</f>
        <v>0</v>
      </c>
    </row>
    <row r="118" spans="1:9">
      <c r="A118" s="1" t="s">
        <v>55</v>
      </c>
      <c r="B118" s="2">
        <f>'Manipal Details'!A36</f>
        <v>41365</v>
      </c>
      <c r="C118" s="2" t="str">
        <f>'Manipal Details'!B36</f>
        <v>Apr</v>
      </c>
      <c r="D118" s="1">
        <v>2013</v>
      </c>
      <c r="E118" s="2" t="str">
        <f>'Manipal Details'!C36</f>
        <v>IVF Blood test</v>
      </c>
      <c r="F118" s="5" t="str">
        <f>'Manipal Details'!D36</f>
        <v>Me</v>
      </c>
      <c r="G118" s="5">
        <f>'Manipal Details'!F36</f>
        <v>0</v>
      </c>
      <c r="H118" s="5" t="str">
        <f>'Manipal Details'!G36</f>
        <v>Estradiol (package)</v>
      </c>
      <c r="I118" s="6">
        <f>'Manipal Details'!H36</f>
        <v>0</v>
      </c>
    </row>
    <row r="119" spans="1:9">
      <c r="A119" s="1" t="s">
        <v>55</v>
      </c>
      <c r="B119" s="2">
        <f>'Manipal Details'!A37</f>
        <v>41365</v>
      </c>
      <c r="C119" s="2" t="str">
        <f>'Manipal Details'!B37</f>
        <v>Apr</v>
      </c>
      <c r="D119" s="1">
        <v>2013</v>
      </c>
      <c r="E119" s="2" t="str">
        <f>'Manipal Details'!C37</f>
        <v>IVF Blood test</v>
      </c>
      <c r="F119" s="5" t="str">
        <f>'Manipal Details'!D37</f>
        <v>Me</v>
      </c>
      <c r="G119" s="5">
        <f>'Manipal Details'!F37</f>
        <v>650</v>
      </c>
      <c r="H119" s="5" t="str">
        <f>'Manipal Details'!G37</f>
        <v>Progesterone</v>
      </c>
      <c r="I119" s="6">
        <f>'Manipal Details'!H37</f>
        <v>0</v>
      </c>
    </row>
    <row r="120" spans="1:9">
      <c r="A120" s="1" t="s">
        <v>55</v>
      </c>
      <c r="B120" s="2">
        <f>'Manipal Details'!A38</f>
        <v>41365</v>
      </c>
      <c r="C120" s="2" t="str">
        <f>'Manipal Details'!B38</f>
        <v>Apr</v>
      </c>
      <c r="D120" s="1">
        <v>2013</v>
      </c>
      <c r="E120" s="2" t="str">
        <f>'Manipal Details'!C38</f>
        <v>IVF Medicine</v>
      </c>
      <c r="F120" s="5" t="str">
        <f>'Manipal Details'!D38</f>
        <v>Me</v>
      </c>
      <c r="G120" s="5">
        <f>'Manipal Details'!F38</f>
        <v>8020</v>
      </c>
      <c r="H120" s="5" t="str">
        <f>'Manipal Details'!G38</f>
        <v xml:space="preserve">Gonal F 300 IU </v>
      </c>
      <c r="I120" s="6">
        <f>'Manipal Details'!H38</f>
        <v>0</v>
      </c>
    </row>
    <row r="121" spans="1:9">
      <c r="A121" s="1" t="s">
        <v>55</v>
      </c>
      <c r="B121" s="2">
        <f>'Manipal Details'!A39</f>
        <v>41365</v>
      </c>
      <c r="C121" s="2" t="str">
        <f>'Manipal Details'!B39</f>
        <v>Apr</v>
      </c>
      <c r="D121" s="1">
        <v>2013</v>
      </c>
      <c r="E121" s="2" t="str">
        <f>'Manipal Details'!C39</f>
        <v>IVF Medicine</v>
      </c>
      <c r="F121" s="5" t="str">
        <f>'Manipal Details'!D39</f>
        <v>Me</v>
      </c>
      <c r="G121" s="5">
        <f>'Manipal Details'!F39</f>
        <v>2040</v>
      </c>
      <c r="H121" s="5" t="str">
        <f>'Manipal Details'!G39</f>
        <v xml:space="preserve">Ovurelix 0.25 mg </v>
      </c>
      <c r="I121" s="6">
        <f>'Manipal Details'!H39</f>
        <v>0</v>
      </c>
    </row>
    <row r="122" spans="1:9">
      <c r="A122" s="1" t="s">
        <v>55</v>
      </c>
      <c r="B122" s="2">
        <f>'Manipal Details'!A40</f>
        <v>41365</v>
      </c>
      <c r="C122" s="2" t="str">
        <f>'Manipal Details'!B40</f>
        <v>Apr</v>
      </c>
      <c r="D122" s="1">
        <v>2013</v>
      </c>
      <c r="E122" s="2" t="str">
        <f>'Manipal Details'!C40</f>
        <v>IVF Medicine</v>
      </c>
      <c r="F122" s="5" t="str">
        <f>'Manipal Details'!D40</f>
        <v>Me</v>
      </c>
      <c r="G122" s="5">
        <f>'Manipal Details'!F40</f>
        <v>2200</v>
      </c>
      <c r="H122" s="5" t="str">
        <f>'Manipal Details'!G40</f>
        <v xml:space="preserve">Persinal-HP 75 IU </v>
      </c>
      <c r="I122" s="6">
        <f>'Manipal Details'!H40</f>
        <v>0</v>
      </c>
    </row>
    <row r="123" spans="1:9">
      <c r="A123" s="1" t="s">
        <v>55</v>
      </c>
      <c r="B123" s="2">
        <f>'Manipal Details'!A41</f>
        <v>41365</v>
      </c>
      <c r="C123" s="2" t="str">
        <f>'Manipal Details'!B41</f>
        <v>Apr</v>
      </c>
      <c r="D123" s="1">
        <v>2013</v>
      </c>
      <c r="E123" s="2" t="str">
        <f>'Manipal Details'!C41</f>
        <v>IVF Medicine</v>
      </c>
      <c r="F123" s="5" t="str">
        <f>'Manipal Details'!D41</f>
        <v>Me</v>
      </c>
      <c r="G123" s="5">
        <f>'Manipal Details'!F41</f>
        <v>16.5</v>
      </c>
      <c r="H123" s="5" t="str">
        <f>'Manipal Details'!G41</f>
        <v xml:space="preserve">Syringe </v>
      </c>
      <c r="I123" s="6">
        <f>'Manipal Details'!H41</f>
        <v>0</v>
      </c>
    </row>
    <row r="124" spans="1:9">
      <c r="A124" s="1" t="s">
        <v>55</v>
      </c>
      <c r="B124" s="2">
        <f>'Manipal Details'!A42</f>
        <v>41365</v>
      </c>
      <c r="C124" s="2" t="str">
        <f>'Manipal Details'!B42</f>
        <v>Apr</v>
      </c>
      <c r="D124" s="1">
        <v>2013</v>
      </c>
      <c r="E124" s="2" t="str">
        <f>'Manipal Details'!C42</f>
        <v>IVF Medicine</v>
      </c>
      <c r="F124" s="5" t="str">
        <f>'Manipal Details'!D42</f>
        <v>Me</v>
      </c>
      <c r="G124" s="5">
        <f>'Manipal Details'!F42</f>
        <v>14.5</v>
      </c>
      <c r="H124" s="5" t="str">
        <f>'Manipal Details'!G42</f>
        <v xml:space="preserve">Syringe </v>
      </c>
      <c r="I124" s="6">
        <f>'Manipal Details'!H42</f>
        <v>0</v>
      </c>
    </row>
    <row r="125" spans="1:9">
      <c r="A125" s="1" t="s">
        <v>55</v>
      </c>
      <c r="B125" s="2">
        <f>'Manipal Details'!A43</f>
        <v>41366</v>
      </c>
      <c r="C125" s="2" t="str">
        <f>'Manipal Details'!B43</f>
        <v>Apr</v>
      </c>
      <c r="D125" s="1">
        <v>2013</v>
      </c>
      <c r="E125" s="2" t="str">
        <f>'Manipal Details'!C43</f>
        <v>Consult</v>
      </c>
      <c r="F125" s="5" t="str">
        <f>'Manipal Details'!D43</f>
        <v>DH</v>
      </c>
      <c r="G125" s="5">
        <f>'Manipal Details'!F43</f>
        <v>400</v>
      </c>
      <c r="H125" s="5" t="str">
        <f>'Manipal Details'!G43</f>
        <v>Vasan</v>
      </c>
      <c r="I125" s="6">
        <f>'Manipal Details'!H43</f>
        <v>0</v>
      </c>
    </row>
    <row r="126" spans="1:9">
      <c r="A126" s="1" t="s">
        <v>55</v>
      </c>
      <c r="B126" s="2">
        <f>'Manipal Details'!A44</f>
        <v>41366</v>
      </c>
      <c r="C126" s="2" t="str">
        <f>'Manipal Details'!B44</f>
        <v>Apr</v>
      </c>
      <c r="D126" s="1">
        <v>2013</v>
      </c>
      <c r="E126" s="2" t="str">
        <f>'Manipal Details'!C44</f>
        <v>IVF Medicine</v>
      </c>
      <c r="F126" s="5" t="str">
        <f>'Manipal Details'!D44</f>
        <v>DH</v>
      </c>
      <c r="G126" s="5">
        <f>'Manipal Details'!F44</f>
        <v>151</v>
      </c>
      <c r="H126" s="5" t="str">
        <f>'Manipal Details'!G44</f>
        <v xml:space="preserve">Penegra 25 mg </v>
      </c>
      <c r="I126" s="6">
        <f>'Manipal Details'!H44</f>
        <v>0</v>
      </c>
    </row>
    <row r="127" spans="1:9">
      <c r="A127" s="1" t="s">
        <v>55</v>
      </c>
      <c r="B127" s="2">
        <f>'Manipal Details'!A45</f>
        <v>41367</v>
      </c>
      <c r="C127" s="2" t="str">
        <f>'Manipal Details'!B45</f>
        <v>Apr</v>
      </c>
      <c r="D127" s="1">
        <v>2013</v>
      </c>
      <c r="E127" s="2" t="str">
        <f>'Manipal Details'!C45</f>
        <v>IVF Blood test</v>
      </c>
      <c r="F127" s="5" t="str">
        <f>'Manipal Details'!D45</f>
        <v>Me</v>
      </c>
      <c r="G127" s="5">
        <f>'Manipal Details'!F45</f>
        <v>0</v>
      </c>
      <c r="H127" s="5" t="str">
        <f>'Manipal Details'!G45</f>
        <v>Estradiol (package)</v>
      </c>
      <c r="I127" s="6">
        <f>'Manipal Details'!H45</f>
        <v>0</v>
      </c>
    </row>
    <row r="128" spans="1:9">
      <c r="A128" s="1" t="s">
        <v>55</v>
      </c>
      <c r="B128" s="2">
        <f>'Manipal Details'!A46</f>
        <v>41367</v>
      </c>
      <c r="C128" s="2" t="str">
        <f>'Manipal Details'!B46</f>
        <v>Apr</v>
      </c>
      <c r="D128" s="1">
        <v>2013</v>
      </c>
      <c r="E128" s="2" t="str">
        <f>'Manipal Details'!C46</f>
        <v>IVF Blood test</v>
      </c>
      <c r="F128" s="5" t="str">
        <f>'Manipal Details'!D46</f>
        <v>Me</v>
      </c>
      <c r="G128" s="5">
        <f>'Manipal Details'!F46</f>
        <v>650</v>
      </c>
      <c r="H128" s="5" t="str">
        <f>'Manipal Details'!G46</f>
        <v>Progesterone</v>
      </c>
      <c r="I128" s="6">
        <f>'Manipal Details'!H46</f>
        <v>0</v>
      </c>
    </row>
    <row r="129" spans="1:9">
      <c r="A129" s="1" t="s">
        <v>55</v>
      </c>
      <c r="B129" s="2">
        <f>'Manipal Details'!A47</f>
        <v>41367</v>
      </c>
      <c r="C129" s="2" t="str">
        <f>'Manipal Details'!B47</f>
        <v>Apr</v>
      </c>
      <c r="D129" s="1">
        <v>2013</v>
      </c>
      <c r="E129" s="2" t="str">
        <f>'Manipal Details'!C47</f>
        <v>IVF Medicine</v>
      </c>
      <c r="F129" s="5" t="str">
        <f>'Manipal Details'!D47</f>
        <v>Me</v>
      </c>
      <c r="G129" s="5">
        <f>'Manipal Details'!F47</f>
        <v>1500</v>
      </c>
      <c r="H129" s="5" t="str">
        <f>'Manipal Details'!G47</f>
        <v>Ovitrelle 250 mcg</v>
      </c>
      <c r="I129" s="6">
        <f>'Manipal Details'!H47</f>
        <v>0</v>
      </c>
    </row>
    <row r="130" spans="1:9">
      <c r="A130" s="1" t="s">
        <v>55</v>
      </c>
      <c r="B130" s="2">
        <f>'Manipal Details'!A48</f>
        <v>41367</v>
      </c>
      <c r="C130" s="2" t="str">
        <f>'Manipal Details'!B48</f>
        <v>Apr</v>
      </c>
      <c r="D130" s="1">
        <v>2013</v>
      </c>
      <c r="E130" s="2" t="str">
        <f>'Manipal Details'!C48</f>
        <v>IVF Medicine</v>
      </c>
      <c r="F130" s="5" t="str">
        <f>'Manipal Details'!D48</f>
        <v>Me</v>
      </c>
      <c r="G130" s="5">
        <f>'Manipal Details'!F48</f>
        <v>1100</v>
      </c>
      <c r="H130" s="5" t="str">
        <f>'Manipal Details'!G48</f>
        <v xml:space="preserve">Persinal-HP 75 IU </v>
      </c>
      <c r="I130" s="6">
        <f>'Manipal Details'!H48</f>
        <v>0</v>
      </c>
    </row>
    <row r="131" spans="1:9">
      <c r="A131" s="1" t="s">
        <v>55</v>
      </c>
      <c r="B131" s="2">
        <f>'Manipal Details'!A49</f>
        <v>41367</v>
      </c>
      <c r="C131" s="2" t="str">
        <f>'Manipal Details'!B49</f>
        <v>Apr</v>
      </c>
      <c r="D131" s="1">
        <v>2013</v>
      </c>
      <c r="E131" s="2" t="str">
        <f>'Manipal Details'!C49</f>
        <v>IVF Medicine</v>
      </c>
      <c r="F131" s="5" t="str">
        <f>'Manipal Details'!D49</f>
        <v>Me</v>
      </c>
      <c r="G131" s="5">
        <f>'Manipal Details'!F49</f>
        <v>8</v>
      </c>
      <c r="H131" s="5" t="str">
        <f>'Manipal Details'!G49</f>
        <v xml:space="preserve">Syringe </v>
      </c>
      <c r="I131" s="6">
        <f>'Manipal Details'!H49</f>
        <v>0</v>
      </c>
    </row>
    <row r="132" spans="1:9">
      <c r="A132" s="1" t="s">
        <v>55</v>
      </c>
      <c r="B132" s="2">
        <f>'Manipal Details'!A50</f>
        <v>41369</v>
      </c>
      <c r="C132" s="2" t="str">
        <f>'Manipal Details'!B50</f>
        <v>Apr</v>
      </c>
      <c r="D132" s="1">
        <v>2013</v>
      </c>
      <c r="E132" s="2" t="str">
        <f>'Manipal Details'!C50</f>
        <v>IVF TESA</v>
      </c>
      <c r="F132" s="5" t="str">
        <f>'Manipal Details'!D50</f>
        <v>DH</v>
      </c>
      <c r="G132" s="5">
        <f>'Manipal Details'!F50</f>
        <v>65</v>
      </c>
      <c r="H132" s="5" t="str">
        <f>'Manipal Details'!G50</f>
        <v>Oframax 1 gm 6500 IU</v>
      </c>
      <c r="I132" s="6">
        <f>'Manipal Details'!H50</f>
        <v>0</v>
      </c>
    </row>
    <row r="133" spans="1:9">
      <c r="A133" s="1" t="s">
        <v>55</v>
      </c>
      <c r="B133" s="2">
        <f>'Manipal Details'!A51</f>
        <v>41369</v>
      </c>
      <c r="C133" s="2" t="str">
        <f>'Manipal Details'!B51</f>
        <v>Apr</v>
      </c>
      <c r="D133" s="1">
        <v>2013</v>
      </c>
      <c r="E133" s="2" t="str">
        <f>'Manipal Details'!C51</f>
        <v>IVF TESA</v>
      </c>
      <c r="F133" s="5" t="str">
        <f>'Manipal Details'!D51</f>
        <v>DH</v>
      </c>
      <c r="G133" s="5">
        <f>'Manipal Details'!F51</f>
        <v>31</v>
      </c>
      <c r="H133" s="5" t="str">
        <f>'Manipal Details'!G51</f>
        <v xml:space="preserve">Syringe </v>
      </c>
      <c r="I133" s="6">
        <f>'Manipal Details'!H51</f>
        <v>0</v>
      </c>
    </row>
    <row r="134" spans="1:9">
      <c r="A134" s="1" t="s">
        <v>55</v>
      </c>
      <c r="B134" s="2">
        <f>'Manipal Details'!A52</f>
        <v>41369</v>
      </c>
      <c r="C134" s="2" t="str">
        <f>'Manipal Details'!B52</f>
        <v>Apr</v>
      </c>
      <c r="D134" s="1">
        <v>2013</v>
      </c>
      <c r="E134" s="2" t="str">
        <f>'Manipal Details'!C52</f>
        <v>IVF TESA</v>
      </c>
      <c r="F134" s="5" t="str">
        <f>'Manipal Details'!D52</f>
        <v>DH</v>
      </c>
      <c r="G134" s="5">
        <f>'Manipal Details'!F52</f>
        <v>56</v>
      </c>
      <c r="H134" s="5" t="str">
        <f>'Manipal Details'!G52</f>
        <v>Ciplox 500 mg tablet</v>
      </c>
      <c r="I134" s="6">
        <f>'Manipal Details'!H52</f>
        <v>0</v>
      </c>
    </row>
    <row r="135" spans="1:9">
      <c r="A135" s="1" t="s">
        <v>55</v>
      </c>
      <c r="B135" s="2">
        <f>'Manipal Details'!A53</f>
        <v>41369</v>
      </c>
      <c r="C135" s="2" t="str">
        <f>'Manipal Details'!B53</f>
        <v>Apr</v>
      </c>
      <c r="D135" s="1">
        <v>2013</v>
      </c>
      <c r="E135" s="2" t="str">
        <f>'Manipal Details'!C53</f>
        <v>IVF TESA</v>
      </c>
      <c r="F135" s="5" t="str">
        <f>'Manipal Details'!D53</f>
        <v>DH</v>
      </c>
      <c r="G135" s="5">
        <f>'Manipal Details'!F53</f>
        <v>19</v>
      </c>
      <c r="H135" s="5" t="str">
        <f>'Manipal Details'!G53</f>
        <v>Proxyon tablet</v>
      </c>
      <c r="I135" s="6">
        <f>'Manipal Details'!H53</f>
        <v>0</v>
      </c>
    </row>
    <row r="136" spans="1:9">
      <c r="A136" s="1" t="s">
        <v>55</v>
      </c>
      <c r="B136" s="2">
        <f>'Manipal Details'!A54</f>
        <v>41369</v>
      </c>
      <c r="C136" s="2" t="str">
        <f>'Manipal Details'!B54</f>
        <v>Apr</v>
      </c>
      <c r="D136" s="1">
        <v>2013</v>
      </c>
      <c r="E136" s="2" t="str">
        <f>'Manipal Details'!C54</f>
        <v>Procedure</v>
      </c>
      <c r="F136" s="5" t="str">
        <f>'Manipal Details'!D54</f>
        <v>DH</v>
      </c>
      <c r="G136" s="5">
        <f>'Manipal Details'!F54</f>
        <v>23207</v>
      </c>
      <c r="H136" s="5" t="str">
        <f>'Manipal Details'!G54</f>
        <v>TESA</v>
      </c>
      <c r="I136" s="6">
        <f>'Manipal Details'!H54</f>
        <v>0</v>
      </c>
    </row>
    <row r="137" spans="1:9">
      <c r="A137" s="1" t="s">
        <v>55</v>
      </c>
      <c r="B137" s="2">
        <f>'Manipal Details'!A55</f>
        <v>41369</v>
      </c>
      <c r="C137" s="2" t="str">
        <f>'Manipal Details'!B55</f>
        <v>Apr</v>
      </c>
      <c r="D137" s="1">
        <v>2013</v>
      </c>
      <c r="E137" s="2" t="str">
        <f>'Manipal Details'!C55</f>
        <v>IVF Egg retrieval</v>
      </c>
      <c r="F137" s="5" t="str">
        <f>'Manipal Details'!D55</f>
        <v>Me</v>
      </c>
      <c r="G137" s="5">
        <f>'Manipal Details'!F55</f>
        <v>65</v>
      </c>
      <c r="H137" s="5" t="str">
        <f>'Manipal Details'!G55</f>
        <v>Oframax 1 gm 6500 IU</v>
      </c>
      <c r="I137" s="6">
        <f>'Manipal Details'!H55</f>
        <v>0</v>
      </c>
    </row>
    <row r="138" spans="1:9">
      <c r="A138" s="1" t="s">
        <v>55</v>
      </c>
      <c r="B138" s="2">
        <f>'Manipal Details'!A56</f>
        <v>41369</v>
      </c>
      <c r="C138" s="2" t="str">
        <f>'Manipal Details'!B56</f>
        <v>Apr</v>
      </c>
      <c r="D138" s="1">
        <v>2013</v>
      </c>
      <c r="E138" s="2" t="str">
        <f>'Manipal Details'!C56</f>
        <v>IVF Egg retrieval</v>
      </c>
      <c r="F138" s="5" t="str">
        <f>'Manipal Details'!D56</f>
        <v>Me</v>
      </c>
      <c r="G138" s="5">
        <f>'Manipal Details'!F56</f>
        <v>31</v>
      </c>
      <c r="H138" s="5" t="str">
        <f>'Manipal Details'!G56</f>
        <v xml:space="preserve">Syringe </v>
      </c>
      <c r="I138" s="6">
        <f>'Manipal Details'!H56</f>
        <v>0</v>
      </c>
    </row>
    <row r="139" spans="1:9">
      <c r="A139" s="1" t="s">
        <v>55</v>
      </c>
      <c r="B139" s="2">
        <f>'Manipal Details'!A57</f>
        <v>41369</v>
      </c>
      <c r="C139" s="2" t="str">
        <f>'Manipal Details'!B57</f>
        <v>Apr</v>
      </c>
      <c r="D139" s="1">
        <v>2013</v>
      </c>
      <c r="E139" s="2" t="str">
        <f>'Manipal Details'!C57</f>
        <v>IVF Egg retrieval</v>
      </c>
      <c r="F139" s="5" t="str">
        <f>'Manipal Details'!D57</f>
        <v>Me</v>
      </c>
      <c r="G139" s="5">
        <f>'Manipal Details'!F57</f>
        <v>77</v>
      </c>
      <c r="H139" s="5" t="str">
        <f>'Manipal Details'!G57</f>
        <v>Tiniden 800 mg</v>
      </c>
      <c r="I139" s="6">
        <f>'Manipal Details'!H57</f>
        <v>0</v>
      </c>
    </row>
    <row r="140" spans="1:9">
      <c r="A140" s="1" t="s">
        <v>55</v>
      </c>
      <c r="B140" s="2">
        <f>'Manipal Details'!A58</f>
        <v>41369</v>
      </c>
      <c r="C140" s="2" t="str">
        <f>'Manipal Details'!B58</f>
        <v>Apr</v>
      </c>
      <c r="D140" s="1">
        <v>2013</v>
      </c>
      <c r="E140" s="2" t="str">
        <f>'Manipal Details'!C58</f>
        <v>IVF Egg retrieval</v>
      </c>
      <c r="F140" s="5" t="str">
        <f>'Manipal Details'!D58</f>
        <v>Me</v>
      </c>
      <c r="G140" s="5">
        <f>'Manipal Details'!F58</f>
        <v>418</v>
      </c>
      <c r="H140" s="5" t="str">
        <f>'Manipal Details'!G58</f>
        <v>Gestone 100 mg</v>
      </c>
      <c r="I140" s="6">
        <f>'Manipal Details'!H58</f>
        <v>0</v>
      </c>
    </row>
    <row r="141" spans="1:9">
      <c r="A141" s="1" t="s">
        <v>55</v>
      </c>
      <c r="B141" s="2">
        <f>'Manipal Details'!A59</f>
        <v>41369</v>
      </c>
      <c r="C141" s="2" t="str">
        <f>'Manipal Details'!B59</f>
        <v>Apr</v>
      </c>
      <c r="D141" s="1">
        <v>2013</v>
      </c>
      <c r="E141" s="2" t="str">
        <f>'Manipal Details'!C59</f>
        <v>IVF Egg retrieval</v>
      </c>
      <c r="F141" s="5" t="str">
        <f>'Manipal Details'!D59</f>
        <v>Me</v>
      </c>
      <c r="G141" s="5">
        <f>'Manipal Details'!F59</f>
        <v>33</v>
      </c>
      <c r="H141" s="5" t="str">
        <f>'Manipal Details'!G59</f>
        <v xml:space="preserve">Syringe </v>
      </c>
      <c r="I141" s="6">
        <f>'Manipal Details'!H59</f>
        <v>0</v>
      </c>
    </row>
    <row r="142" spans="1:9">
      <c r="A142" s="1" t="s">
        <v>55</v>
      </c>
      <c r="B142" s="2">
        <f>'Manipal Details'!A60</f>
        <v>41369</v>
      </c>
      <c r="C142" s="2" t="str">
        <f>'Manipal Details'!B60</f>
        <v>Apr</v>
      </c>
      <c r="D142" s="1">
        <v>2013</v>
      </c>
      <c r="E142" s="2" t="str">
        <f>'Manipal Details'!C60</f>
        <v>IVF Egg retrieval</v>
      </c>
      <c r="F142" s="5" t="str">
        <f>'Manipal Details'!D60</f>
        <v>Me</v>
      </c>
      <c r="G142" s="5">
        <f>'Manipal Details'!F60</f>
        <v>259</v>
      </c>
      <c r="H142" s="5" t="str">
        <f>'Manipal Details'!G60</f>
        <v>Progynova 2 mg tablet</v>
      </c>
      <c r="I142" s="6">
        <f>'Manipal Details'!H60</f>
        <v>0</v>
      </c>
    </row>
    <row r="143" spans="1:9">
      <c r="A143" s="1" t="s">
        <v>55</v>
      </c>
      <c r="B143" s="2">
        <f>'Manipal Details'!A61</f>
        <v>41369</v>
      </c>
      <c r="C143" s="2" t="str">
        <f>'Manipal Details'!B61</f>
        <v>Apr</v>
      </c>
      <c r="D143" s="1">
        <v>2013</v>
      </c>
      <c r="E143" s="2" t="str">
        <f>'Manipal Details'!C61</f>
        <v>IVF Egg retrieval</v>
      </c>
      <c r="F143" s="5" t="str">
        <f>'Manipal Details'!D61</f>
        <v>Me</v>
      </c>
      <c r="G143" s="5">
        <f>'Manipal Details'!F61</f>
        <v>11</v>
      </c>
      <c r="H143" s="5" t="str">
        <f>'Manipal Details'!G61</f>
        <v>Dolo 650 mg</v>
      </c>
      <c r="I143" s="6">
        <f>'Manipal Details'!H61</f>
        <v>0</v>
      </c>
    </row>
    <row r="144" spans="1:9">
      <c r="A144" s="1" t="s">
        <v>55</v>
      </c>
      <c r="B144" s="2">
        <f>'Manipal Details'!A62</f>
        <v>41369</v>
      </c>
      <c r="C144" s="2" t="str">
        <f>'Manipal Details'!B62</f>
        <v>Apr</v>
      </c>
      <c r="D144" s="1">
        <v>2013</v>
      </c>
      <c r="E144" s="2" t="str">
        <f>'Manipal Details'!C62</f>
        <v>IVF Egg retrieval</v>
      </c>
      <c r="F144" s="5" t="str">
        <f>'Manipal Details'!D62</f>
        <v>Me</v>
      </c>
      <c r="G144" s="5">
        <f>'Manipal Details'!F62</f>
        <v>41</v>
      </c>
      <c r="H144" s="5" t="str">
        <f>'Manipal Details'!G62</f>
        <v>Susten 400 mg capsule</v>
      </c>
      <c r="I144" s="6">
        <f>'Manipal Details'!H62</f>
        <v>0</v>
      </c>
    </row>
    <row r="145" spans="1:9">
      <c r="A145" s="1" t="s">
        <v>55</v>
      </c>
      <c r="B145" s="2">
        <f>'Manipal Details'!A63</f>
        <v>41372</v>
      </c>
      <c r="C145" s="2" t="str">
        <f>'Manipal Details'!B63</f>
        <v>Apr</v>
      </c>
      <c r="D145" s="1">
        <v>2013</v>
      </c>
      <c r="E145" s="2" t="str">
        <f>'Manipal Details'!C63</f>
        <v>IVF Embryo transfer</v>
      </c>
      <c r="F145" s="5" t="str">
        <f>'Manipal Details'!D63</f>
        <v>Me</v>
      </c>
      <c r="G145" s="5">
        <f>'Manipal Details'!F63</f>
        <v>418</v>
      </c>
      <c r="H145" s="5" t="str">
        <f>'Manipal Details'!G63</f>
        <v>Gestone 100 mg</v>
      </c>
      <c r="I145" s="6">
        <f>'Manipal Details'!H63</f>
        <v>0</v>
      </c>
    </row>
    <row r="146" spans="1:9">
      <c r="A146" s="1" t="s">
        <v>55</v>
      </c>
      <c r="B146" s="2">
        <f>'Manipal Details'!A64</f>
        <v>41372</v>
      </c>
      <c r="C146" s="2" t="str">
        <f>'Manipal Details'!B64</f>
        <v>Apr</v>
      </c>
      <c r="D146" s="1">
        <v>2013</v>
      </c>
      <c r="E146" s="2" t="str">
        <f>'Manipal Details'!C64</f>
        <v>IVF Embryo transfer</v>
      </c>
      <c r="F146" s="5" t="str">
        <f>'Manipal Details'!D64</f>
        <v>Me</v>
      </c>
      <c r="G146" s="5">
        <f>'Manipal Details'!F64</f>
        <v>33</v>
      </c>
      <c r="H146" s="5" t="str">
        <f>'Manipal Details'!G64</f>
        <v xml:space="preserve">Syringe </v>
      </c>
      <c r="I146" s="6">
        <f>'Manipal Details'!H64</f>
        <v>0</v>
      </c>
    </row>
    <row r="147" spans="1:9">
      <c r="A147" s="1" t="s">
        <v>55</v>
      </c>
      <c r="B147" s="2">
        <f>'Manipal Details'!A65</f>
        <v>41372</v>
      </c>
      <c r="C147" s="2" t="str">
        <f>'Manipal Details'!B65</f>
        <v>Apr</v>
      </c>
      <c r="D147" s="1">
        <v>2013</v>
      </c>
      <c r="E147" s="2" t="str">
        <f>'Manipal Details'!C65</f>
        <v>IVF Embryo transfer</v>
      </c>
      <c r="F147" s="5" t="str">
        <f>'Manipal Details'!D65</f>
        <v>Me</v>
      </c>
      <c r="G147" s="5">
        <f>'Manipal Details'!F65</f>
        <v>380</v>
      </c>
      <c r="H147" s="5" t="str">
        <f>'Manipal Details'!G65</f>
        <v>Fertigyn-HP 2000 IU</v>
      </c>
      <c r="I147" s="6">
        <f>'Manipal Details'!H65</f>
        <v>0</v>
      </c>
    </row>
    <row r="148" spans="1:9">
      <c r="A148" s="1" t="s">
        <v>55</v>
      </c>
      <c r="B148" s="2">
        <f>'Manipal Details'!A66</f>
        <v>41372</v>
      </c>
      <c r="C148" s="2" t="str">
        <f>'Manipal Details'!B66</f>
        <v>Apr</v>
      </c>
      <c r="D148" s="1">
        <v>2013</v>
      </c>
      <c r="E148" s="2" t="str">
        <f>'Manipal Details'!C66</f>
        <v>IVF Embryo transfer</v>
      </c>
      <c r="F148" s="5" t="str">
        <f>'Manipal Details'!D66</f>
        <v>Me</v>
      </c>
      <c r="G148" s="5">
        <f>'Manipal Details'!F66</f>
        <v>1215</v>
      </c>
      <c r="H148" s="5" t="str">
        <f>'Manipal Details'!G66</f>
        <v>Susten 400 mg capsule</v>
      </c>
      <c r="I148" s="6">
        <f>'Manipal Details'!H66</f>
        <v>0</v>
      </c>
    </row>
    <row r="149" spans="1:9">
      <c r="A149" s="1" t="s">
        <v>55</v>
      </c>
      <c r="B149" s="2">
        <f>'Manipal Details'!A67</f>
        <v>41372</v>
      </c>
      <c r="C149" s="2" t="str">
        <f>'Manipal Details'!B67</f>
        <v>Apr</v>
      </c>
      <c r="D149" s="1">
        <v>2013</v>
      </c>
      <c r="E149" s="2" t="str">
        <f>'Manipal Details'!C67</f>
        <v>IVF Embryo transfer</v>
      </c>
      <c r="F149" s="5" t="str">
        <f>'Manipal Details'!D67</f>
        <v>Me</v>
      </c>
      <c r="G149" s="5">
        <f>'Manipal Details'!F67</f>
        <v>531</v>
      </c>
      <c r="H149" s="5" t="str">
        <f>'Manipal Details'!G67</f>
        <v>Duphaston 10 mg tablet</v>
      </c>
      <c r="I149" s="6">
        <f>'Manipal Details'!H67</f>
        <v>0</v>
      </c>
    </row>
    <row r="150" spans="1:9">
      <c r="A150" s="1" t="s">
        <v>55</v>
      </c>
      <c r="B150" s="2">
        <f>'Manipal Details'!A68</f>
        <v>41372</v>
      </c>
      <c r="C150" s="2" t="str">
        <f>'Manipal Details'!B68</f>
        <v>Apr</v>
      </c>
      <c r="D150" s="1">
        <v>2013</v>
      </c>
      <c r="E150" s="2" t="str">
        <f>'Manipal Details'!C68</f>
        <v>IVF Embryo transfer</v>
      </c>
      <c r="F150" s="5" t="str">
        <f>'Manipal Details'!D68</f>
        <v>Me</v>
      </c>
      <c r="G150" s="5">
        <f>'Manipal Details'!F68</f>
        <v>10</v>
      </c>
      <c r="H150" s="5" t="str">
        <f>'Manipal Details'!G68</f>
        <v xml:space="preserve">Wysolone 5 mg disp tablet </v>
      </c>
      <c r="I150" s="6">
        <f>'Manipal Details'!H68</f>
        <v>0</v>
      </c>
    </row>
    <row r="151" spans="1:9">
      <c r="A151" s="1" t="s">
        <v>55</v>
      </c>
      <c r="B151" s="2">
        <f>'Manipal Details'!A69</f>
        <v>41372</v>
      </c>
      <c r="C151" s="2" t="str">
        <f>'Manipal Details'!B69</f>
        <v>Apr</v>
      </c>
      <c r="D151" s="1">
        <v>2013</v>
      </c>
      <c r="E151" s="2" t="str">
        <f>'Manipal Details'!C69</f>
        <v>IVF Embryo transfer</v>
      </c>
      <c r="F151" s="5" t="str">
        <f>'Manipal Details'!D69</f>
        <v>Me</v>
      </c>
      <c r="G151" s="5">
        <f>'Manipal Details'!F69</f>
        <v>2</v>
      </c>
      <c r="H151" s="5" t="str">
        <f>'Manipal Details'!G69</f>
        <v>ASA 50 mg tablet</v>
      </c>
      <c r="I151" s="6" t="str">
        <f>'Manipal Details'!H69</f>
        <v>Delayed release aspirin</v>
      </c>
    </row>
    <row r="152" spans="1:9">
      <c r="A152" s="1" t="s">
        <v>55</v>
      </c>
      <c r="B152" s="2">
        <f>'Manipal Details'!A70</f>
        <v>41372</v>
      </c>
      <c r="C152" s="2" t="str">
        <f>'Manipal Details'!B70</f>
        <v>Apr</v>
      </c>
      <c r="D152" s="1">
        <v>2013</v>
      </c>
      <c r="E152" s="2" t="str">
        <f>'Manipal Details'!C70</f>
        <v>IVF Embryo transfer</v>
      </c>
      <c r="F152" s="5" t="str">
        <f>'Manipal Details'!D70</f>
        <v>Me</v>
      </c>
      <c r="G152" s="5">
        <f>'Manipal Details'!F70</f>
        <v>86</v>
      </c>
      <c r="H152" s="5" t="str">
        <f>'Manipal Details'!G70</f>
        <v>MCBM-69 tablet</v>
      </c>
      <c r="I152" s="6" t="str">
        <f>'Manipal Details'!H70</f>
        <v>Folic acid</v>
      </c>
    </row>
    <row r="153" spans="1:9">
      <c r="A153" s="1" t="s">
        <v>55</v>
      </c>
      <c r="B153" s="2">
        <f>'Manipal Details'!A71</f>
        <v>41375</v>
      </c>
      <c r="C153" s="2" t="str">
        <f>'Manipal Details'!B71</f>
        <v>Apr</v>
      </c>
      <c r="D153" s="1">
        <v>2013</v>
      </c>
      <c r="E153" s="2" t="str">
        <f>'Manipal Details'!C71</f>
        <v>IVF Embryo transfer</v>
      </c>
      <c r="F153" s="5" t="str">
        <f>'Manipal Details'!D71</f>
        <v>Me</v>
      </c>
      <c r="G153" s="5">
        <f>'Manipal Details'!F71</f>
        <v>380</v>
      </c>
      <c r="H153" s="5" t="str">
        <f>'Manipal Details'!G71</f>
        <v>Fertigyn-HP 2000 IU</v>
      </c>
      <c r="I153" s="6">
        <f>'Manipal Details'!H71</f>
        <v>0</v>
      </c>
    </row>
    <row r="154" spans="1:9">
      <c r="A154" s="1" t="s">
        <v>55</v>
      </c>
      <c r="B154" s="2">
        <f>'Manipal Details'!A72</f>
        <v>41375</v>
      </c>
      <c r="C154" s="2" t="str">
        <f>'Manipal Details'!B72</f>
        <v>Apr</v>
      </c>
      <c r="D154" s="1">
        <v>2013</v>
      </c>
      <c r="E154" s="2" t="str">
        <f>'Manipal Details'!C72</f>
        <v>IVF Embryo transfer</v>
      </c>
      <c r="F154" s="5" t="str">
        <f>'Manipal Details'!D72</f>
        <v>Me</v>
      </c>
      <c r="G154" s="5">
        <f>'Manipal Details'!F72</f>
        <v>17</v>
      </c>
      <c r="H154" s="5" t="str">
        <f>'Manipal Details'!G72</f>
        <v xml:space="preserve">Syringe </v>
      </c>
      <c r="I154" s="6">
        <f>'Manipal Details'!H72</f>
        <v>0</v>
      </c>
    </row>
    <row r="155" spans="1:9">
      <c r="A155" s="1" t="s">
        <v>55</v>
      </c>
      <c r="B155" s="2">
        <f>'Manipal Details'!A73</f>
        <v>41375</v>
      </c>
      <c r="C155" s="2" t="str">
        <f>'Manipal Details'!B73</f>
        <v>Apr</v>
      </c>
      <c r="D155" s="1">
        <v>2013</v>
      </c>
      <c r="E155" s="2" t="str">
        <f>'Manipal Details'!C73</f>
        <v>IVF Embryo transfer</v>
      </c>
      <c r="F155" s="5" t="str">
        <f>'Manipal Details'!D73</f>
        <v>Me</v>
      </c>
      <c r="G155" s="5">
        <f>'Manipal Details'!F73</f>
        <v>140</v>
      </c>
      <c r="H155" s="5" t="str">
        <f>'Manipal Details'!G73</f>
        <v>Injection</v>
      </c>
      <c r="I155" s="6">
        <f>'Manipal Details'!H73</f>
        <v>0</v>
      </c>
    </row>
    <row r="156" spans="1:9">
      <c r="A156" s="1" t="s">
        <v>55</v>
      </c>
      <c r="B156" s="2">
        <f>'Manipal Details'!A74</f>
        <v>41378</v>
      </c>
      <c r="C156" s="2" t="str">
        <f>'Manipal Details'!B74</f>
        <v>Apr</v>
      </c>
      <c r="D156" s="1">
        <v>2013</v>
      </c>
      <c r="E156" s="2" t="str">
        <f>'Manipal Details'!C74</f>
        <v>IVF Embryo transfer</v>
      </c>
      <c r="F156" s="5" t="str">
        <f>'Manipal Details'!D74</f>
        <v>Me</v>
      </c>
      <c r="G156" s="5">
        <f>'Manipal Details'!F74</f>
        <v>70</v>
      </c>
      <c r="H156" s="5" t="str">
        <f>'Manipal Details'!G74</f>
        <v>Injection</v>
      </c>
      <c r="I156" s="6">
        <f>'Manipal Details'!H74</f>
        <v>0</v>
      </c>
    </row>
    <row r="157" spans="1:9">
      <c r="A157" s="1" t="s">
        <v>55</v>
      </c>
      <c r="B157" s="2">
        <f>'Manipal Details'!A75</f>
        <v>41378</v>
      </c>
      <c r="C157" s="2" t="str">
        <f>'Manipal Details'!B75</f>
        <v>Apr</v>
      </c>
      <c r="D157" s="1">
        <v>2013</v>
      </c>
      <c r="E157" s="2" t="str">
        <f>'Manipal Details'!C75</f>
        <v>IVF Embryo transfer</v>
      </c>
      <c r="F157" s="5" t="str">
        <f>'Manipal Details'!D75</f>
        <v>Me</v>
      </c>
      <c r="G157" s="5">
        <f>'Manipal Details'!F75</f>
        <v>259</v>
      </c>
      <c r="H157" s="5" t="str">
        <f>'Manipal Details'!G75</f>
        <v>Progynova 2 mg tablet</v>
      </c>
      <c r="I157" s="6">
        <f>'Manipal Details'!H75</f>
        <v>0</v>
      </c>
    </row>
    <row r="158" spans="1:9">
      <c r="A158" s="1" t="s">
        <v>55</v>
      </c>
      <c r="B158" s="2">
        <f>'Manipal Details'!A76</f>
        <v>41379</v>
      </c>
      <c r="C158" s="2" t="str">
        <f>'Manipal Details'!B76</f>
        <v>Apr</v>
      </c>
      <c r="D158" s="1">
        <v>2013</v>
      </c>
      <c r="E158" s="2" t="str">
        <f>'Manipal Details'!C76</f>
        <v>IVF TESA</v>
      </c>
      <c r="F158" s="5" t="str">
        <f>'Manipal Details'!D76</f>
        <v>DH</v>
      </c>
      <c r="G158" s="5">
        <f>'Manipal Details'!F76</f>
        <v>444</v>
      </c>
      <c r="H158" s="5" t="str">
        <f>'Manipal Details'!G76</f>
        <v>Augmentin 625 mg</v>
      </c>
      <c r="I158" s="6">
        <f>'Manipal Details'!H76</f>
        <v>0</v>
      </c>
    </row>
    <row r="159" spans="1:9">
      <c r="A159" s="1" t="s">
        <v>55</v>
      </c>
      <c r="B159" s="2">
        <f>'Manipal Details'!A77</f>
        <v>41379</v>
      </c>
      <c r="C159" s="2" t="str">
        <f>'Manipal Details'!B77</f>
        <v>Apr</v>
      </c>
      <c r="D159" s="1">
        <v>2013</v>
      </c>
      <c r="E159" s="2" t="str">
        <f>'Manipal Details'!C77</f>
        <v>IVF TESA</v>
      </c>
      <c r="F159" s="5" t="str">
        <f>'Manipal Details'!D77</f>
        <v>DH</v>
      </c>
      <c r="G159" s="5">
        <f>'Manipal Details'!F77</f>
        <v>56</v>
      </c>
      <c r="H159" s="5" t="str">
        <f>'Manipal Details'!G77</f>
        <v>Voveran 100 mg</v>
      </c>
      <c r="I159" s="6">
        <f>'Manipal Details'!H77</f>
        <v>0</v>
      </c>
    </row>
    <row r="160" spans="1:9">
      <c r="A160" s="1" t="s">
        <v>55</v>
      </c>
      <c r="B160" s="2">
        <f>'Manipal Details'!A78</f>
        <v>41386</v>
      </c>
      <c r="C160" s="2" t="str">
        <f>'Manipal Details'!B78</f>
        <v>Apr</v>
      </c>
      <c r="D160" s="1">
        <v>2013</v>
      </c>
      <c r="E160" s="2" t="str">
        <f>'Manipal Details'!C78</f>
        <v>IVFS Blood test</v>
      </c>
      <c r="F160" s="5" t="str">
        <f>'Manipal Details'!D78</f>
        <v>Me</v>
      </c>
      <c r="G160" s="5">
        <f>'Manipal Details'!F78</f>
        <v>850</v>
      </c>
      <c r="H160" s="5" t="str">
        <f>'Manipal Details'!G78</f>
        <v>Beta HCG</v>
      </c>
      <c r="I160" s="6">
        <f>'Manipal Details'!H78</f>
        <v>0</v>
      </c>
    </row>
    <row r="161" spans="1:9">
      <c r="A161" s="1" t="s">
        <v>55</v>
      </c>
      <c r="B161" s="2">
        <f>'Manipal Details'!A79</f>
        <v>41386</v>
      </c>
      <c r="C161" s="2" t="str">
        <f>'Manipal Details'!B79</f>
        <v>Apr</v>
      </c>
      <c r="D161" s="1">
        <v>2013</v>
      </c>
      <c r="E161" s="2" t="str">
        <f>'Manipal Details'!C79</f>
        <v>IVFS Medicine</v>
      </c>
      <c r="F161" s="5" t="str">
        <f>'Manipal Details'!D79</f>
        <v>Me</v>
      </c>
      <c r="G161" s="5">
        <f>'Manipal Details'!F79</f>
        <v>523</v>
      </c>
      <c r="H161" s="5" t="str">
        <f>'Manipal Details'!G79</f>
        <v>Gestone 100 mg</v>
      </c>
      <c r="I161" s="6">
        <f>'Manipal Details'!H79</f>
        <v>0</v>
      </c>
    </row>
    <row r="162" spans="1:9">
      <c r="A162" s="1" t="s">
        <v>55</v>
      </c>
      <c r="B162" s="2">
        <f>'Manipal Details'!A80</f>
        <v>41386</v>
      </c>
      <c r="C162" s="2" t="str">
        <f>'Manipal Details'!B80</f>
        <v>Apr</v>
      </c>
      <c r="D162" s="1">
        <v>2013</v>
      </c>
      <c r="E162" s="2" t="str">
        <f>'Manipal Details'!C80</f>
        <v>IVFS Medicine</v>
      </c>
      <c r="F162" s="5" t="str">
        <f>'Manipal Details'!D80</f>
        <v>Me</v>
      </c>
      <c r="G162" s="5">
        <f>'Manipal Details'!F80</f>
        <v>41</v>
      </c>
      <c r="H162" s="5" t="str">
        <f>'Manipal Details'!G80</f>
        <v xml:space="preserve">Syringe </v>
      </c>
      <c r="I162" s="6">
        <f>'Manipal Details'!H80</f>
        <v>0</v>
      </c>
    </row>
    <row r="163" spans="1:9">
      <c r="A163" s="1" t="s">
        <v>55</v>
      </c>
      <c r="B163" s="2">
        <f>'Manipal Details'!A81</f>
        <v>41386</v>
      </c>
      <c r="C163" s="2" t="str">
        <f>'Manipal Details'!B81</f>
        <v>Apr</v>
      </c>
      <c r="D163" s="1">
        <v>2013</v>
      </c>
      <c r="E163" s="2" t="str">
        <f>'Manipal Details'!C81</f>
        <v>IVFS Medicine</v>
      </c>
      <c r="F163" s="5" t="str">
        <f>'Manipal Details'!D81</f>
        <v>Me</v>
      </c>
      <c r="G163" s="5">
        <f>'Manipal Details'!F81</f>
        <v>4860</v>
      </c>
      <c r="H163" s="5" t="str">
        <f>'Manipal Details'!G81</f>
        <v>Susten 400 mg capsule</v>
      </c>
      <c r="I163" s="6">
        <f>'Manipal Details'!H81</f>
        <v>0</v>
      </c>
    </row>
    <row r="164" spans="1:9">
      <c r="A164" s="1" t="s">
        <v>55</v>
      </c>
      <c r="B164" s="2">
        <f>'Manipal Details'!A82</f>
        <v>41386</v>
      </c>
      <c r="C164" s="2" t="str">
        <f>'Manipal Details'!B82</f>
        <v>Apr</v>
      </c>
      <c r="D164" s="1">
        <v>2013</v>
      </c>
      <c r="E164" s="2" t="str">
        <f>'Manipal Details'!C82</f>
        <v>IVFS Medicine</v>
      </c>
      <c r="F164" s="5" t="str">
        <f>'Manipal Details'!D82</f>
        <v>Me</v>
      </c>
      <c r="G164" s="5">
        <f>'Manipal Details'!F82</f>
        <v>1811</v>
      </c>
      <c r="H164" s="5" t="str">
        <f>'Manipal Details'!G82</f>
        <v>Progynova 2 mg tablet</v>
      </c>
      <c r="I164" s="6">
        <f>'Manipal Details'!H82</f>
        <v>0</v>
      </c>
    </row>
    <row r="165" spans="1:9">
      <c r="A165" s="1" t="s">
        <v>55</v>
      </c>
      <c r="B165" s="2">
        <f>'Manipal Details'!A83</f>
        <v>41386</v>
      </c>
      <c r="C165" s="2" t="str">
        <f>'Manipal Details'!B83</f>
        <v>Apr</v>
      </c>
      <c r="D165" s="1">
        <v>2013</v>
      </c>
      <c r="E165" s="2" t="str">
        <f>'Manipal Details'!C83</f>
        <v>IVFS Medicine</v>
      </c>
      <c r="F165" s="5" t="str">
        <f>'Manipal Details'!D83</f>
        <v>Me</v>
      </c>
      <c r="G165" s="5">
        <f>'Manipal Details'!F83</f>
        <v>57</v>
      </c>
      <c r="H165" s="5" t="str">
        <f>'Manipal Details'!G83</f>
        <v>MCBM-69 tablet</v>
      </c>
      <c r="I165" s="6">
        <f>'Manipal Details'!H83</f>
        <v>0</v>
      </c>
    </row>
    <row r="166" spans="1:9">
      <c r="A166" s="1" t="s">
        <v>55</v>
      </c>
      <c r="B166" s="2">
        <f>'Manipal Details'!A84</f>
        <v>41386</v>
      </c>
      <c r="C166" s="2" t="str">
        <f>'Manipal Details'!B84</f>
        <v>Apr</v>
      </c>
      <c r="D166" s="1">
        <v>2013</v>
      </c>
      <c r="E166" s="2" t="str">
        <f>'Manipal Details'!C84</f>
        <v>IVFS Medicine</v>
      </c>
      <c r="F166" s="5" t="str">
        <f>'Manipal Details'!D84</f>
        <v>Me</v>
      </c>
      <c r="G166" s="5">
        <f>'Manipal Details'!F84</f>
        <v>285</v>
      </c>
      <c r="H166" s="5" t="str">
        <f>'Manipal Details'!G84</f>
        <v>MCBM-69 tablet</v>
      </c>
      <c r="I166" s="6">
        <f>'Manipal Details'!H84</f>
        <v>0</v>
      </c>
    </row>
    <row r="167" spans="1:9">
      <c r="A167" s="1" t="s">
        <v>55</v>
      </c>
      <c r="B167" s="2">
        <f>'Manipal Details'!A85</f>
        <v>41388</v>
      </c>
      <c r="C167" s="2" t="str">
        <f>'Manipal Details'!B85</f>
        <v>Apr</v>
      </c>
      <c r="D167" s="1">
        <v>2013</v>
      </c>
      <c r="E167" s="2" t="str">
        <f>'Manipal Details'!C85</f>
        <v>IVFS Blood test</v>
      </c>
      <c r="F167" s="5" t="str">
        <f>'Manipal Details'!D85</f>
        <v>Me</v>
      </c>
      <c r="G167" s="5">
        <f>'Manipal Details'!F85</f>
        <v>850</v>
      </c>
      <c r="H167" s="5" t="str">
        <f>'Manipal Details'!G85</f>
        <v>Beta HCG</v>
      </c>
      <c r="I167" s="6">
        <f>'Manipal Details'!H85</f>
        <v>0</v>
      </c>
    </row>
    <row r="168" spans="1:9">
      <c r="A168" s="1" t="s">
        <v>55</v>
      </c>
      <c r="B168" s="2">
        <f>'Manipal Details'!A86</f>
        <v>41391</v>
      </c>
      <c r="C168" s="2" t="str">
        <f>'Manipal Details'!B86</f>
        <v>Apr</v>
      </c>
      <c r="D168" s="1">
        <v>2013</v>
      </c>
      <c r="E168" s="2" t="str">
        <f>'Manipal Details'!C86</f>
        <v>IVFS Blood test</v>
      </c>
      <c r="F168" s="5" t="str">
        <f>'Manipal Details'!D86</f>
        <v>Me</v>
      </c>
      <c r="G168" s="5">
        <f>'Manipal Details'!F86</f>
        <v>600</v>
      </c>
      <c r="H168" s="5" t="str">
        <f>'Manipal Details'!G86</f>
        <v>Beta HCG</v>
      </c>
      <c r="I168" s="6">
        <f>'Manipal Details'!H86</f>
        <v>0</v>
      </c>
    </row>
    <row r="169" spans="1:9">
      <c r="A169" s="1" t="s">
        <v>55</v>
      </c>
      <c r="B169" s="2">
        <f>'Manipal Details'!A87</f>
        <v>41391</v>
      </c>
      <c r="C169" s="2" t="str">
        <f>'Manipal Details'!B87</f>
        <v>Apr</v>
      </c>
      <c r="D169" s="1">
        <v>2013</v>
      </c>
      <c r="E169" s="2" t="str">
        <f>'Manipal Details'!C87</f>
        <v>IVFS Blood test</v>
      </c>
      <c r="F169" s="5" t="str">
        <f>'Manipal Details'!D87</f>
        <v>Me</v>
      </c>
      <c r="G169" s="5">
        <f>'Manipal Details'!F87</f>
        <v>850</v>
      </c>
      <c r="H169" s="5" t="str">
        <f>'Manipal Details'!G87</f>
        <v>Beta HCG</v>
      </c>
      <c r="I169" s="6">
        <f>'Manipal Details'!H87</f>
        <v>0</v>
      </c>
    </row>
    <row r="170" spans="1:9">
      <c r="A170" s="1" t="s">
        <v>55</v>
      </c>
      <c r="B170" s="2">
        <f>'Manipal Details'!A88</f>
        <v>41395</v>
      </c>
      <c r="C170" s="2" t="str">
        <f>'Manipal Details'!B88</f>
        <v>May</v>
      </c>
      <c r="D170" s="1">
        <v>2013</v>
      </c>
      <c r="E170" s="2" t="str">
        <f>'Manipal Details'!C88</f>
        <v>IVFS Blood test</v>
      </c>
      <c r="F170" s="5" t="str">
        <f>'Manipal Details'!D88</f>
        <v>Me</v>
      </c>
      <c r="G170" s="5">
        <f>'Manipal Details'!F88</f>
        <v>600</v>
      </c>
      <c r="H170" s="5" t="str">
        <f>'Manipal Details'!G88</f>
        <v>Beta HCG</v>
      </c>
      <c r="I170" s="6">
        <f>'Manipal Details'!H88</f>
        <v>0</v>
      </c>
    </row>
    <row r="171" spans="1:9">
      <c r="A171" s="1" t="s">
        <v>55</v>
      </c>
      <c r="B171" s="2">
        <f>'Manipal Details'!A89</f>
        <v>41395</v>
      </c>
      <c r="C171" s="2" t="str">
        <f>'Manipal Details'!B89</f>
        <v>May</v>
      </c>
      <c r="D171" s="1">
        <v>2013</v>
      </c>
      <c r="E171" s="2" t="str">
        <f>'Manipal Details'!C89</f>
        <v>IVFS Scan</v>
      </c>
      <c r="F171" s="5" t="str">
        <f>'Manipal Details'!D89</f>
        <v>Me</v>
      </c>
      <c r="G171" s="5">
        <f>'Manipal Details'!F89</f>
        <v>900</v>
      </c>
      <c r="H171" s="5" t="str">
        <f>'Manipal Details'!G89</f>
        <v>Ultrasound</v>
      </c>
      <c r="I171" s="6">
        <f>'Manipal Details'!H89</f>
        <v>0</v>
      </c>
    </row>
    <row r="172" spans="1:9">
      <c r="A172" s="1" t="s">
        <v>55</v>
      </c>
      <c r="B172" s="2">
        <f>'Manipal Details'!A90</f>
        <v>41398</v>
      </c>
      <c r="C172" s="2" t="str">
        <f>'Manipal Details'!B90</f>
        <v>May</v>
      </c>
      <c r="D172" s="1">
        <v>2013</v>
      </c>
      <c r="E172" s="2" t="str">
        <f>'Manipal Details'!C90</f>
        <v>IVF TESA</v>
      </c>
      <c r="F172" s="5" t="str">
        <f>'Manipal Details'!D90</f>
        <v>DH</v>
      </c>
      <c r="G172" s="5">
        <f>'Manipal Details'!F90</f>
        <v>443</v>
      </c>
      <c r="H172" s="5" t="str">
        <f>'Manipal Details'!G90</f>
        <v>Augmentin 625 mg</v>
      </c>
      <c r="I172" s="6">
        <f>'Manipal Details'!H90</f>
        <v>0</v>
      </c>
    </row>
    <row r="173" spans="1:9">
      <c r="A173" s="1" t="s">
        <v>55</v>
      </c>
      <c r="B173" s="2">
        <f>'Manipal Details'!A91</f>
        <v>41401</v>
      </c>
      <c r="C173" s="2" t="str">
        <f>'Manipal Details'!B91</f>
        <v>May</v>
      </c>
      <c r="D173" s="1">
        <v>2013</v>
      </c>
      <c r="E173" s="2" t="str">
        <f>'Manipal Details'!C91</f>
        <v>IVFS Blood test</v>
      </c>
      <c r="F173" s="5" t="str">
        <f>'Manipal Details'!D91</f>
        <v>Me</v>
      </c>
      <c r="G173" s="5">
        <f>'Manipal Details'!F91</f>
        <v>850</v>
      </c>
      <c r="H173" s="5" t="str">
        <f>'Manipal Details'!G91</f>
        <v>Beta HCG</v>
      </c>
      <c r="I173" s="6">
        <f>'Manipal Details'!H91</f>
        <v>0</v>
      </c>
    </row>
    <row r="174" spans="1:9">
      <c r="A174" s="1" t="s">
        <v>55</v>
      </c>
      <c r="B174" s="2">
        <f>'Manipal Details'!A92</f>
        <v>41401</v>
      </c>
      <c r="C174" s="2" t="str">
        <f>'Manipal Details'!B92</f>
        <v>May</v>
      </c>
      <c r="D174" s="1">
        <v>2013</v>
      </c>
      <c r="E174" s="2" t="str">
        <f>'Manipal Details'!C92</f>
        <v>IVFS Scan</v>
      </c>
      <c r="F174" s="5" t="str">
        <f>'Manipal Details'!D92</f>
        <v>Me</v>
      </c>
      <c r="G174" s="5">
        <f>'Manipal Details'!F92</f>
        <v>1140</v>
      </c>
      <c r="H174" s="5" t="str">
        <f>'Manipal Details'!G92</f>
        <v>Scan detailed (TVS &amp; TAS)</v>
      </c>
      <c r="I174" s="6">
        <f>'Manipal Details'!H92</f>
        <v>0</v>
      </c>
    </row>
    <row r="175" spans="1:9">
      <c r="A175" s="1" t="s">
        <v>55</v>
      </c>
      <c r="B175" s="2">
        <f>'Manipal Details'!A93</f>
        <v>41403</v>
      </c>
      <c r="C175" s="2" t="str">
        <f>'Manipal Details'!B93</f>
        <v>May</v>
      </c>
      <c r="D175" s="1">
        <v>2013</v>
      </c>
      <c r="E175" s="2" t="str">
        <f>'Manipal Details'!C93</f>
        <v>IVF TESA</v>
      </c>
      <c r="F175" s="5" t="str">
        <f>'Manipal Details'!D93</f>
        <v>DH</v>
      </c>
      <c r="G175" s="5">
        <f>'Manipal Details'!F93</f>
        <v>1000</v>
      </c>
      <c r="H175" s="5" t="str">
        <f>'Manipal Details'!G93</f>
        <v>Doppler and Ultrasound</v>
      </c>
      <c r="I175" s="6">
        <f>'Manipal Details'!H93</f>
        <v>0</v>
      </c>
    </row>
    <row r="176" spans="1:9">
      <c r="A176" s="1" t="s">
        <v>55</v>
      </c>
      <c r="B176" s="2">
        <f>'Manipal Details'!A94</f>
        <v>41403</v>
      </c>
      <c r="C176" s="2" t="str">
        <f>'Manipal Details'!B94</f>
        <v>May</v>
      </c>
      <c r="D176" s="1">
        <v>2013</v>
      </c>
      <c r="E176" s="2" t="str">
        <f>'Manipal Details'!C94</f>
        <v>IVF TESA</v>
      </c>
      <c r="F176" s="5" t="str">
        <f>'Manipal Details'!D94</f>
        <v>DH</v>
      </c>
      <c r="G176" s="5">
        <f>'Manipal Details'!F94</f>
        <v>10</v>
      </c>
      <c r="H176" s="5" t="str">
        <f>'Manipal Details'!G94</f>
        <v>Brufen 400 mg</v>
      </c>
      <c r="I176" s="6">
        <f>'Manipal Details'!H94</f>
        <v>0</v>
      </c>
    </row>
    <row r="177" spans="1:9">
      <c r="A177" s="1" t="s">
        <v>55</v>
      </c>
      <c r="B177" s="2">
        <f>'Manipal Details'!A95</f>
        <v>41403</v>
      </c>
      <c r="C177" s="2" t="str">
        <f>'Manipal Details'!B95</f>
        <v>May</v>
      </c>
      <c r="D177" s="1">
        <v>2013</v>
      </c>
      <c r="E177" s="2" t="str">
        <f>'Manipal Details'!C95</f>
        <v>IVF TESA</v>
      </c>
      <c r="F177" s="5" t="str">
        <f>'Manipal Details'!D95</f>
        <v>DH</v>
      </c>
      <c r="G177" s="5">
        <f>'Manipal Details'!F95</f>
        <v>65</v>
      </c>
      <c r="H177" s="5" t="str">
        <f>'Manipal Details'!G95</f>
        <v>Levoflox 750 mg</v>
      </c>
      <c r="I177" s="6">
        <f>'Manipal Details'!H95</f>
        <v>0</v>
      </c>
    </row>
    <row r="178" spans="1:9">
      <c r="A178" s="1" t="s">
        <v>55</v>
      </c>
      <c r="B178" s="2">
        <f>'Manipal Details'!A96</f>
        <v>41404</v>
      </c>
      <c r="C178" s="2" t="str">
        <f>'Manipal Details'!B96</f>
        <v>May</v>
      </c>
      <c r="D178" s="1">
        <v>2013</v>
      </c>
      <c r="E178" s="2" t="str">
        <f>'Manipal Details'!C96</f>
        <v>IVFS Blood test</v>
      </c>
      <c r="F178" s="5" t="str">
        <f>'Manipal Details'!D96</f>
        <v>Me</v>
      </c>
      <c r="G178" s="5">
        <f>'Manipal Details'!F96</f>
        <v>600</v>
      </c>
      <c r="H178" s="5" t="str">
        <f>'Manipal Details'!G96</f>
        <v>Beta HCG</v>
      </c>
      <c r="I178" s="6">
        <f>'Manipal Details'!H96</f>
        <v>0</v>
      </c>
    </row>
    <row r="179" spans="1:9">
      <c r="A179" s="1" t="s">
        <v>55</v>
      </c>
      <c r="B179" s="2">
        <f>'Manipal Details'!A97</f>
        <v>41404</v>
      </c>
      <c r="C179" s="2" t="str">
        <f>'Manipal Details'!B97</f>
        <v>May</v>
      </c>
      <c r="D179" s="1">
        <v>2013</v>
      </c>
      <c r="E179" s="2" t="str">
        <f>'Manipal Details'!C97</f>
        <v>IVFS Blood test</v>
      </c>
      <c r="F179" s="5" t="str">
        <f>'Manipal Details'!D97</f>
        <v>Me</v>
      </c>
      <c r="G179" s="5">
        <f>'Manipal Details'!F97</f>
        <v>60</v>
      </c>
      <c r="H179" s="5" t="str">
        <f>'Manipal Details'!G97</f>
        <v>Random blood sugar</v>
      </c>
      <c r="I179" s="6">
        <f>'Manipal Details'!H97</f>
        <v>0</v>
      </c>
    </row>
    <row r="180" spans="1:9">
      <c r="A180" s="1" t="s">
        <v>55</v>
      </c>
      <c r="B180" s="2">
        <f>'Manipal Details'!A98</f>
        <v>41404</v>
      </c>
      <c r="C180" s="2" t="str">
        <f>'Manipal Details'!B98</f>
        <v>May</v>
      </c>
      <c r="D180" s="1">
        <v>2013</v>
      </c>
      <c r="E180" s="2" t="str">
        <f>'Manipal Details'!C98</f>
        <v>IVFS Blood test</v>
      </c>
      <c r="F180" s="5" t="str">
        <f>'Manipal Details'!D98</f>
        <v>Me</v>
      </c>
      <c r="G180" s="5">
        <f>'Manipal Details'!F98</f>
        <v>90</v>
      </c>
      <c r="H180" s="5" t="str">
        <f>'Manipal Details'!G98</f>
        <v>Haemoglobin</v>
      </c>
      <c r="I180" s="6">
        <f>'Manipal Details'!H98</f>
        <v>0</v>
      </c>
    </row>
    <row r="181" spans="1:9">
      <c r="A181" s="1" t="s">
        <v>55</v>
      </c>
      <c r="B181" s="2">
        <f>'Manipal Details'!A99</f>
        <v>41411</v>
      </c>
      <c r="C181" s="2" t="str">
        <f>'Manipal Details'!B99</f>
        <v>May</v>
      </c>
      <c r="D181" s="1">
        <v>2013</v>
      </c>
      <c r="E181" s="2" t="str">
        <f>'Manipal Details'!C99</f>
        <v>Medicine</v>
      </c>
      <c r="F181" s="5" t="str">
        <f>'Manipal Details'!D99</f>
        <v>DH</v>
      </c>
      <c r="G181" s="5">
        <f>'Manipal Details'!F99</f>
        <v>14</v>
      </c>
      <c r="H181" s="5" t="str">
        <f>'Manipal Details'!G99</f>
        <v>Migranil</v>
      </c>
      <c r="I181" s="6">
        <f>'Manipal Details'!H99</f>
        <v>0</v>
      </c>
    </row>
    <row r="182" spans="1:9">
      <c r="A182" s="1" t="s">
        <v>55</v>
      </c>
      <c r="B182" s="2">
        <f>'Manipal Details'!A100</f>
        <v>41411</v>
      </c>
      <c r="C182" s="2" t="str">
        <f>'Manipal Details'!B100</f>
        <v>May</v>
      </c>
      <c r="D182" s="1">
        <v>2013</v>
      </c>
      <c r="E182" s="2" t="str">
        <f>'Manipal Details'!C100</f>
        <v>Medicine</v>
      </c>
      <c r="F182" s="5" t="str">
        <f>'Manipal Details'!D100</f>
        <v>DH</v>
      </c>
      <c r="G182" s="5">
        <f>'Manipal Details'!F100</f>
        <v>3</v>
      </c>
      <c r="H182" s="5" t="str">
        <f>'Manipal Details'!G100</f>
        <v>Saradon</v>
      </c>
      <c r="I182" s="6">
        <f>'Manipal Details'!H100</f>
        <v>0</v>
      </c>
    </row>
    <row r="183" spans="1:9">
      <c r="A183" s="1" t="s">
        <v>55</v>
      </c>
      <c r="B183" s="2">
        <f>'Manipal Details'!A101</f>
        <v>41412</v>
      </c>
      <c r="C183" s="2" t="str">
        <f>'Manipal Details'!B101</f>
        <v>May</v>
      </c>
      <c r="D183" s="1">
        <v>2013</v>
      </c>
      <c r="E183" s="2" t="str">
        <f>'Manipal Details'!C101</f>
        <v>Ectopic Pregnancy</v>
      </c>
      <c r="F183" s="5" t="str">
        <f>'Manipal Details'!D101</f>
        <v>Me</v>
      </c>
      <c r="G183" s="5">
        <f>'Manipal Details'!F101</f>
        <v>600</v>
      </c>
      <c r="H183" s="5" t="str">
        <f>'Manipal Details'!G101</f>
        <v>Admission charges</v>
      </c>
      <c r="I183" s="6" t="str">
        <f>'Manipal Details'!H101</f>
        <v>11 May to 18 May</v>
      </c>
    </row>
    <row r="184" spans="1:9">
      <c r="A184" s="1" t="s">
        <v>55</v>
      </c>
      <c r="B184" s="2">
        <f>'Manipal Details'!A102</f>
        <v>41412</v>
      </c>
      <c r="C184" s="2" t="str">
        <f>'Manipal Details'!B102</f>
        <v>May</v>
      </c>
      <c r="D184" s="1">
        <v>2013</v>
      </c>
      <c r="E184" s="2" t="str">
        <f>'Manipal Details'!C102</f>
        <v>Ectopic Pregnancy</v>
      </c>
      <c r="F184" s="5" t="str">
        <f>'Manipal Details'!D102</f>
        <v>Me</v>
      </c>
      <c r="G184" s="5">
        <f>'Manipal Details'!F102</f>
        <v>45500</v>
      </c>
      <c r="H184" s="5" t="str">
        <f>'Manipal Details'!G102</f>
        <v>Bed charges</v>
      </c>
      <c r="I184" s="6" t="str">
        <f>'Manipal Details'!H102</f>
        <v>11 May to 18 May</v>
      </c>
    </row>
    <row r="185" spans="1:9">
      <c r="A185" s="1" t="s">
        <v>55</v>
      </c>
      <c r="B185" s="2">
        <f>'Manipal Details'!A103</f>
        <v>41412</v>
      </c>
      <c r="C185" s="2" t="str">
        <f>'Manipal Details'!B103</f>
        <v>May</v>
      </c>
      <c r="D185" s="1">
        <v>2013</v>
      </c>
      <c r="E185" s="2" t="str">
        <f>'Manipal Details'!C103</f>
        <v>Ectopic Pregnancy</v>
      </c>
      <c r="F185" s="5" t="str">
        <f>'Manipal Details'!D103</f>
        <v>Me</v>
      </c>
      <c r="G185" s="5">
        <f>'Manipal Details'!F103</f>
        <v>3640</v>
      </c>
      <c r="H185" s="5" t="str">
        <f>'Manipal Details'!G103</f>
        <v>Luxury tax</v>
      </c>
      <c r="I185" s="6" t="str">
        <f>'Manipal Details'!H103</f>
        <v>11 May to 18 May</v>
      </c>
    </row>
    <row r="186" spans="1:9">
      <c r="A186" s="1" t="s">
        <v>55</v>
      </c>
      <c r="B186" s="2">
        <f>'Manipal Details'!A104</f>
        <v>41412</v>
      </c>
      <c r="C186" s="2" t="str">
        <f>'Manipal Details'!B104</f>
        <v>May</v>
      </c>
      <c r="D186" s="1">
        <v>2013</v>
      </c>
      <c r="E186" s="2" t="str">
        <f>'Manipal Details'!C104</f>
        <v>Ectopic Pregnancy</v>
      </c>
      <c r="F186" s="5" t="str">
        <f>'Manipal Details'!D104</f>
        <v>Me</v>
      </c>
      <c r="G186" s="5">
        <f>'Manipal Details'!F104</f>
        <v>8000</v>
      </c>
      <c r="H186" s="5" t="str">
        <f>'Manipal Details'!G104</f>
        <v>Clinical Management Fee - Dr Gayathri</v>
      </c>
      <c r="I186" s="6" t="str">
        <f>'Manipal Details'!H104</f>
        <v>11 May to 18 May</v>
      </c>
    </row>
    <row r="187" spans="1:9">
      <c r="A187" s="1" t="s">
        <v>55</v>
      </c>
      <c r="B187" s="2">
        <f>'Manipal Details'!A105</f>
        <v>41412</v>
      </c>
      <c r="C187" s="2" t="str">
        <f>'Manipal Details'!B105</f>
        <v>May</v>
      </c>
      <c r="D187" s="1">
        <v>2013</v>
      </c>
      <c r="E187" s="2" t="str">
        <f>'Manipal Details'!C105</f>
        <v>Ectopic Pregnancy</v>
      </c>
      <c r="F187" s="5" t="str">
        <f>'Manipal Details'!D105</f>
        <v>Me</v>
      </c>
      <c r="G187" s="5">
        <f>'Manipal Details'!F105</f>
        <v>1000</v>
      </c>
      <c r="H187" s="5" t="str">
        <f>'Manipal Details'!G105</f>
        <v>Clinical Management Fee - Dr Manjunath</v>
      </c>
      <c r="I187" s="6" t="str">
        <f>'Manipal Details'!H105</f>
        <v>11 May to 18 May</v>
      </c>
    </row>
    <row r="188" spans="1:9">
      <c r="A188" s="1" t="s">
        <v>55</v>
      </c>
      <c r="B188" s="2">
        <f>'Manipal Details'!A106</f>
        <v>41412</v>
      </c>
      <c r="C188" s="2" t="str">
        <f>'Manipal Details'!B106</f>
        <v>May</v>
      </c>
      <c r="D188" s="1">
        <v>2013</v>
      </c>
      <c r="E188" s="2" t="str">
        <f>'Manipal Details'!C106</f>
        <v>Ectopic Pregnancy</v>
      </c>
      <c r="F188" s="5" t="str">
        <f>'Manipal Details'!D106</f>
        <v>Me</v>
      </c>
      <c r="G188" s="5">
        <f>'Manipal Details'!F106</f>
        <v>7000</v>
      </c>
      <c r="H188" s="5" t="str">
        <f>'Manipal Details'!G106</f>
        <v>Medical Equipment</v>
      </c>
      <c r="I188" s="6" t="str">
        <f>'Manipal Details'!H106</f>
        <v>11 May to 18 May</v>
      </c>
    </row>
    <row r="189" spans="1:9">
      <c r="A189" s="1" t="s">
        <v>55</v>
      </c>
      <c r="B189" s="2">
        <f>'Manipal Details'!A107</f>
        <v>41412</v>
      </c>
      <c r="C189" s="2" t="str">
        <f>'Manipal Details'!B107</f>
        <v>May</v>
      </c>
      <c r="D189" s="1">
        <v>2013</v>
      </c>
      <c r="E189" s="2" t="str">
        <f>'Manipal Details'!C107</f>
        <v>Ectopic Pregnancy</v>
      </c>
      <c r="F189" s="5" t="str">
        <f>'Manipal Details'!D107</f>
        <v>Me</v>
      </c>
      <c r="G189" s="5">
        <f>'Manipal Details'!F107</f>
        <v>11820</v>
      </c>
      <c r="H189" s="5" t="str">
        <f>'Manipal Details'!G107</f>
        <v>Biochemistry</v>
      </c>
      <c r="I189" s="6" t="str">
        <f>'Manipal Details'!H107</f>
        <v>11 May to 18 May</v>
      </c>
    </row>
    <row r="190" spans="1:9">
      <c r="A190" s="1" t="s">
        <v>55</v>
      </c>
      <c r="B190" s="2">
        <f>'Manipal Details'!A108</f>
        <v>41412</v>
      </c>
      <c r="C190" s="2" t="str">
        <f>'Manipal Details'!B108</f>
        <v>May</v>
      </c>
      <c r="D190" s="1">
        <v>2013</v>
      </c>
      <c r="E190" s="2" t="str">
        <f>'Manipal Details'!C108</f>
        <v>Ectopic Pregnancy</v>
      </c>
      <c r="F190" s="5" t="str">
        <f>'Manipal Details'!D108</f>
        <v>Me</v>
      </c>
      <c r="G190" s="5">
        <f>'Manipal Details'!F108</f>
        <v>620</v>
      </c>
      <c r="H190" s="5" t="str">
        <f>'Manipal Details'!G108</f>
        <v>Blood bank</v>
      </c>
      <c r="I190" s="6" t="str">
        <f>'Manipal Details'!H108</f>
        <v>11 May to 18 May</v>
      </c>
    </row>
    <row r="191" spans="1:9">
      <c r="A191" s="1" t="s">
        <v>55</v>
      </c>
      <c r="B191" s="2">
        <f>'Manipal Details'!A109</f>
        <v>41412</v>
      </c>
      <c r="C191" s="2" t="str">
        <f>'Manipal Details'!B109</f>
        <v>May</v>
      </c>
      <c r="D191" s="1">
        <v>2013</v>
      </c>
      <c r="E191" s="2" t="str">
        <f>'Manipal Details'!C109</f>
        <v>Ectopic Pregnancy</v>
      </c>
      <c r="F191" s="5" t="str">
        <f>'Manipal Details'!D109</f>
        <v>Me</v>
      </c>
      <c r="G191" s="5">
        <f>'Manipal Details'!F109</f>
        <v>1520</v>
      </c>
      <c r="H191" s="5" t="str">
        <f>'Manipal Details'!G109</f>
        <v>Haematology</v>
      </c>
      <c r="I191" s="6" t="str">
        <f>'Manipal Details'!H109</f>
        <v>11 May to 18 May</v>
      </c>
    </row>
    <row r="192" spans="1:9">
      <c r="A192" s="1" t="s">
        <v>55</v>
      </c>
      <c r="B192" s="2">
        <f>'Manipal Details'!A110</f>
        <v>41412</v>
      </c>
      <c r="C192" s="2" t="str">
        <f>'Manipal Details'!B110</f>
        <v>May</v>
      </c>
      <c r="D192" s="1">
        <v>2013</v>
      </c>
      <c r="E192" s="2" t="str">
        <f>'Manipal Details'!C110</f>
        <v>Ectopic Pregnancy</v>
      </c>
      <c r="F192" s="5" t="str">
        <f>'Manipal Details'!D110</f>
        <v>Me</v>
      </c>
      <c r="G192" s="5">
        <f>'Manipal Details'!F110</f>
        <v>1410</v>
      </c>
      <c r="H192" s="5" t="str">
        <f>'Manipal Details'!G110</f>
        <v>Histopathology</v>
      </c>
      <c r="I192" s="6" t="str">
        <f>'Manipal Details'!H110</f>
        <v>11 May to 18 May</v>
      </c>
    </row>
    <row r="193" spans="1:9">
      <c r="A193" s="1" t="s">
        <v>55</v>
      </c>
      <c r="B193" s="2">
        <f>'Manipal Details'!A111</f>
        <v>41412</v>
      </c>
      <c r="C193" s="2" t="str">
        <f>'Manipal Details'!B111</f>
        <v>May</v>
      </c>
      <c r="D193" s="1">
        <v>2013</v>
      </c>
      <c r="E193" s="2" t="str">
        <f>'Manipal Details'!C111</f>
        <v>Ectopic Pregnancy</v>
      </c>
      <c r="F193" s="5" t="str">
        <f>'Manipal Details'!D111</f>
        <v>Me</v>
      </c>
      <c r="G193" s="5">
        <f>'Manipal Details'!F111</f>
        <v>27600</v>
      </c>
      <c r="H193" s="5" t="str">
        <f>'Manipal Details'!G111</f>
        <v>Procedures</v>
      </c>
      <c r="I193" s="6" t="str">
        <f>'Manipal Details'!H111</f>
        <v>11 May to 18 May</v>
      </c>
    </row>
    <row r="194" spans="1:9">
      <c r="A194" s="1" t="s">
        <v>55</v>
      </c>
      <c r="B194" s="2">
        <f>'Manipal Details'!A112</f>
        <v>41412</v>
      </c>
      <c r="C194" s="2" t="str">
        <f>'Manipal Details'!B112</f>
        <v>May</v>
      </c>
      <c r="D194" s="1">
        <v>2013</v>
      </c>
      <c r="E194" s="2" t="str">
        <f>'Manipal Details'!C112</f>
        <v>Ectopic Pregnancy</v>
      </c>
      <c r="F194" s="5" t="str">
        <f>'Manipal Details'!D112</f>
        <v>Me</v>
      </c>
      <c r="G194" s="5">
        <f>'Manipal Details'!F112</f>
        <v>18100</v>
      </c>
      <c r="H194" s="5" t="str">
        <f>'Manipal Details'!G112</f>
        <v>Theatre charges</v>
      </c>
      <c r="I194" s="6" t="str">
        <f>'Manipal Details'!H112</f>
        <v>11 May to 18 May</v>
      </c>
    </row>
    <row r="195" spans="1:9">
      <c r="A195" s="1" t="s">
        <v>55</v>
      </c>
      <c r="B195" s="2">
        <f>'Manipal Details'!A113</f>
        <v>41412</v>
      </c>
      <c r="C195" s="2" t="str">
        <f>'Manipal Details'!B113</f>
        <v>May</v>
      </c>
      <c r="D195" s="1">
        <v>2013</v>
      </c>
      <c r="E195" s="2" t="str">
        <f>'Manipal Details'!C113</f>
        <v>Ectopic Pregnancy</v>
      </c>
      <c r="F195" s="5" t="str">
        <f>'Manipal Details'!D113</f>
        <v>Me</v>
      </c>
      <c r="G195" s="5">
        <f>'Manipal Details'!F113</f>
        <v>14300</v>
      </c>
      <c r="H195" s="5" t="str">
        <f>'Manipal Details'!G113</f>
        <v>Surgeon fee</v>
      </c>
      <c r="I195" s="6" t="str">
        <f>'Manipal Details'!H113</f>
        <v>11 May to 18 May</v>
      </c>
    </row>
    <row r="196" spans="1:9">
      <c r="A196" s="1" t="s">
        <v>55</v>
      </c>
      <c r="B196" s="2">
        <f>'Manipal Details'!A114</f>
        <v>41412</v>
      </c>
      <c r="C196" s="2" t="str">
        <f>'Manipal Details'!B114</f>
        <v>May</v>
      </c>
      <c r="D196" s="1">
        <v>2013</v>
      </c>
      <c r="E196" s="2" t="str">
        <f>'Manipal Details'!C114</f>
        <v>Ectopic Pregnancy</v>
      </c>
      <c r="F196" s="5" t="str">
        <f>'Manipal Details'!D114</f>
        <v>Me</v>
      </c>
      <c r="G196" s="5">
        <f>'Manipal Details'!F114</f>
        <v>3575</v>
      </c>
      <c r="H196" s="5" t="str">
        <f>'Manipal Details'!G114</f>
        <v>Anasthetists fee</v>
      </c>
      <c r="I196" s="6" t="str">
        <f>'Manipal Details'!H114</f>
        <v>11 May to 18 May</v>
      </c>
    </row>
    <row r="197" spans="1:9">
      <c r="A197" s="1" t="s">
        <v>55</v>
      </c>
      <c r="B197" s="2">
        <f>'Manipal Details'!A115</f>
        <v>41412</v>
      </c>
      <c r="C197" s="2" t="str">
        <f>'Manipal Details'!B115</f>
        <v>May</v>
      </c>
      <c r="D197" s="1">
        <v>2013</v>
      </c>
      <c r="E197" s="2" t="str">
        <f>'Manipal Details'!C115</f>
        <v>Ectopic Pregnancy</v>
      </c>
      <c r="F197" s="5" t="str">
        <f>'Manipal Details'!D115</f>
        <v>Me</v>
      </c>
      <c r="G197" s="5">
        <f>'Manipal Details'!F115</f>
        <v>4290</v>
      </c>
      <c r="H197" s="5" t="str">
        <f>'Manipal Details'!G115</f>
        <v>Surgical support fees</v>
      </c>
      <c r="I197" s="6" t="str">
        <f>'Manipal Details'!H115</f>
        <v>11 May to 18 May</v>
      </c>
    </row>
    <row r="198" spans="1:9">
      <c r="A198" s="1" t="s">
        <v>55</v>
      </c>
      <c r="B198" s="2">
        <f>'Manipal Details'!A116</f>
        <v>41412</v>
      </c>
      <c r="C198" s="2" t="str">
        <f>'Manipal Details'!B116</f>
        <v>May</v>
      </c>
      <c r="D198" s="1">
        <v>2013</v>
      </c>
      <c r="E198" s="2" t="str">
        <f>'Manipal Details'!C116</f>
        <v>Ectopic Pregnancy</v>
      </c>
      <c r="F198" s="5" t="str">
        <f>'Manipal Details'!D116</f>
        <v>Me</v>
      </c>
      <c r="G198" s="5">
        <f>'Manipal Details'!F116</f>
        <v>282</v>
      </c>
      <c r="H198" s="5" t="str">
        <f>'Manipal Details'!G116</f>
        <v>Miscellaneous</v>
      </c>
      <c r="I198" s="6" t="str">
        <f>'Manipal Details'!H116</f>
        <v>11 May to 18 May</v>
      </c>
    </row>
    <row r="199" spans="1:9">
      <c r="A199" s="1" t="s">
        <v>55</v>
      </c>
      <c r="B199" s="2">
        <f>'Manipal Details'!A117</f>
        <v>41412</v>
      </c>
      <c r="C199" s="2" t="str">
        <f>'Manipal Details'!B117</f>
        <v>May</v>
      </c>
      <c r="D199" s="1">
        <v>2013</v>
      </c>
      <c r="E199" s="2" t="str">
        <f>'Manipal Details'!C117</f>
        <v>Ectopic Pregnancy</v>
      </c>
      <c r="F199" s="5" t="str">
        <f>'Manipal Details'!D117</f>
        <v>Me</v>
      </c>
      <c r="G199" s="5">
        <f>'Manipal Details'!F117</f>
        <v>9392</v>
      </c>
      <c r="H199" s="5" t="str">
        <f>'Manipal Details'!G117</f>
        <v>Pharmacy drugs</v>
      </c>
      <c r="I199" s="6" t="str">
        <f>'Manipal Details'!H117</f>
        <v>11 May to 18 May</v>
      </c>
    </row>
    <row r="200" spans="1:9">
      <c r="A200" s="1" t="s">
        <v>55</v>
      </c>
      <c r="B200" s="2">
        <f>'Manipal Details'!A118</f>
        <v>41412</v>
      </c>
      <c r="C200" s="2" t="str">
        <f>'Manipal Details'!B118</f>
        <v>May</v>
      </c>
      <c r="D200" s="1">
        <v>2013</v>
      </c>
      <c r="E200" s="2" t="str">
        <f>'Manipal Details'!C118</f>
        <v>Ectopic Pregnancy</v>
      </c>
      <c r="F200" s="5" t="str">
        <f>'Manipal Details'!D118</f>
        <v>Me</v>
      </c>
      <c r="G200" s="5">
        <f>'Manipal Details'!F118</f>
        <v>8504</v>
      </c>
      <c r="H200" s="5" t="str">
        <f>'Manipal Details'!G118</f>
        <v>Materials</v>
      </c>
      <c r="I200" s="6" t="str">
        <f>'Manipal Details'!H118</f>
        <v>11 May to 18 May</v>
      </c>
    </row>
    <row r="201" spans="1:9">
      <c r="A201" s="1" t="s">
        <v>55</v>
      </c>
      <c r="B201" s="2">
        <f>'Manipal Details'!A119</f>
        <v>41418</v>
      </c>
      <c r="C201" s="2" t="str">
        <f>'Manipal Details'!B119</f>
        <v>May</v>
      </c>
      <c r="D201" s="1">
        <v>2013</v>
      </c>
      <c r="E201" s="2" t="str">
        <f>'Manipal Details'!C119</f>
        <v>Consult</v>
      </c>
      <c r="F201" s="5" t="str">
        <f>'Manipal Details'!D119</f>
        <v>Me</v>
      </c>
      <c r="G201" s="5">
        <f>'Manipal Details'!F119</f>
        <v>200</v>
      </c>
      <c r="H201" s="5" t="str">
        <f>'Manipal Details'!G119</f>
        <v>OBG Follow up - Dr Gayathri</v>
      </c>
      <c r="I201" s="6">
        <f>'Manipal Details'!H119</f>
        <v>0</v>
      </c>
    </row>
    <row r="202" spans="1:9">
      <c r="A202" s="1" t="s">
        <v>55</v>
      </c>
      <c r="B202" s="2">
        <f>'Manipal Details'!A120</f>
        <v>41520</v>
      </c>
      <c r="C202" s="2" t="str">
        <f>'Manipal Details'!B120</f>
        <v>Sep</v>
      </c>
      <c r="D202" s="1">
        <v>2013</v>
      </c>
      <c r="E202" s="2" t="str">
        <f>'Manipal Details'!C120</f>
        <v>Consult</v>
      </c>
      <c r="F202" s="5" t="str">
        <f>'Manipal Details'!D120</f>
        <v>Me</v>
      </c>
      <c r="G202" s="5">
        <f>'Manipal Details'!F120</f>
        <v>400</v>
      </c>
      <c r="H202" s="5" t="str">
        <f>'Manipal Details'!G120</f>
        <v>Bina</v>
      </c>
      <c r="I202" s="6">
        <f>'Manipal Details'!H120</f>
        <v>0</v>
      </c>
    </row>
    <row r="203" spans="1:9">
      <c r="A203" s="1" t="s">
        <v>55</v>
      </c>
      <c r="B203" s="2">
        <f>'Manipal Details'!A121</f>
        <v>41520</v>
      </c>
      <c r="C203" s="2" t="str">
        <f>'Manipal Details'!B121</f>
        <v>Sep</v>
      </c>
      <c r="D203" s="1">
        <v>2013</v>
      </c>
      <c r="E203" s="2" t="str">
        <f>'Manipal Details'!C121</f>
        <v>SA</v>
      </c>
      <c r="F203" s="5" t="str">
        <f>'Manipal Details'!D121</f>
        <v>DH</v>
      </c>
      <c r="G203" s="5">
        <f>'Manipal Details'!F121</f>
        <v>250</v>
      </c>
      <c r="H203" s="5" t="str">
        <f>'Manipal Details'!G121</f>
        <v>SA</v>
      </c>
      <c r="I203" s="6">
        <f>'Manipal Details'!H121</f>
        <v>0</v>
      </c>
    </row>
    <row r="204" spans="1:9">
      <c r="A204" s="1" t="s">
        <v>55</v>
      </c>
      <c r="B204" s="2">
        <f>'Manipal Details'!A122</f>
        <v>41522</v>
      </c>
      <c r="C204" s="2" t="str">
        <f>'Manipal Details'!B122</f>
        <v>Sep</v>
      </c>
      <c r="D204" s="1">
        <v>2013</v>
      </c>
      <c r="E204" s="2" t="str">
        <f>'Manipal Details'!C122</f>
        <v>Consult</v>
      </c>
      <c r="F204" s="5" t="str">
        <f>'Manipal Details'!D122</f>
        <v>DH</v>
      </c>
      <c r="G204" s="5">
        <f>'Manipal Details'!F122</f>
        <v>400</v>
      </c>
      <c r="H204" s="5" t="str">
        <f>'Manipal Details'!G122</f>
        <v>Vasan</v>
      </c>
      <c r="I204" s="6">
        <f>'Manipal Details'!H122</f>
        <v>0</v>
      </c>
    </row>
    <row r="205" spans="1:9">
      <c r="A205" s="1" t="s">
        <v>55</v>
      </c>
      <c r="B205" s="2">
        <f>'Manipal Details'!A123</f>
        <v>41522</v>
      </c>
      <c r="C205" s="2" t="str">
        <f>'Manipal Details'!B123</f>
        <v>Sep</v>
      </c>
      <c r="D205" s="1">
        <v>2013</v>
      </c>
      <c r="E205" s="2" t="str">
        <f>'Manipal Details'!C123</f>
        <v>Blood test</v>
      </c>
      <c r="F205" s="5" t="str">
        <f>'Manipal Details'!D123</f>
        <v>DH</v>
      </c>
      <c r="G205" s="5">
        <f>'Manipal Details'!F123</f>
        <v>2410</v>
      </c>
      <c r="H205" s="5" t="str">
        <f>'Manipal Details'!G123</f>
        <v>Hepatitis + HIV</v>
      </c>
      <c r="I205" s="6">
        <f>'Manipal Details'!H123</f>
        <v>0</v>
      </c>
    </row>
    <row r="206" spans="1:9">
      <c r="A206" s="1" t="s">
        <v>55</v>
      </c>
      <c r="B206" s="2">
        <f>'Manipal Details'!A124</f>
        <v>41524</v>
      </c>
      <c r="C206" s="2" t="str">
        <f>'Manipal Details'!B124</f>
        <v>Sep</v>
      </c>
      <c r="D206" s="1">
        <v>2013</v>
      </c>
      <c r="E206" s="2" t="str">
        <f>'Manipal Details'!C124</f>
        <v>SA</v>
      </c>
      <c r="F206" s="5" t="str">
        <f>'Manipal Details'!D124</f>
        <v>DH</v>
      </c>
      <c r="G206" s="5">
        <f>'Manipal Details'!F124</f>
        <v>0</v>
      </c>
      <c r="H206" s="5" t="str">
        <f>'Manipal Details'!G124</f>
        <v>DFI</v>
      </c>
      <c r="I206" s="6">
        <f>'Manipal Details'!H124</f>
        <v>0</v>
      </c>
    </row>
    <row r="207" spans="1:9">
      <c r="A207" s="1" t="s">
        <v>55</v>
      </c>
      <c r="B207" s="2">
        <f>'Manipal Details'!A125</f>
        <v>41527</v>
      </c>
      <c r="C207" s="2" t="str">
        <f>'Manipal Details'!B125</f>
        <v>Sep</v>
      </c>
      <c r="D207" s="1">
        <v>2013</v>
      </c>
      <c r="E207" s="2" t="str">
        <f>'Manipal Details'!C125</f>
        <v>Consult</v>
      </c>
      <c r="F207" s="5" t="str">
        <f>'Manipal Details'!D125</f>
        <v>DH</v>
      </c>
      <c r="G207" s="5">
        <f>'Manipal Details'!F125</f>
        <v>0</v>
      </c>
      <c r="H207" s="5" t="str">
        <f>'Manipal Details'!G125</f>
        <v>Vasan</v>
      </c>
      <c r="I207" s="6">
        <f>'Manipal Details'!H125</f>
        <v>0</v>
      </c>
    </row>
    <row r="208" spans="1:9">
      <c r="A208" s="1" t="s">
        <v>55</v>
      </c>
      <c r="B208" s="2">
        <f>'Manipal Details'!A126</f>
        <v>41528</v>
      </c>
      <c r="C208" s="2" t="str">
        <f>'Manipal Details'!B126</f>
        <v>Sep</v>
      </c>
      <c r="D208" s="1">
        <v>2013</v>
      </c>
      <c r="E208" s="2" t="str">
        <f>'Manipal Details'!C126</f>
        <v>IVF2 Registration</v>
      </c>
      <c r="F208" s="5" t="str">
        <f>'Manipal Details'!D126</f>
        <v>DH</v>
      </c>
      <c r="G208" s="5">
        <f>'Manipal Details'!F126</f>
        <v>95000</v>
      </c>
      <c r="H208" s="5">
        <f>'Manipal Details'!G126</f>
        <v>0</v>
      </c>
      <c r="I208" s="6">
        <f>'Manipal Details'!H126</f>
        <v>0</v>
      </c>
    </row>
    <row r="209" spans="1:9">
      <c r="A209" s="1" t="s">
        <v>55</v>
      </c>
      <c r="B209" s="2">
        <f>'Manipal Details'!A127</f>
        <v>41528</v>
      </c>
      <c r="C209" s="2" t="str">
        <f>'Manipal Details'!B127</f>
        <v>Sep</v>
      </c>
      <c r="D209" s="1">
        <v>2013</v>
      </c>
      <c r="E209" s="2" t="str">
        <f>'Manipal Details'!C127</f>
        <v>Medicine</v>
      </c>
      <c r="F209" s="5" t="str">
        <f>'Manipal Details'!D127</f>
        <v>Me</v>
      </c>
      <c r="G209" s="5">
        <f>'Manipal Details'!F127</f>
        <v>42</v>
      </c>
      <c r="H209" s="5" t="str">
        <f>'Manipal Details'!G127</f>
        <v>Trulimax 500 mg</v>
      </c>
      <c r="I209" s="6">
        <f>'Manipal Details'!H127</f>
        <v>0</v>
      </c>
    </row>
    <row r="210" spans="1:9">
      <c r="A210" s="1" t="s">
        <v>55</v>
      </c>
      <c r="B210" s="2">
        <f>'Manipal Details'!A128</f>
        <v>41528</v>
      </c>
      <c r="C210" s="2" t="str">
        <f>'Manipal Details'!B128</f>
        <v>Sep</v>
      </c>
      <c r="D210" s="1">
        <v>2013</v>
      </c>
      <c r="E210" s="2" t="str">
        <f>'Manipal Details'!C128</f>
        <v>Medicine</v>
      </c>
      <c r="F210" s="5" t="str">
        <f>'Manipal Details'!D128</f>
        <v>Me</v>
      </c>
      <c r="G210" s="5">
        <f>'Manipal Details'!F128</f>
        <v>10</v>
      </c>
      <c r="H210" s="5" t="str">
        <f>'Manipal Details'!G128</f>
        <v xml:space="preserve">Metrogyl 400 mg tablet </v>
      </c>
      <c r="I210" s="6">
        <f>'Manipal Details'!H128</f>
        <v>0</v>
      </c>
    </row>
    <row r="211" spans="1:9">
      <c r="A211" s="1" t="s">
        <v>55</v>
      </c>
      <c r="B211" s="2">
        <f>'Manipal Details'!A129</f>
        <v>41528</v>
      </c>
      <c r="C211" s="2" t="str">
        <f>'Manipal Details'!B129</f>
        <v>Sep</v>
      </c>
      <c r="D211" s="1">
        <v>2013</v>
      </c>
      <c r="E211" s="2" t="str">
        <f>'Manipal Details'!C129</f>
        <v>Medicine</v>
      </c>
      <c r="F211" s="5" t="str">
        <f>'Manipal Details'!D129</f>
        <v>DH</v>
      </c>
      <c r="G211" s="5">
        <f>'Manipal Details'!F129</f>
        <v>3</v>
      </c>
      <c r="H211" s="5" t="str">
        <f>'Manipal Details'!G129</f>
        <v xml:space="preserve">Wysolone 5 mg disp tablet </v>
      </c>
      <c r="I211" s="6">
        <f>'Manipal Details'!H129</f>
        <v>0</v>
      </c>
    </row>
    <row r="212" spans="1:9">
      <c r="A212" s="1" t="s">
        <v>55</v>
      </c>
      <c r="B212" s="2">
        <f>'Manipal Details'!A130</f>
        <v>41532</v>
      </c>
      <c r="C212" s="2" t="str">
        <f>'Manipal Details'!B130</f>
        <v>Sep</v>
      </c>
      <c r="D212" s="1">
        <v>2013</v>
      </c>
      <c r="E212" s="2" t="str">
        <f>'Manipal Details'!C130</f>
        <v>IVF2 Medicine</v>
      </c>
      <c r="F212" s="5" t="str">
        <f>'Manipal Details'!D130</f>
        <v>Me</v>
      </c>
      <c r="G212" s="5">
        <f>'Manipal Details'!F130</f>
        <v>26538</v>
      </c>
      <c r="H212" s="5" t="str">
        <f>'Manipal Details'!G130</f>
        <v>Recagon 300 IU</v>
      </c>
      <c r="I212" s="6">
        <f>'Manipal Details'!H130</f>
        <v>0</v>
      </c>
    </row>
    <row r="213" spans="1:9">
      <c r="A213" s="1" t="s">
        <v>55</v>
      </c>
      <c r="B213" s="2">
        <f>'Manipal Details'!A131</f>
        <v>41535</v>
      </c>
      <c r="C213" s="2" t="str">
        <f>'Manipal Details'!B131</f>
        <v>Sep</v>
      </c>
      <c r="D213" s="1">
        <v>2013</v>
      </c>
      <c r="E213" s="2" t="str">
        <f>'Manipal Details'!C131</f>
        <v>IVF2 Medicine</v>
      </c>
      <c r="F213" s="5" t="str">
        <f>'Manipal Details'!D131</f>
        <v>Me</v>
      </c>
      <c r="G213" s="5">
        <f>'Manipal Details'!F131</f>
        <v>8846</v>
      </c>
      <c r="H213" s="5" t="str">
        <f>'Manipal Details'!G131</f>
        <v>Recagon 300 IU</v>
      </c>
      <c r="I213" s="6">
        <f>'Manipal Details'!H131</f>
        <v>0</v>
      </c>
    </row>
    <row r="214" spans="1:9">
      <c r="A214" s="1" t="s">
        <v>55</v>
      </c>
      <c r="B214" s="2">
        <f>'Manipal Details'!A132</f>
        <v>41535</v>
      </c>
      <c r="C214" s="2" t="str">
        <f>'Manipal Details'!B132</f>
        <v>Sep</v>
      </c>
      <c r="D214" s="1">
        <v>2013</v>
      </c>
      <c r="E214" s="2" t="str">
        <f>'Manipal Details'!C132</f>
        <v>IVF2 Medicine</v>
      </c>
      <c r="F214" s="5" t="str">
        <f>'Manipal Details'!D132</f>
        <v>Me</v>
      </c>
      <c r="G214" s="5">
        <f>'Manipal Details'!F132</f>
        <v>1020</v>
      </c>
      <c r="H214" s="5" t="str">
        <f>'Manipal Details'!G132</f>
        <v xml:space="preserve">Ovurelix 0.25 mg </v>
      </c>
      <c r="I214" s="6">
        <f>'Manipal Details'!H132</f>
        <v>0</v>
      </c>
    </row>
    <row r="215" spans="1:9">
      <c r="A215" s="1" t="s">
        <v>55</v>
      </c>
      <c r="B215" s="2">
        <f>'Manipal Details'!A133</f>
        <v>41535</v>
      </c>
      <c r="C215" s="2" t="str">
        <f>'Manipal Details'!B133</f>
        <v>Sep</v>
      </c>
      <c r="D215" s="1">
        <v>2013</v>
      </c>
      <c r="E215" s="2" t="str">
        <f>'Manipal Details'!C133</f>
        <v>IVF2 Medicine</v>
      </c>
      <c r="F215" s="5" t="str">
        <f>'Manipal Details'!D133</f>
        <v>Me</v>
      </c>
      <c r="G215" s="5">
        <f>'Manipal Details'!F133</f>
        <v>7</v>
      </c>
      <c r="H215" s="5" t="str">
        <f>'Manipal Details'!G133</f>
        <v xml:space="preserve">Syringe </v>
      </c>
      <c r="I215" s="6">
        <f>'Manipal Details'!H133</f>
        <v>0</v>
      </c>
    </row>
    <row r="216" spans="1:9">
      <c r="A216" s="1" t="s">
        <v>55</v>
      </c>
      <c r="B216" s="2">
        <f>'Manipal Details'!A134</f>
        <v>41536</v>
      </c>
      <c r="C216" s="2" t="str">
        <f>'Manipal Details'!B134</f>
        <v>Sep</v>
      </c>
      <c r="D216" s="1">
        <v>2013</v>
      </c>
      <c r="E216" s="2" t="str">
        <f>'Manipal Details'!C134</f>
        <v>Blood test</v>
      </c>
      <c r="F216" s="5" t="str">
        <f>'Manipal Details'!D134</f>
        <v>Me</v>
      </c>
      <c r="G216" s="5">
        <f>'Manipal Details'!F134</f>
        <v>370</v>
      </c>
      <c r="H216" s="5" t="str">
        <f>'Manipal Details'!G134</f>
        <v>Complete blood count</v>
      </c>
      <c r="I216" s="6" t="str">
        <f>'Manipal Details'!H134</f>
        <v>Part of pre anaestesia check</v>
      </c>
    </row>
    <row r="217" spans="1:9">
      <c r="A217" s="1" t="s">
        <v>55</v>
      </c>
      <c r="B217" s="2">
        <f>'Manipal Details'!A135</f>
        <v>41537</v>
      </c>
      <c r="C217" s="2" t="str">
        <f>'Manipal Details'!B135</f>
        <v>Sep</v>
      </c>
      <c r="D217" s="1">
        <v>2013</v>
      </c>
      <c r="E217" s="2" t="str">
        <f>'Manipal Details'!C135</f>
        <v>IVF2 Blood test</v>
      </c>
      <c r="F217" s="5" t="str">
        <f>'Manipal Details'!D135</f>
        <v>Me</v>
      </c>
      <c r="G217" s="5">
        <f>'Manipal Details'!F135</f>
        <v>0</v>
      </c>
      <c r="H217" s="5" t="str">
        <f>'Manipal Details'!G135</f>
        <v>Estradiol (package)</v>
      </c>
      <c r="I217" s="6">
        <f>'Manipal Details'!H135</f>
        <v>0</v>
      </c>
    </row>
    <row r="218" spans="1:9">
      <c r="A218" s="1" t="s">
        <v>55</v>
      </c>
      <c r="B218" s="2">
        <f>'Manipal Details'!A136</f>
        <v>41537</v>
      </c>
      <c r="C218" s="2" t="str">
        <f>'Manipal Details'!B136</f>
        <v>Sep</v>
      </c>
      <c r="D218" s="1">
        <v>2013</v>
      </c>
      <c r="E218" s="2" t="str">
        <f>'Manipal Details'!C136</f>
        <v>IVF2 Medicine</v>
      </c>
      <c r="F218" s="5" t="str">
        <f>'Manipal Details'!D136</f>
        <v>Me</v>
      </c>
      <c r="G218" s="5">
        <f>'Manipal Details'!F136</f>
        <v>17692</v>
      </c>
      <c r="H218" s="5" t="str">
        <f>'Manipal Details'!G136</f>
        <v>Recagon 300 IU</v>
      </c>
      <c r="I218" s="6">
        <f>'Manipal Details'!H136</f>
        <v>0</v>
      </c>
    </row>
    <row r="219" spans="1:9">
      <c r="A219" s="1" t="s">
        <v>55</v>
      </c>
      <c r="B219" s="2">
        <f>'Manipal Details'!A137</f>
        <v>41537</v>
      </c>
      <c r="C219" s="2" t="str">
        <f>'Manipal Details'!B137</f>
        <v>Sep</v>
      </c>
      <c r="D219" s="1">
        <v>2013</v>
      </c>
      <c r="E219" s="2" t="str">
        <f>'Manipal Details'!C137</f>
        <v>IVF2 Medicine</v>
      </c>
      <c r="F219" s="5" t="str">
        <f>'Manipal Details'!D137</f>
        <v>Me</v>
      </c>
      <c r="G219" s="5">
        <f>'Manipal Details'!F137</f>
        <v>3060</v>
      </c>
      <c r="H219" s="5" t="str">
        <f>'Manipal Details'!G137</f>
        <v xml:space="preserve">Ovurelix 0.25 mg </v>
      </c>
      <c r="I219" s="6">
        <f>'Manipal Details'!H137</f>
        <v>0</v>
      </c>
    </row>
    <row r="220" spans="1:9">
      <c r="A220" s="1" t="s">
        <v>55</v>
      </c>
      <c r="B220" s="2">
        <f>'Manipal Details'!A138</f>
        <v>41537</v>
      </c>
      <c r="C220" s="2" t="str">
        <f>'Manipal Details'!B138</f>
        <v>Sep</v>
      </c>
      <c r="D220" s="1">
        <v>2013</v>
      </c>
      <c r="E220" s="2" t="str">
        <f>'Manipal Details'!C138</f>
        <v>IVF2 Medicine</v>
      </c>
      <c r="F220" s="5" t="str">
        <f>'Manipal Details'!D138</f>
        <v>Me</v>
      </c>
      <c r="G220" s="5">
        <f>'Manipal Details'!F138</f>
        <v>2200</v>
      </c>
      <c r="H220" s="5" t="str">
        <f>'Manipal Details'!G138</f>
        <v xml:space="preserve">Persinal-HP 75 IU </v>
      </c>
      <c r="I220" s="6">
        <f>'Manipal Details'!H138</f>
        <v>0</v>
      </c>
    </row>
    <row r="221" spans="1:9">
      <c r="A221" s="1" t="s">
        <v>55</v>
      </c>
      <c r="B221" s="2">
        <f>'Manipal Details'!A139</f>
        <v>41537</v>
      </c>
      <c r="C221" s="2" t="str">
        <f>'Manipal Details'!B139</f>
        <v>Sep</v>
      </c>
      <c r="D221" s="1">
        <v>2013</v>
      </c>
      <c r="E221" s="2" t="str">
        <f>'Manipal Details'!C139</f>
        <v>IVF2 Medicine</v>
      </c>
      <c r="F221" s="5" t="str">
        <f>'Manipal Details'!D139</f>
        <v>Me</v>
      </c>
      <c r="G221" s="5">
        <f>'Manipal Details'!F139</f>
        <v>16</v>
      </c>
      <c r="H221" s="5" t="str">
        <f>'Manipal Details'!G139</f>
        <v xml:space="preserve">Syringe </v>
      </c>
      <c r="I221" s="6">
        <f>'Manipal Details'!H139</f>
        <v>0</v>
      </c>
    </row>
    <row r="222" spans="1:9">
      <c r="A222" s="1" t="s">
        <v>55</v>
      </c>
      <c r="B222" s="2">
        <f>'Manipal Details'!A140</f>
        <v>41537</v>
      </c>
      <c r="C222" s="2" t="str">
        <f>'Manipal Details'!B140</f>
        <v>Sep</v>
      </c>
      <c r="D222" s="1">
        <v>2013</v>
      </c>
      <c r="E222" s="2" t="str">
        <f>'Manipal Details'!C140</f>
        <v>IVF2 Medicine</v>
      </c>
      <c r="F222" s="5" t="str">
        <f>'Manipal Details'!D140</f>
        <v>Me</v>
      </c>
      <c r="G222" s="5">
        <f>'Manipal Details'!F140</f>
        <v>22</v>
      </c>
      <c r="H222" s="5" t="str">
        <f>'Manipal Details'!G140</f>
        <v xml:space="preserve">Syringe </v>
      </c>
      <c r="I222" s="6">
        <f>'Manipal Details'!H140</f>
        <v>0</v>
      </c>
    </row>
    <row r="223" spans="1:9">
      <c r="A223" s="1" t="s">
        <v>55</v>
      </c>
      <c r="B223" s="2">
        <f>'Manipal Details'!A141</f>
        <v>41539</v>
      </c>
      <c r="C223" s="2" t="str">
        <f>'Manipal Details'!B141</f>
        <v>Sep</v>
      </c>
      <c r="D223" s="1">
        <v>2013</v>
      </c>
      <c r="E223" s="2" t="str">
        <f>'Manipal Details'!C141</f>
        <v>IVF2 Blood test</v>
      </c>
      <c r="F223" s="5" t="str">
        <f>'Manipal Details'!D141</f>
        <v>Me</v>
      </c>
      <c r="G223" s="5">
        <f>'Manipal Details'!F141</f>
        <v>0</v>
      </c>
      <c r="H223" s="5" t="str">
        <f>'Manipal Details'!G141</f>
        <v>Estradiol (package)</v>
      </c>
      <c r="I223" s="6">
        <f>'Manipal Details'!H141</f>
        <v>0</v>
      </c>
    </row>
    <row r="224" spans="1:9">
      <c r="A224" s="1" t="s">
        <v>55</v>
      </c>
      <c r="B224" s="2">
        <f>'Manipal Details'!A142</f>
        <v>41539</v>
      </c>
      <c r="C224" s="2" t="str">
        <f>'Manipal Details'!B142</f>
        <v>Sep</v>
      </c>
      <c r="D224" s="1">
        <v>2013</v>
      </c>
      <c r="E224" s="2" t="str">
        <f>'Manipal Details'!C142</f>
        <v>IVF2 Blood test</v>
      </c>
      <c r="F224" s="5" t="str">
        <f>'Manipal Details'!D142</f>
        <v>Me</v>
      </c>
      <c r="G224" s="5">
        <f>'Manipal Details'!F142</f>
        <v>650</v>
      </c>
      <c r="H224" s="5" t="str">
        <f>'Manipal Details'!G142</f>
        <v>Progesterone</v>
      </c>
      <c r="I224" s="6">
        <f>'Manipal Details'!H142</f>
        <v>0</v>
      </c>
    </row>
    <row r="225" spans="1:9">
      <c r="A225" s="1" t="s">
        <v>55</v>
      </c>
      <c r="B225" s="2">
        <f>'Manipal Details'!A143</f>
        <v>41540</v>
      </c>
      <c r="C225" s="2" t="str">
        <f>'Manipal Details'!B143</f>
        <v>Sep</v>
      </c>
      <c r="D225" s="1">
        <v>2013</v>
      </c>
      <c r="E225" s="2" t="str">
        <f>'Manipal Details'!C143</f>
        <v>IVF2 Medicine</v>
      </c>
      <c r="F225" s="5" t="str">
        <f>'Manipal Details'!D143</f>
        <v>Me</v>
      </c>
      <c r="G225" s="5">
        <f>'Manipal Details'!F143</f>
        <v>1100</v>
      </c>
      <c r="H225" s="5" t="str">
        <f>'Manipal Details'!G143</f>
        <v xml:space="preserve">Persinal-HP 75 IU </v>
      </c>
      <c r="I225" s="6">
        <f>'Manipal Details'!H143</f>
        <v>0</v>
      </c>
    </row>
    <row r="226" spans="1:9">
      <c r="A226" s="1" t="s">
        <v>55</v>
      </c>
      <c r="B226" s="2">
        <f>'Manipal Details'!A144</f>
        <v>41540</v>
      </c>
      <c r="C226" s="2" t="str">
        <f>'Manipal Details'!B144</f>
        <v>Sep</v>
      </c>
      <c r="D226" s="1">
        <v>2013</v>
      </c>
      <c r="E226" s="2" t="str">
        <f>'Manipal Details'!C144</f>
        <v>IVF2 Medicine</v>
      </c>
      <c r="F226" s="5" t="str">
        <f>'Manipal Details'!D144</f>
        <v>Me</v>
      </c>
      <c r="G226" s="5">
        <f>'Manipal Details'!F144</f>
        <v>8</v>
      </c>
      <c r="H226" s="5" t="str">
        <f>'Manipal Details'!G144</f>
        <v xml:space="preserve">Syringe </v>
      </c>
      <c r="I226" s="6">
        <f>'Manipal Details'!H144</f>
        <v>0</v>
      </c>
    </row>
    <row r="227" spans="1:9">
      <c r="A227" s="1" t="s">
        <v>55</v>
      </c>
      <c r="B227" s="2">
        <f>'Manipal Details'!A145</f>
        <v>41540</v>
      </c>
      <c r="C227" s="2" t="str">
        <f>'Manipal Details'!B145</f>
        <v>Sep</v>
      </c>
      <c r="D227" s="1">
        <v>2013</v>
      </c>
      <c r="E227" s="2" t="str">
        <f>'Manipal Details'!C145</f>
        <v>IVF2 Medicine</v>
      </c>
      <c r="F227" s="5" t="str">
        <f>'Manipal Details'!D145</f>
        <v>DH</v>
      </c>
      <c r="G227" s="5">
        <f>'Manipal Details'!F145</f>
        <v>1500</v>
      </c>
      <c r="H227" s="5" t="str">
        <f>'Manipal Details'!G145</f>
        <v>Ovitrelle 250 mcg</v>
      </c>
      <c r="I227" s="6">
        <f>'Manipal Details'!H145</f>
        <v>0</v>
      </c>
    </row>
    <row r="228" spans="1:9">
      <c r="A228" s="1" t="s">
        <v>55</v>
      </c>
      <c r="B228" s="2">
        <f>'Manipal Details'!A146</f>
        <v>41540</v>
      </c>
      <c r="C228" s="2" t="str">
        <f>'Manipal Details'!B146</f>
        <v>Sep</v>
      </c>
      <c r="D228" s="1">
        <v>2013</v>
      </c>
      <c r="E228" s="2" t="str">
        <f>'Manipal Details'!C146</f>
        <v>SA</v>
      </c>
      <c r="F228" s="5" t="str">
        <f>'Manipal Details'!D146</f>
        <v>DH</v>
      </c>
      <c r="G228" s="5">
        <f>'Manipal Details'!F146</f>
        <v>3960</v>
      </c>
      <c r="H228" s="5" t="str">
        <f>'Manipal Details'!G146</f>
        <v>Temp cryo freezing and DFI for a month</v>
      </c>
      <c r="I228" s="6">
        <f>'Manipal Details'!H146</f>
        <v>0</v>
      </c>
    </row>
    <row r="229" spans="1:9">
      <c r="A229" s="1" t="s">
        <v>55</v>
      </c>
      <c r="B229" s="2">
        <f>'Manipal Details'!A147</f>
        <v>41542</v>
      </c>
      <c r="C229" s="2" t="str">
        <f>'Manipal Details'!B147</f>
        <v>Sep</v>
      </c>
      <c r="D229" s="1">
        <v>2013</v>
      </c>
      <c r="E229" s="2" t="str">
        <f>'Manipal Details'!C147</f>
        <v>IVF2 Egg retrieval</v>
      </c>
      <c r="F229" s="5" t="str">
        <f>'Manipal Details'!D147</f>
        <v>Me</v>
      </c>
      <c r="G229" s="5">
        <f>'Manipal Details'!F147</f>
        <v>58</v>
      </c>
      <c r="H229" s="5" t="str">
        <f>'Manipal Details'!G147</f>
        <v>Oframax 1 gm 6500 IU</v>
      </c>
      <c r="I229" s="6">
        <f>'Manipal Details'!H147</f>
        <v>0</v>
      </c>
    </row>
    <row r="230" spans="1:9">
      <c r="A230" s="1" t="s">
        <v>55</v>
      </c>
      <c r="B230" s="2">
        <f>'Manipal Details'!A148</f>
        <v>41542</v>
      </c>
      <c r="C230" s="2" t="str">
        <f>'Manipal Details'!B148</f>
        <v>Sep</v>
      </c>
      <c r="D230" s="1">
        <v>2013</v>
      </c>
      <c r="E230" s="2" t="str">
        <f>'Manipal Details'!C148</f>
        <v>IVF2 Egg retrieval</v>
      </c>
      <c r="F230" s="5" t="str">
        <f>'Manipal Details'!D148</f>
        <v>Me</v>
      </c>
      <c r="G230" s="5">
        <f>'Manipal Details'!F148</f>
        <v>77</v>
      </c>
      <c r="H230" s="5" t="str">
        <f>'Manipal Details'!G148</f>
        <v>Tiniden 800 mg</v>
      </c>
      <c r="I230" s="6">
        <f>'Manipal Details'!H148</f>
        <v>0</v>
      </c>
    </row>
    <row r="231" spans="1:9">
      <c r="A231" s="1" t="s">
        <v>55</v>
      </c>
      <c r="B231" s="2">
        <f>'Manipal Details'!A149</f>
        <v>41542</v>
      </c>
      <c r="C231" s="2" t="str">
        <f>'Manipal Details'!B149</f>
        <v>Sep</v>
      </c>
      <c r="D231" s="1">
        <v>2013</v>
      </c>
      <c r="E231" s="2" t="str">
        <f>'Manipal Details'!C149</f>
        <v>IVF2 Egg retrieval</v>
      </c>
      <c r="F231" s="5" t="str">
        <f>'Manipal Details'!D149</f>
        <v>Me</v>
      </c>
      <c r="G231" s="5">
        <f>'Manipal Details'!F149</f>
        <v>8</v>
      </c>
      <c r="H231" s="5" t="str">
        <f>'Manipal Details'!G149</f>
        <v xml:space="preserve">Syringe </v>
      </c>
      <c r="I231" s="6">
        <f>'Manipal Details'!H149</f>
        <v>0</v>
      </c>
    </row>
    <row r="232" spans="1:9">
      <c r="A232" s="1" t="s">
        <v>55</v>
      </c>
      <c r="B232" s="2">
        <f>'Manipal Details'!A150</f>
        <v>41542</v>
      </c>
      <c r="C232" s="2" t="str">
        <f>'Manipal Details'!B150</f>
        <v>Sep</v>
      </c>
      <c r="D232" s="1">
        <v>2013</v>
      </c>
      <c r="E232" s="2" t="str">
        <f>'Manipal Details'!C150</f>
        <v>IVF2 Egg retrieval</v>
      </c>
      <c r="F232" s="5" t="str">
        <f>'Manipal Details'!D150</f>
        <v>Me</v>
      </c>
      <c r="G232" s="5">
        <f>'Manipal Details'!F150</f>
        <v>16</v>
      </c>
      <c r="H232" s="5" t="str">
        <f>'Manipal Details'!G150</f>
        <v xml:space="preserve">Syringe </v>
      </c>
      <c r="I232" s="6">
        <f>'Manipal Details'!H150</f>
        <v>0</v>
      </c>
    </row>
    <row r="233" spans="1:9">
      <c r="A233" s="1" t="s">
        <v>55</v>
      </c>
      <c r="B233" s="2">
        <f>'Manipal Details'!A151</f>
        <v>41542</v>
      </c>
      <c r="C233" s="2" t="str">
        <f>'Manipal Details'!B151</f>
        <v>Sep</v>
      </c>
      <c r="D233" s="1">
        <v>2013</v>
      </c>
      <c r="E233" s="2" t="str">
        <f>'Manipal Details'!C151</f>
        <v>IVF2 Egg retrieval</v>
      </c>
      <c r="F233" s="5" t="str">
        <f>'Manipal Details'!D151</f>
        <v>Me</v>
      </c>
      <c r="G233" s="5">
        <f>'Manipal Details'!F151</f>
        <v>7</v>
      </c>
      <c r="H233" s="5" t="str">
        <f>'Manipal Details'!G151</f>
        <v xml:space="preserve">Syringe </v>
      </c>
      <c r="I233" s="6">
        <f>'Manipal Details'!H151</f>
        <v>0</v>
      </c>
    </row>
    <row r="234" spans="1:9">
      <c r="A234" s="1" t="s">
        <v>55</v>
      </c>
      <c r="B234" s="2">
        <f>'Manipal Details'!A152</f>
        <v>41542</v>
      </c>
      <c r="C234" s="2" t="str">
        <f>'Manipal Details'!B152</f>
        <v>Sep</v>
      </c>
      <c r="D234" s="1">
        <v>2013</v>
      </c>
      <c r="E234" s="2" t="str">
        <f>'Manipal Details'!C152</f>
        <v>IVF2 Embryoscope</v>
      </c>
      <c r="F234" s="5" t="str">
        <f>'Manipal Details'!D152</f>
        <v>DH</v>
      </c>
      <c r="G234" s="5">
        <f>'Manipal Details'!F152</f>
        <v>30000</v>
      </c>
      <c r="H234" s="5" t="str">
        <f>'Manipal Details'!G152</f>
        <v>Embryoscope</v>
      </c>
      <c r="I234" s="6">
        <f>'Manipal Details'!H152</f>
        <v>0</v>
      </c>
    </row>
    <row r="235" spans="1:9">
      <c r="A235" s="1" t="s">
        <v>55</v>
      </c>
      <c r="B235" s="2">
        <f>'Manipal Details'!A153</f>
        <v>41542</v>
      </c>
      <c r="C235" s="2" t="str">
        <f>'Manipal Details'!B153</f>
        <v>Sep</v>
      </c>
      <c r="D235" s="1">
        <v>2013</v>
      </c>
      <c r="E235" s="2" t="str">
        <f>'Manipal Details'!C153</f>
        <v>IVF2 Egg retrieval</v>
      </c>
      <c r="F235" s="5" t="str">
        <f>'Manipal Details'!D153</f>
        <v>DH</v>
      </c>
      <c r="G235" s="5">
        <f>'Manipal Details'!F153</f>
        <v>627</v>
      </c>
      <c r="H235" s="5" t="str">
        <f>'Manipal Details'!G153</f>
        <v>Gestone 100 mg</v>
      </c>
      <c r="I235" s="6">
        <f>'Manipal Details'!H153</f>
        <v>0</v>
      </c>
    </row>
    <row r="236" spans="1:9">
      <c r="A236" s="1" t="s">
        <v>55</v>
      </c>
      <c r="B236" s="2">
        <f>'Manipal Details'!A154</f>
        <v>41542</v>
      </c>
      <c r="C236" s="2" t="str">
        <f>'Manipal Details'!B154</f>
        <v>Sep</v>
      </c>
      <c r="D236" s="1">
        <v>2013</v>
      </c>
      <c r="E236" s="2" t="str">
        <f>'Manipal Details'!C154</f>
        <v>IVF2 Egg retrieval</v>
      </c>
      <c r="F236" s="5" t="str">
        <f>'Manipal Details'!D154</f>
        <v>DH</v>
      </c>
      <c r="G236" s="5">
        <f>'Manipal Details'!F154</f>
        <v>49</v>
      </c>
      <c r="H236" s="5" t="str">
        <f>'Manipal Details'!G154</f>
        <v xml:space="preserve">Syringe </v>
      </c>
      <c r="I236" s="6">
        <f>'Manipal Details'!H154</f>
        <v>0</v>
      </c>
    </row>
    <row r="237" spans="1:9">
      <c r="A237" s="1" t="s">
        <v>55</v>
      </c>
      <c r="B237" s="2">
        <f>'Manipal Details'!A155</f>
        <v>41542</v>
      </c>
      <c r="C237" s="2" t="str">
        <f>'Manipal Details'!B155</f>
        <v>Sep</v>
      </c>
      <c r="D237" s="1">
        <v>2013</v>
      </c>
      <c r="E237" s="2" t="str">
        <f>'Manipal Details'!C155</f>
        <v>IVF2 Egg retrieval</v>
      </c>
      <c r="F237" s="5" t="str">
        <f>'Manipal Details'!D155</f>
        <v>DH</v>
      </c>
      <c r="G237" s="5">
        <f>'Manipal Details'!F155</f>
        <v>282</v>
      </c>
      <c r="H237" s="5" t="str">
        <f>'Manipal Details'!G155</f>
        <v>Progynova 2 mg tablet</v>
      </c>
      <c r="I237" s="6">
        <f>'Manipal Details'!H155</f>
        <v>0</v>
      </c>
    </row>
    <row r="238" spans="1:9">
      <c r="A238" s="1" t="s">
        <v>55</v>
      </c>
      <c r="B238" s="2">
        <f>'Manipal Details'!A156</f>
        <v>41542</v>
      </c>
      <c r="C238" s="2" t="str">
        <f>'Manipal Details'!B156</f>
        <v>Sep</v>
      </c>
      <c r="D238" s="1">
        <v>2013</v>
      </c>
      <c r="E238" s="2" t="str">
        <f>'Manipal Details'!C156</f>
        <v>IVF2 Egg retrieval</v>
      </c>
      <c r="F238" s="5" t="str">
        <f>'Manipal Details'!D156</f>
        <v>DH</v>
      </c>
      <c r="G238" s="5">
        <f>'Manipal Details'!F156</f>
        <v>11</v>
      </c>
      <c r="H238" s="5" t="str">
        <f>'Manipal Details'!G156</f>
        <v>Dolo 650 mg</v>
      </c>
      <c r="I238" s="6">
        <f>'Manipal Details'!H156</f>
        <v>0</v>
      </c>
    </row>
    <row r="239" spans="1:9">
      <c r="A239" s="1" t="s">
        <v>55</v>
      </c>
      <c r="B239" s="2">
        <f>'Manipal Details'!A157</f>
        <v>41542</v>
      </c>
      <c r="C239" s="2" t="str">
        <f>'Manipal Details'!B157</f>
        <v>Sep</v>
      </c>
      <c r="D239" s="1">
        <v>2013</v>
      </c>
      <c r="E239" s="2" t="str">
        <f>'Manipal Details'!C157</f>
        <v>IVF2 Egg retrieval</v>
      </c>
      <c r="F239" s="5" t="str">
        <f>'Manipal Details'!D157</f>
        <v>DH</v>
      </c>
      <c r="G239" s="5">
        <f>'Manipal Details'!F157</f>
        <v>40</v>
      </c>
      <c r="H239" s="5" t="str">
        <f>'Manipal Details'!G157</f>
        <v>Susten 400 mg capsule</v>
      </c>
      <c r="I239" s="6">
        <f>'Manipal Details'!H157</f>
        <v>0</v>
      </c>
    </row>
    <row r="240" spans="1:9">
      <c r="A240" s="1" t="s">
        <v>55</v>
      </c>
      <c r="B240" s="2">
        <f>'Manipal Details'!A158</f>
        <v>41547</v>
      </c>
      <c r="C240" s="2" t="str">
        <f>'Manipal Details'!B158</f>
        <v>Sep</v>
      </c>
      <c r="D240" s="1">
        <v>2013</v>
      </c>
      <c r="E240" s="2" t="str">
        <f>'Manipal Details'!C158</f>
        <v>IVF2 Embryo transfer</v>
      </c>
      <c r="F240" s="5" t="str">
        <f>'Manipal Details'!D158</f>
        <v>Me</v>
      </c>
      <c r="G240" s="5">
        <f>'Manipal Details'!F158</f>
        <v>418</v>
      </c>
      <c r="H240" s="5" t="str">
        <f>'Manipal Details'!G158</f>
        <v>Gestone 100 mg</v>
      </c>
      <c r="I240" s="6">
        <f>'Manipal Details'!H158</f>
        <v>0</v>
      </c>
    </row>
    <row r="241" spans="1:9">
      <c r="A241" s="1" t="s">
        <v>55</v>
      </c>
      <c r="B241" s="2">
        <f>'Manipal Details'!A159</f>
        <v>41547</v>
      </c>
      <c r="C241" s="2" t="str">
        <f>'Manipal Details'!B159</f>
        <v>Sep</v>
      </c>
      <c r="D241" s="1">
        <v>2013</v>
      </c>
      <c r="E241" s="2" t="str">
        <f>'Manipal Details'!C159</f>
        <v>IVF2 Embryo transfer</v>
      </c>
      <c r="F241" s="5" t="str">
        <f>'Manipal Details'!D159</f>
        <v>Me</v>
      </c>
      <c r="G241" s="5">
        <f>'Manipal Details'!F159</f>
        <v>33</v>
      </c>
      <c r="H241" s="5" t="str">
        <f>'Manipal Details'!G159</f>
        <v xml:space="preserve">Syringe </v>
      </c>
      <c r="I241" s="6">
        <f>'Manipal Details'!H159</f>
        <v>0</v>
      </c>
    </row>
    <row r="242" spans="1:9">
      <c r="A242" s="1" t="s">
        <v>55</v>
      </c>
      <c r="B242" s="2">
        <f>'Manipal Details'!A160</f>
        <v>41547</v>
      </c>
      <c r="C242" s="2" t="str">
        <f>'Manipal Details'!B160</f>
        <v>Sep</v>
      </c>
      <c r="D242" s="1">
        <v>2013</v>
      </c>
      <c r="E242" s="2" t="str">
        <f>'Manipal Details'!C160</f>
        <v>IVF2 Embryo transfer</v>
      </c>
      <c r="F242" s="5" t="str">
        <f>'Manipal Details'!D160</f>
        <v>Me</v>
      </c>
      <c r="G242" s="5">
        <f>'Manipal Details'!F160</f>
        <v>531</v>
      </c>
      <c r="H242" s="5" t="str">
        <f>'Manipal Details'!G160</f>
        <v>Duphaston 10 mg tablet</v>
      </c>
      <c r="I242" s="6">
        <f>'Manipal Details'!H160</f>
        <v>0</v>
      </c>
    </row>
    <row r="243" spans="1:9">
      <c r="A243" s="1" t="s">
        <v>55</v>
      </c>
      <c r="B243" s="2">
        <f>'Manipal Details'!A161</f>
        <v>41547</v>
      </c>
      <c r="C243" s="2" t="str">
        <f>'Manipal Details'!B161</f>
        <v>Sep</v>
      </c>
      <c r="D243" s="1">
        <v>2013</v>
      </c>
      <c r="E243" s="2" t="str">
        <f>'Manipal Details'!C161</f>
        <v>IVF2 Embryo transfer</v>
      </c>
      <c r="F243" s="5" t="str">
        <f>'Manipal Details'!D161</f>
        <v>Me</v>
      </c>
      <c r="G243" s="5">
        <f>'Manipal Details'!F161</f>
        <v>10</v>
      </c>
      <c r="H243" s="5" t="str">
        <f>'Manipal Details'!G161</f>
        <v xml:space="preserve">Wysolone 5 mg disp tablet </v>
      </c>
      <c r="I243" s="6">
        <f>'Manipal Details'!H161</f>
        <v>0</v>
      </c>
    </row>
    <row r="244" spans="1:9">
      <c r="A244" s="1" t="s">
        <v>55</v>
      </c>
      <c r="B244" s="2">
        <f>'Manipal Details'!A162</f>
        <v>41547</v>
      </c>
      <c r="C244" s="2" t="str">
        <f>'Manipal Details'!B162</f>
        <v>Sep</v>
      </c>
      <c r="D244" s="1">
        <v>2013</v>
      </c>
      <c r="E244" s="2" t="str">
        <f>'Manipal Details'!C162</f>
        <v>IVF2 Embryo transfer</v>
      </c>
      <c r="F244" s="5" t="str">
        <f>'Manipal Details'!D162</f>
        <v>Me</v>
      </c>
      <c r="G244" s="5">
        <f>'Manipal Details'!F162</f>
        <v>2</v>
      </c>
      <c r="H244" s="5" t="str">
        <f>'Manipal Details'!G162</f>
        <v>ASA 50 mg tablet</v>
      </c>
      <c r="I244" s="6">
        <f>'Manipal Details'!H162</f>
        <v>0</v>
      </c>
    </row>
    <row r="245" spans="1:9">
      <c r="A245" s="1" t="s">
        <v>55</v>
      </c>
      <c r="B245" s="2">
        <f>'Manipal Details'!A163</f>
        <v>41547</v>
      </c>
      <c r="C245" s="2" t="str">
        <f>'Manipal Details'!B163</f>
        <v>Sep</v>
      </c>
      <c r="D245" s="1">
        <v>2013</v>
      </c>
      <c r="E245" s="2" t="str">
        <f>'Manipal Details'!C163</f>
        <v>IVF2 Embryo transfer</v>
      </c>
      <c r="F245" s="5" t="str">
        <f>'Manipal Details'!D163</f>
        <v>Me</v>
      </c>
      <c r="G245" s="5">
        <f>'Manipal Details'!F163</f>
        <v>94</v>
      </c>
      <c r="H245" s="5" t="str">
        <f>'Manipal Details'!G163</f>
        <v>MCBM-69 tablet</v>
      </c>
      <c r="I245" s="6">
        <f>'Manipal Details'!H163</f>
        <v>0</v>
      </c>
    </row>
    <row r="246" spans="1:9">
      <c r="A246" s="1" t="s">
        <v>55</v>
      </c>
      <c r="B246" s="2">
        <f>'Manipal Details'!A164</f>
        <v>41561</v>
      </c>
      <c r="C246" s="2" t="str">
        <f>'Manipal Details'!B164</f>
        <v>Oct</v>
      </c>
      <c r="D246" s="1">
        <v>2013</v>
      </c>
      <c r="E246" s="2" t="str">
        <f>'Manipal Details'!C164</f>
        <v>IVF2 Blood test</v>
      </c>
      <c r="F246" s="5" t="str">
        <f>'Manipal Details'!D164</f>
        <v>Me</v>
      </c>
      <c r="G246" s="5">
        <f>'Manipal Details'!F164</f>
        <v>850</v>
      </c>
      <c r="H246" s="5" t="str">
        <f>'Manipal Details'!G164</f>
        <v>Beta HCG</v>
      </c>
      <c r="I246" s="6" t="str">
        <f>'Manipal Details'!H164</f>
        <v>Not pregnant</v>
      </c>
    </row>
    <row r="247" spans="1:9">
      <c r="A247" s="1" t="str">
        <f>'TFC Details'!A2</f>
        <v>TFC</v>
      </c>
      <c r="B247" s="2">
        <f>'TFC Details'!B2</f>
        <v>41782</v>
      </c>
      <c r="C247" s="2" t="str">
        <f>'TFC Details'!D2</f>
        <v>May</v>
      </c>
      <c r="D247" s="1">
        <v>2014</v>
      </c>
      <c r="E247" s="2" t="str">
        <f>'TFC Details'!E2</f>
        <v>Registration</v>
      </c>
      <c r="F247" s="5" t="str">
        <f>'TFC Details'!F2</f>
        <v>Me</v>
      </c>
      <c r="G247" s="5">
        <f>'TFC Details'!L2</f>
        <v>1200</v>
      </c>
      <c r="H247" s="5">
        <f>'TFC Details'!I2</f>
        <v>0</v>
      </c>
      <c r="I247" s="5">
        <f>'TFC Details'!J2</f>
        <v>0</v>
      </c>
    </row>
    <row r="248" spans="1:9">
      <c r="A248" s="1" t="str">
        <f>'TFC Details'!A3</f>
        <v>TFC</v>
      </c>
      <c r="B248" s="2">
        <f>'TFC Details'!B3</f>
        <v>41782</v>
      </c>
      <c r="C248" s="2" t="str">
        <f>'TFC Details'!D3</f>
        <v>May</v>
      </c>
      <c r="D248" s="1">
        <v>2014</v>
      </c>
      <c r="E248" s="2" t="str">
        <f>'TFC Details'!E3</f>
        <v>Facility Fee</v>
      </c>
      <c r="F248" s="5" t="str">
        <f>'TFC Details'!F3</f>
        <v>Me</v>
      </c>
      <c r="G248" s="5">
        <f>'TFC Details'!L3</f>
        <v>720</v>
      </c>
      <c r="H248" s="5">
        <f>'TFC Details'!I3</f>
        <v>0</v>
      </c>
      <c r="I248" s="5">
        <f>'TFC Details'!J3</f>
        <v>0</v>
      </c>
    </row>
    <row r="249" spans="1:9">
      <c r="A249" s="1" t="str">
        <f>'TFC Details'!A4</f>
        <v>TFC</v>
      </c>
      <c r="B249" s="2">
        <f>'TFC Details'!B4</f>
        <v>41782</v>
      </c>
      <c r="C249" s="2" t="str">
        <f>'TFC Details'!D4</f>
        <v>May</v>
      </c>
      <c r="D249" s="1">
        <v>2014</v>
      </c>
      <c r="E249" s="2" t="str">
        <f>'TFC Details'!E4</f>
        <v>Consult</v>
      </c>
      <c r="F249" s="5" t="str">
        <f>'TFC Details'!F4</f>
        <v>Me</v>
      </c>
      <c r="G249" s="5">
        <f>'TFC Details'!L4</f>
        <v>7200</v>
      </c>
      <c r="H249" s="5" t="str">
        <f>'TFC Details'!I4</f>
        <v>Dr Loh Seong Feei</v>
      </c>
      <c r="I249" s="5">
        <f>'TFC Details'!J4</f>
        <v>0</v>
      </c>
    </row>
    <row r="250" spans="1:9">
      <c r="A250" s="1" t="str">
        <f>'TFC Details'!A5</f>
        <v>TFC</v>
      </c>
      <c r="B250" s="2">
        <f>'TFC Details'!B5</f>
        <v>41782</v>
      </c>
      <c r="C250" s="2" t="str">
        <f>'TFC Details'!D5</f>
        <v>May</v>
      </c>
      <c r="D250" s="1">
        <v>2014</v>
      </c>
      <c r="E250" s="2" t="str">
        <f>'TFC Details'!E5</f>
        <v>Blood test</v>
      </c>
      <c r="F250" s="5" t="str">
        <f>'TFC Details'!F5</f>
        <v>DH</v>
      </c>
      <c r="G250" s="5">
        <f>'TFC Details'!L5</f>
        <v>17760</v>
      </c>
      <c r="H250" s="5" t="str">
        <f>'TFC Details'!I5</f>
        <v>Blood Chromosome (Adult blood)</v>
      </c>
      <c r="I250" s="5">
        <f>'TFC Details'!J5</f>
        <v>0</v>
      </c>
    </row>
    <row r="251" spans="1:9">
      <c r="A251" s="1" t="str">
        <f>'TFC Details'!A6</f>
        <v>TFC</v>
      </c>
      <c r="B251" s="2">
        <f>'TFC Details'!B6</f>
        <v>41782</v>
      </c>
      <c r="C251" s="2" t="str">
        <f>'TFC Details'!D6</f>
        <v>May</v>
      </c>
      <c r="D251" s="1">
        <v>2014</v>
      </c>
      <c r="E251" s="2" t="str">
        <f>'TFC Details'!E6</f>
        <v xml:space="preserve">SA </v>
      </c>
      <c r="F251" s="5" t="str">
        <f>'TFC Details'!F6</f>
        <v>DH</v>
      </c>
      <c r="G251" s="5">
        <f>'TFC Details'!L6</f>
        <v>8016</v>
      </c>
      <c r="H251" s="5" t="str">
        <f>'TFC Details'!I6</f>
        <v>Pre IVF blood test</v>
      </c>
      <c r="I251" s="5">
        <f>'TFC Details'!J6</f>
        <v>0</v>
      </c>
    </row>
    <row r="252" spans="1:9">
      <c r="A252" s="1" t="str">
        <f>'TFC Details'!A7</f>
        <v>TFC</v>
      </c>
      <c r="B252" s="2">
        <f>'TFC Details'!B7</f>
        <v>41782</v>
      </c>
      <c r="C252" s="2" t="str">
        <f>'TFC Details'!D7</f>
        <v>May</v>
      </c>
      <c r="D252" s="1">
        <v>2014</v>
      </c>
      <c r="E252" s="2" t="str">
        <f>'TFC Details'!E7</f>
        <v>GST @ 7%</v>
      </c>
      <c r="F252" s="5" t="str">
        <f>'TFC Details'!F7</f>
        <v>Me</v>
      </c>
      <c r="G252" s="5">
        <f>'TFC Details'!L7</f>
        <v>2443.1999999999998</v>
      </c>
      <c r="H252" s="5" t="str">
        <f>'TFC Details'!I7</f>
        <v>GST</v>
      </c>
      <c r="I252" s="5">
        <f>'TFC Details'!J7</f>
        <v>0</v>
      </c>
    </row>
    <row r="253" spans="1:9">
      <c r="A253" s="1" t="str">
        <f>'TFC Details'!A8</f>
        <v>TFC</v>
      </c>
      <c r="B253" s="2">
        <f>'TFC Details'!B8</f>
        <v>41789</v>
      </c>
      <c r="C253" s="2" t="str">
        <f>'TFC Details'!D8</f>
        <v>May</v>
      </c>
      <c r="D253" s="1">
        <v>2014</v>
      </c>
      <c r="E253" s="2" t="str">
        <f>'TFC Details'!E8</f>
        <v>Medicine</v>
      </c>
      <c r="F253" s="5" t="str">
        <f>'TFC Details'!F8</f>
        <v>Me</v>
      </c>
      <c r="G253" s="5">
        <f>'TFC Details'!L8</f>
        <v>132</v>
      </c>
      <c r="H253" s="5">
        <f>'TFC Details'!I8</f>
        <v>0</v>
      </c>
      <c r="I253" s="5" t="str">
        <f>'TFC Details'!J8</f>
        <v>Folic Acid 5mg</v>
      </c>
    </row>
    <row r="254" spans="1:9">
      <c r="A254" s="1" t="str">
        <f>'TFC Details'!A9</f>
        <v>TFC</v>
      </c>
      <c r="B254" s="2">
        <f>'TFC Details'!B9</f>
        <v>41817</v>
      </c>
      <c r="C254" s="2" t="str">
        <f>'TFC Details'!D9</f>
        <v>Jun</v>
      </c>
      <c r="D254" s="1">
        <v>2014</v>
      </c>
      <c r="E254" s="2" t="str">
        <f>'TFC Details'!E9</f>
        <v>Facility Fee</v>
      </c>
      <c r="F254" s="5" t="str">
        <f>'TFC Details'!F9</f>
        <v>Me</v>
      </c>
      <c r="G254" s="5">
        <f>'TFC Details'!L9</f>
        <v>720</v>
      </c>
      <c r="H254" s="5">
        <f>'TFC Details'!I9</f>
        <v>0</v>
      </c>
      <c r="I254" s="5">
        <f>'TFC Details'!J9</f>
        <v>0</v>
      </c>
    </row>
    <row r="255" spans="1:9">
      <c r="A255" s="1" t="str">
        <f>'TFC Details'!A10</f>
        <v>TFC</v>
      </c>
      <c r="B255" s="2">
        <f>'TFC Details'!B10</f>
        <v>41817</v>
      </c>
      <c r="C255" s="2" t="str">
        <f>'TFC Details'!D10</f>
        <v>Jun</v>
      </c>
      <c r="D255" s="1">
        <v>2014</v>
      </c>
      <c r="E255" s="2" t="str">
        <f>'TFC Details'!E10</f>
        <v>Consult</v>
      </c>
      <c r="F255" s="5" t="str">
        <f>'TFC Details'!F10</f>
        <v>Me</v>
      </c>
      <c r="G255" s="5">
        <f>'TFC Details'!L10</f>
        <v>4800</v>
      </c>
      <c r="H255" s="5" t="str">
        <f>'TFC Details'!I10</f>
        <v>Dr Loh Seong Feei</v>
      </c>
      <c r="I255" s="5">
        <f>'TFC Details'!J10</f>
        <v>0</v>
      </c>
    </row>
    <row r="256" spans="1:9">
      <c r="A256" s="1" t="str">
        <f>'TFC Details'!A11</f>
        <v>TFC</v>
      </c>
      <c r="B256" s="2">
        <f>'TFC Details'!B11</f>
        <v>41817</v>
      </c>
      <c r="C256" s="2" t="str">
        <f>'TFC Details'!D11</f>
        <v>Jun</v>
      </c>
      <c r="D256" s="1">
        <v>2014</v>
      </c>
      <c r="E256" s="2" t="str">
        <f>'TFC Details'!E11</f>
        <v>Scan</v>
      </c>
      <c r="F256" s="5" t="str">
        <f>'TFC Details'!F11</f>
        <v>Me</v>
      </c>
      <c r="G256" s="5">
        <f>'TFC Details'!L11</f>
        <v>4800</v>
      </c>
      <c r="H256" s="5">
        <f>'TFC Details'!I11</f>
        <v>0</v>
      </c>
      <c r="I256" s="5">
        <f>'TFC Details'!J11</f>
        <v>0</v>
      </c>
    </row>
    <row r="257" spans="1:9">
      <c r="A257" s="1" t="str">
        <f>'TFC Details'!A12</f>
        <v>TFC</v>
      </c>
      <c r="B257" s="2">
        <f>'TFC Details'!B12</f>
        <v>41817</v>
      </c>
      <c r="C257" s="2" t="str">
        <f>'TFC Details'!D12</f>
        <v>Jun</v>
      </c>
      <c r="D257" s="1">
        <v>2014</v>
      </c>
      <c r="E257" s="2" t="str">
        <f>'TFC Details'!E12</f>
        <v>IVF Medicine</v>
      </c>
      <c r="F257" s="5" t="str">
        <f>'TFC Details'!F12</f>
        <v>Me</v>
      </c>
      <c r="G257" s="5">
        <f>'TFC Details'!L12</f>
        <v>44160</v>
      </c>
      <c r="H257" s="5">
        <f>'TFC Details'!I12</f>
        <v>0</v>
      </c>
      <c r="I257" s="5" t="str">
        <f>'TFC Details'!J12</f>
        <v xml:space="preserve">Gonal F 450 IU </v>
      </c>
    </row>
    <row r="258" spans="1:9">
      <c r="A258" s="1" t="str">
        <f>'TFC Details'!A13</f>
        <v>TFC</v>
      </c>
      <c r="B258" s="2">
        <f>'TFC Details'!B13</f>
        <v>41817</v>
      </c>
      <c r="C258" s="2" t="str">
        <f>'TFC Details'!D13</f>
        <v>Jun</v>
      </c>
      <c r="D258" s="1">
        <v>2014</v>
      </c>
      <c r="E258" s="2" t="str">
        <f>'TFC Details'!E13</f>
        <v>GST @ 7%</v>
      </c>
      <c r="F258" s="5" t="str">
        <f>'TFC Details'!F13</f>
        <v>Me</v>
      </c>
      <c r="G258" s="5">
        <f>'TFC Details'!L13</f>
        <v>3813.6000000000004</v>
      </c>
      <c r="H258" s="5" t="str">
        <f>'TFC Details'!I13</f>
        <v>GST</v>
      </c>
      <c r="I258" s="5">
        <f>'TFC Details'!J13</f>
        <v>0</v>
      </c>
    </row>
    <row r="259" spans="1:9">
      <c r="A259" s="1" t="str">
        <f>'TFC Details'!A14</f>
        <v>TFC</v>
      </c>
      <c r="B259" s="2">
        <f>'TFC Details'!B14</f>
        <v>41821</v>
      </c>
      <c r="C259" s="2" t="str">
        <f>'TFC Details'!D14</f>
        <v>Jul</v>
      </c>
      <c r="D259" s="1">
        <v>2014</v>
      </c>
      <c r="E259" s="2" t="str">
        <f>'TFC Details'!E14</f>
        <v>Facility Fee</v>
      </c>
      <c r="F259" s="5" t="str">
        <f>'TFC Details'!F14</f>
        <v>Me</v>
      </c>
      <c r="G259" s="5">
        <f>'TFC Details'!L14</f>
        <v>720</v>
      </c>
      <c r="H259" s="5">
        <f>'TFC Details'!I14</f>
        <v>0</v>
      </c>
      <c r="I259" s="5">
        <f>'TFC Details'!J14</f>
        <v>0</v>
      </c>
    </row>
    <row r="260" spans="1:9">
      <c r="A260" s="1" t="str">
        <f>'TFC Details'!A15</f>
        <v>TFC</v>
      </c>
      <c r="B260" s="2">
        <f>'TFC Details'!B15</f>
        <v>41821</v>
      </c>
      <c r="C260" s="2" t="str">
        <f>'TFC Details'!D15</f>
        <v>Jul</v>
      </c>
      <c r="D260" s="1">
        <v>2014</v>
      </c>
      <c r="E260" s="2" t="str">
        <f>'TFC Details'!E15</f>
        <v>Consult</v>
      </c>
      <c r="F260" s="5" t="str">
        <f>'TFC Details'!F15</f>
        <v>Me</v>
      </c>
      <c r="G260" s="5">
        <f>'TFC Details'!L15</f>
        <v>4800</v>
      </c>
      <c r="H260" s="5" t="str">
        <f>'TFC Details'!I15</f>
        <v>Dr Loh Seong Feei</v>
      </c>
      <c r="I260" s="5">
        <f>'TFC Details'!J15</f>
        <v>0</v>
      </c>
    </row>
    <row r="261" spans="1:9">
      <c r="A261" s="1" t="str">
        <f>'TFC Details'!A16</f>
        <v>TFC</v>
      </c>
      <c r="B261" s="2">
        <f>'TFC Details'!B16</f>
        <v>41821</v>
      </c>
      <c r="C261" s="2" t="str">
        <f>'TFC Details'!D16</f>
        <v>Jul</v>
      </c>
      <c r="D261" s="1">
        <v>2014</v>
      </c>
      <c r="E261" s="2" t="str">
        <f>'TFC Details'!E16</f>
        <v>Scan</v>
      </c>
      <c r="F261" s="5" t="str">
        <f>'TFC Details'!F16</f>
        <v>Me</v>
      </c>
      <c r="G261" s="5">
        <f>'TFC Details'!L16</f>
        <v>4800</v>
      </c>
      <c r="H261" s="5">
        <f>'TFC Details'!I16</f>
        <v>0</v>
      </c>
      <c r="I261" s="5">
        <f>'TFC Details'!J16</f>
        <v>0</v>
      </c>
    </row>
    <row r="262" spans="1:9">
      <c r="A262" s="1" t="str">
        <f>'TFC Details'!A17</f>
        <v>TFC</v>
      </c>
      <c r="B262" s="2">
        <f>'TFC Details'!B17</f>
        <v>41821</v>
      </c>
      <c r="C262" s="2" t="str">
        <f>'TFC Details'!D17</f>
        <v>Jul</v>
      </c>
      <c r="D262" s="1">
        <v>2014</v>
      </c>
      <c r="E262" s="2" t="str">
        <f>'TFC Details'!E17</f>
        <v>IVF Medicine</v>
      </c>
      <c r="F262" s="5" t="str">
        <f>'TFC Details'!F17</f>
        <v>Me</v>
      </c>
      <c r="G262" s="5">
        <f>'TFC Details'!L17</f>
        <v>22080</v>
      </c>
      <c r="H262" s="5">
        <f>'TFC Details'!I17</f>
        <v>0</v>
      </c>
      <c r="I262" s="5" t="str">
        <f>'TFC Details'!J17</f>
        <v xml:space="preserve">Gonal F 450 IU </v>
      </c>
    </row>
    <row r="263" spans="1:9">
      <c r="A263" s="1" t="str">
        <f>'TFC Details'!A18</f>
        <v>TFC</v>
      </c>
      <c r="B263" s="2">
        <f>'TFC Details'!B18</f>
        <v>41821</v>
      </c>
      <c r="C263" s="2" t="str">
        <f>'TFC Details'!D18</f>
        <v>Jul</v>
      </c>
      <c r="D263" s="1">
        <v>2014</v>
      </c>
      <c r="E263" s="2" t="str">
        <f>'TFC Details'!E18</f>
        <v>IVF Medicine</v>
      </c>
      <c r="F263" s="5" t="str">
        <f>'TFC Details'!F18</f>
        <v>Me</v>
      </c>
      <c r="G263" s="5">
        <f>'TFC Details'!L18</f>
        <v>20620.800000000003</v>
      </c>
      <c r="H263" s="5">
        <f>'TFC Details'!I18</f>
        <v>0</v>
      </c>
      <c r="I263" s="5" t="str">
        <f>'TFC Details'!J18</f>
        <v>Cetrotide 0.25 mg</v>
      </c>
    </row>
    <row r="264" spans="1:9">
      <c r="A264" s="1" t="str">
        <f>'TFC Details'!A19</f>
        <v>TFC</v>
      </c>
      <c r="B264" s="2">
        <f>'TFC Details'!B19</f>
        <v>41821</v>
      </c>
      <c r="C264" s="2" t="str">
        <f>'TFC Details'!D19</f>
        <v>Jul</v>
      </c>
      <c r="D264" s="1">
        <v>2014</v>
      </c>
      <c r="E264" s="2" t="str">
        <f>'TFC Details'!E19</f>
        <v>IVF Medicine</v>
      </c>
      <c r="F264" s="5" t="str">
        <f>'TFC Details'!F19</f>
        <v>Me</v>
      </c>
      <c r="G264" s="5">
        <f>'TFC Details'!L19</f>
        <v>50112</v>
      </c>
      <c r="H264" s="5">
        <f>'TFC Details'!I19</f>
        <v>0</v>
      </c>
      <c r="I264" s="5" t="str">
        <f>'TFC Details'!J19</f>
        <v>Pergoveris 150/ 75IU</v>
      </c>
    </row>
    <row r="265" spans="1:9">
      <c r="A265" s="1" t="str">
        <f>'TFC Details'!A20</f>
        <v>TFC</v>
      </c>
      <c r="B265" s="2">
        <f>'TFC Details'!B20</f>
        <v>41821</v>
      </c>
      <c r="C265" s="2" t="str">
        <f>'TFC Details'!D20</f>
        <v>Jul</v>
      </c>
      <c r="D265" s="1">
        <v>2014</v>
      </c>
      <c r="E265" s="2" t="str">
        <f>'TFC Details'!E20</f>
        <v>Sperm storage</v>
      </c>
      <c r="F265" s="5" t="str">
        <f>'TFC Details'!F20</f>
        <v>DH</v>
      </c>
      <c r="G265" s="5">
        <f>'TFC Details'!L20</f>
        <v>14880</v>
      </c>
      <c r="H265" s="5" t="str">
        <f>'TFC Details'!I20</f>
        <v>Charged per 6 mnths. Paid for one year</v>
      </c>
      <c r="I265" s="5">
        <f>'TFC Details'!J20</f>
        <v>0</v>
      </c>
    </row>
    <row r="266" spans="1:9">
      <c r="A266" s="1" t="str">
        <f>'TFC Details'!A21</f>
        <v>TFC</v>
      </c>
      <c r="B266" s="2">
        <f>'TFC Details'!B21</f>
        <v>41821</v>
      </c>
      <c r="C266" s="2" t="str">
        <f>'TFC Details'!D21</f>
        <v>Jul</v>
      </c>
      <c r="D266" s="1">
        <v>2014</v>
      </c>
      <c r="E266" s="2" t="str">
        <f>'TFC Details'!E21</f>
        <v>Sperm freezing</v>
      </c>
      <c r="F266" s="5" t="str">
        <f>'TFC Details'!F21</f>
        <v>DH</v>
      </c>
      <c r="G266" s="5">
        <f>'TFC Details'!L21</f>
        <v>8400</v>
      </c>
      <c r="H266" s="5">
        <f>'TFC Details'!I21</f>
        <v>0</v>
      </c>
      <c r="I266" s="5">
        <f>'TFC Details'!J21</f>
        <v>0</v>
      </c>
    </row>
    <row r="267" spans="1:9">
      <c r="A267" s="1" t="str">
        <f>'TFC Details'!A22</f>
        <v>TFC</v>
      </c>
      <c r="B267" s="2">
        <f>'TFC Details'!B22</f>
        <v>41821</v>
      </c>
      <c r="C267" s="2" t="str">
        <f>'TFC Details'!D22</f>
        <v>Jul</v>
      </c>
      <c r="D267" s="1">
        <v>2014</v>
      </c>
      <c r="E267" s="2" t="str">
        <f>'TFC Details'!E22</f>
        <v>Blood test</v>
      </c>
      <c r="F267" s="5" t="str">
        <f>'TFC Details'!F22</f>
        <v>Me</v>
      </c>
      <c r="G267" s="5">
        <f>'TFC Details'!L22</f>
        <v>8016</v>
      </c>
      <c r="H267" s="5" t="str">
        <f>'TFC Details'!I22</f>
        <v>Pre IVF blood test</v>
      </c>
      <c r="I267" s="5">
        <f>'TFC Details'!J22</f>
        <v>0</v>
      </c>
    </row>
    <row r="268" spans="1:9">
      <c r="A268" s="1" t="str">
        <f>'TFC Details'!A23</f>
        <v>TFC</v>
      </c>
      <c r="B268" s="2">
        <f>'TFC Details'!B23</f>
        <v>41821</v>
      </c>
      <c r="C268" s="2" t="str">
        <f>'TFC Details'!D23</f>
        <v>Jul</v>
      </c>
      <c r="D268" s="1">
        <v>2014</v>
      </c>
      <c r="E268" s="2" t="str">
        <f>'TFC Details'!E23</f>
        <v>GST @ 7%</v>
      </c>
      <c r="F268" s="5" t="str">
        <f>'TFC Details'!F23</f>
        <v>Me</v>
      </c>
      <c r="G268" s="5">
        <f>'TFC Details'!L23</f>
        <v>9410.4000000000015</v>
      </c>
      <c r="H268" s="5" t="str">
        <f>'TFC Details'!I23</f>
        <v>GST</v>
      </c>
      <c r="I268" s="5">
        <f>'TFC Details'!J23</f>
        <v>0</v>
      </c>
    </row>
    <row r="269" spans="1:9">
      <c r="A269" s="1" t="str">
        <f>'TFC Details'!A24</f>
        <v>TFC</v>
      </c>
      <c r="B269" s="2">
        <f>'TFC Details'!B24</f>
        <v>41825</v>
      </c>
      <c r="C269" s="2" t="str">
        <f>'TFC Details'!D24</f>
        <v>Jul</v>
      </c>
      <c r="D269" s="1">
        <v>2014</v>
      </c>
      <c r="E269" s="2" t="str">
        <f>'TFC Details'!E24</f>
        <v>Facility Fee</v>
      </c>
      <c r="F269" s="5" t="str">
        <f>'TFC Details'!F24</f>
        <v>Me</v>
      </c>
      <c r="G269" s="5">
        <f>'TFC Details'!L24</f>
        <v>720</v>
      </c>
      <c r="H269" s="5">
        <f>'TFC Details'!I24</f>
        <v>0</v>
      </c>
      <c r="I269" s="5">
        <f>'TFC Details'!J24</f>
        <v>0</v>
      </c>
    </row>
    <row r="270" spans="1:9">
      <c r="A270" s="1" t="str">
        <f>'TFC Details'!A25</f>
        <v>TFC</v>
      </c>
      <c r="B270" s="2">
        <f>'TFC Details'!B25</f>
        <v>41825</v>
      </c>
      <c r="C270" s="2" t="str">
        <f>'TFC Details'!D25</f>
        <v>Jul</v>
      </c>
      <c r="D270" s="1">
        <v>2014</v>
      </c>
      <c r="E270" s="2" t="str">
        <f>'TFC Details'!E25</f>
        <v>Consult</v>
      </c>
      <c r="F270" s="5" t="str">
        <f>'TFC Details'!F25</f>
        <v>Me</v>
      </c>
      <c r="G270" s="5">
        <f>'TFC Details'!L25</f>
        <v>4800</v>
      </c>
      <c r="H270" s="5" t="str">
        <f>'TFC Details'!I25</f>
        <v>Dr Loh Seong Feei</v>
      </c>
      <c r="I270" s="5">
        <f>'TFC Details'!J25</f>
        <v>0</v>
      </c>
    </row>
    <row r="271" spans="1:9">
      <c r="A271" s="1" t="str">
        <f>'TFC Details'!A26</f>
        <v>TFC</v>
      </c>
      <c r="B271" s="2">
        <f>'TFC Details'!B26</f>
        <v>41825</v>
      </c>
      <c r="C271" s="2" t="str">
        <f>'TFC Details'!D26</f>
        <v>Jul</v>
      </c>
      <c r="D271" s="1">
        <v>2014</v>
      </c>
      <c r="E271" s="2" t="str">
        <f>'TFC Details'!E26</f>
        <v>Scan</v>
      </c>
      <c r="F271" s="5" t="str">
        <f>'TFC Details'!F26</f>
        <v>Me</v>
      </c>
      <c r="G271" s="5">
        <f>'TFC Details'!L26</f>
        <v>4800</v>
      </c>
      <c r="H271" s="5">
        <f>'TFC Details'!I26</f>
        <v>0</v>
      </c>
      <c r="I271" s="5">
        <f>'TFC Details'!J26</f>
        <v>0</v>
      </c>
    </row>
    <row r="272" spans="1:9">
      <c r="A272" s="1" t="str">
        <f>'TFC Details'!A27</f>
        <v>TFC</v>
      </c>
      <c r="B272" s="2">
        <f>'TFC Details'!B27</f>
        <v>41825</v>
      </c>
      <c r="C272" s="2" t="str">
        <f>'TFC Details'!D27</f>
        <v>Jul</v>
      </c>
      <c r="D272" s="1">
        <v>2014</v>
      </c>
      <c r="E272" s="2" t="str">
        <f>'TFC Details'!E27</f>
        <v>IVF Medicine</v>
      </c>
      <c r="F272" s="5" t="str">
        <f>'TFC Details'!F27</f>
        <v>Me</v>
      </c>
      <c r="G272" s="5">
        <f>'TFC Details'!L27</f>
        <v>16368</v>
      </c>
      <c r="H272" s="5">
        <f>'TFC Details'!I27</f>
        <v>0</v>
      </c>
      <c r="I272" s="5" t="str">
        <f>'TFC Details'!J27</f>
        <v xml:space="preserve">Gonal F 300 IU </v>
      </c>
    </row>
    <row r="273" spans="1:9">
      <c r="A273" s="1" t="str">
        <f>'TFC Details'!A28</f>
        <v>TFC</v>
      </c>
      <c r="B273" s="2">
        <f>'TFC Details'!B28</f>
        <v>41825</v>
      </c>
      <c r="C273" s="2" t="str">
        <f>'TFC Details'!D28</f>
        <v>Jul</v>
      </c>
      <c r="D273" s="1">
        <v>2014</v>
      </c>
      <c r="E273" s="2" t="str">
        <f>'TFC Details'!E28</f>
        <v>IVF Medicine</v>
      </c>
      <c r="F273" s="5" t="str">
        <f>'TFC Details'!F28</f>
        <v>Me</v>
      </c>
      <c r="G273" s="5">
        <f>'TFC Details'!L28</f>
        <v>10310.400000000001</v>
      </c>
      <c r="H273" s="5">
        <f>'TFC Details'!I28</f>
        <v>0</v>
      </c>
      <c r="I273" s="5" t="str">
        <f>'TFC Details'!J28</f>
        <v>Cetrotide 0.25 mg</v>
      </c>
    </row>
    <row r="274" spans="1:9">
      <c r="A274" s="1" t="str">
        <f>'TFC Details'!A29</f>
        <v>TFC</v>
      </c>
      <c r="B274" s="2">
        <f>'TFC Details'!B29</f>
        <v>41825</v>
      </c>
      <c r="C274" s="2" t="str">
        <f>'TFC Details'!D29</f>
        <v>Jul</v>
      </c>
      <c r="D274" s="1">
        <v>2014</v>
      </c>
      <c r="E274" s="2" t="str">
        <f>'TFC Details'!E29</f>
        <v>IVF Medicine</v>
      </c>
      <c r="F274" s="5" t="str">
        <f>'TFC Details'!F29</f>
        <v>Me</v>
      </c>
      <c r="G274" s="5">
        <f>'TFC Details'!L29</f>
        <v>25056</v>
      </c>
      <c r="H274" s="5">
        <f>'TFC Details'!I29</f>
        <v>0</v>
      </c>
      <c r="I274" s="5" t="str">
        <f>'TFC Details'!J29</f>
        <v>Pergoveris 150/ 75IU</v>
      </c>
    </row>
    <row r="275" spans="1:9">
      <c r="A275" s="1" t="str">
        <f>'TFC Details'!A30</f>
        <v>TFC</v>
      </c>
      <c r="B275" s="2">
        <f>'TFC Details'!B30</f>
        <v>41825</v>
      </c>
      <c r="C275" s="2" t="str">
        <f>'TFC Details'!D30</f>
        <v>Jul</v>
      </c>
      <c r="D275" s="1">
        <v>2014</v>
      </c>
      <c r="E275" s="2" t="str">
        <f>'TFC Details'!E30</f>
        <v>GST @ 7%</v>
      </c>
      <c r="F275" s="5" t="str">
        <f>'TFC Details'!F30</f>
        <v>Me</v>
      </c>
      <c r="G275" s="5">
        <f>'TFC Details'!L30</f>
        <v>4344</v>
      </c>
      <c r="H275" s="5" t="str">
        <f>'TFC Details'!I30</f>
        <v>GST</v>
      </c>
      <c r="I275" s="5">
        <f>'TFC Details'!J30</f>
        <v>0</v>
      </c>
    </row>
    <row r="276" spans="1:9">
      <c r="A276" s="1" t="str">
        <f>'TFC Details'!A31</f>
        <v>TFC</v>
      </c>
      <c r="B276" s="2">
        <f>'TFC Details'!B31</f>
        <v>41825</v>
      </c>
      <c r="C276" s="2" t="str">
        <f>'TFC Details'!D31</f>
        <v>Jul</v>
      </c>
      <c r="D276" s="1">
        <v>2014</v>
      </c>
      <c r="E276" s="2" t="str">
        <f>'TFC Details'!E31</f>
        <v>Medicine</v>
      </c>
      <c r="F276" s="5" t="str">
        <f>'TFC Details'!F31</f>
        <v>DH</v>
      </c>
      <c r="G276" s="5">
        <f>'TFC Details'!L31</f>
        <v>6009.12</v>
      </c>
      <c r="H276" s="5" t="str">
        <f>'TFC Details'!I31</f>
        <v>From The O&amp;G Specialist Clinic</v>
      </c>
      <c r="I276" s="5" t="str">
        <f>'TFC Details'!J31</f>
        <v>Carnipure Oral solution 500 ml</v>
      </c>
    </row>
    <row r="277" spans="1:9">
      <c r="A277" s="1" t="str">
        <f>'TFC Details'!A32</f>
        <v>TFC</v>
      </c>
      <c r="B277" s="2">
        <f>'TFC Details'!B32</f>
        <v>41825</v>
      </c>
      <c r="C277" s="2" t="str">
        <f>'TFC Details'!D32</f>
        <v>Jul</v>
      </c>
      <c r="D277" s="1">
        <v>2014</v>
      </c>
      <c r="E277" s="2" t="str">
        <f>'TFC Details'!E32</f>
        <v>Medicine</v>
      </c>
      <c r="F277" s="5" t="str">
        <f>'TFC Details'!F32</f>
        <v>DH</v>
      </c>
      <c r="G277" s="5">
        <f>'TFC Details'!L32</f>
        <v>0</v>
      </c>
      <c r="H277" s="5" t="str">
        <f>'TFC Details'!I32</f>
        <v>From The O&amp;G Specialist Clinic</v>
      </c>
      <c r="I277" s="5" t="str">
        <f>'TFC Details'!J32</f>
        <v>Quantum Plus</v>
      </c>
    </row>
    <row r="278" spans="1:9">
      <c r="A278" s="1" t="str">
        <f>'TFC Details'!A33</f>
        <v>TFC</v>
      </c>
      <c r="B278" s="2">
        <f>'TFC Details'!B33</f>
        <v>41825</v>
      </c>
      <c r="C278" s="2" t="str">
        <f>'TFC Details'!D33</f>
        <v>Jul</v>
      </c>
      <c r="D278" s="1">
        <v>2014</v>
      </c>
      <c r="E278" s="2" t="str">
        <f>'TFC Details'!E33</f>
        <v>Medicine</v>
      </c>
      <c r="F278" s="5" t="str">
        <f>'TFC Details'!F33</f>
        <v>DH</v>
      </c>
      <c r="G278" s="5">
        <f>'TFC Details'!L33</f>
        <v>0</v>
      </c>
      <c r="H278" s="5" t="str">
        <f>'TFC Details'!I33</f>
        <v>From The O&amp;G Specialist Clinic</v>
      </c>
      <c r="I278" s="5" t="str">
        <f>'TFC Details'!J33</f>
        <v>Compleal</v>
      </c>
    </row>
    <row r="279" spans="1:9">
      <c r="A279" s="1" t="str">
        <f>'TFC Details'!A34</f>
        <v>TFC</v>
      </c>
      <c r="B279" s="2">
        <f>'TFC Details'!B34</f>
        <v>41826</v>
      </c>
      <c r="C279" s="2" t="str">
        <f>'TFC Details'!D34</f>
        <v>Jul</v>
      </c>
      <c r="D279" s="1">
        <v>2014</v>
      </c>
      <c r="E279" s="2" t="str">
        <f>'TFC Details'!E34</f>
        <v>Medicine</v>
      </c>
      <c r="F279" s="5" t="str">
        <f>'TFC Details'!F34</f>
        <v>Me</v>
      </c>
      <c r="G279" s="5">
        <f>'TFC Details'!L34</f>
        <v>132</v>
      </c>
      <c r="H279" s="5">
        <f>'TFC Details'!I34</f>
        <v>0</v>
      </c>
      <c r="I279" s="5" t="str">
        <f>'TFC Details'!J34</f>
        <v>Folic Acid 5mg</v>
      </c>
    </row>
    <row r="280" spans="1:9">
      <c r="A280" s="1" t="str">
        <f>'TFC Details'!A35</f>
        <v>TFC</v>
      </c>
      <c r="B280" s="2">
        <f>'TFC Details'!B35</f>
        <v>41827</v>
      </c>
      <c r="C280" s="2" t="str">
        <f>'TFC Details'!D35</f>
        <v>Jul</v>
      </c>
      <c r="D280" s="1">
        <v>2014</v>
      </c>
      <c r="E280" s="2" t="str">
        <f>'TFC Details'!E35</f>
        <v>Facility Fee</v>
      </c>
      <c r="F280" s="5" t="str">
        <f>'TFC Details'!F35</f>
        <v>Me</v>
      </c>
      <c r="G280" s="5">
        <f>'TFC Details'!L35</f>
        <v>720</v>
      </c>
      <c r="H280" s="5">
        <f>'TFC Details'!I35</f>
        <v>0</v>
      </c>
      <c r="I280" s="5">
        <f>'TFC Details'!J35</f>
        <v>0</v>
      </c>
    </row>
    <row r="281" spans="1:9">
      <c r="A281" s="1" t="str">
        <f>'TFC Details'!A36</f>
        <v>TFC</v>
      </c>
      <c r="B281" s="2">
        <f>'TFC Details'!B36</f>
        <v>41827</v>
      </c>
      <c r="C281" s="2" t="str">
        <f>'TFC Details'!D36</f>
        <v>Jul</v>
      </c>
      <c r="D281" s="1">
        <v>2014</v>
      </c>
      <c r="E281" s="2" t="str">
        <f>'TFC Details'!E36</f>
        <v>Consult</v>
      </c>
      <c r="F281" s="5" t="str">
        <f>'TFC Details'!F36</f>
        <v>Me</v>
      </c>
      <c r="G281" s="5">
        <f>'TFC Details'!L36</f>
        <v>4800</v>
      </c>
      <c r="H281" s="5" t="str">
        <f>'TFC Details'!I36</f>
        <v>Dr Loh Seong Feei</v>
      </c>
      <c r="I281" s="5">
        <f>'TFC Details'!J36</f>
        <v>0</v>
      </c>
    </row>
    <row r="282" spans="1:9">
      <c r="A282" s="1" t="str">
        <f>'TFC Details'!A37</f>
        <v>TFC</v>
      </c>
      <c r="B282" s="2">
        <f>'TFC Details'!B37</f>
        <v>41827</v>
      </c>
      <c r="C282" s="2" t="str">
        <f>'TFC Details'!D37</f>
        <v>Jul</v>
      </c>
      <c r="D282" s="1">
        <v>2014</v>
      </c>
      <c r="E282" s="2" t="str">
        <f>'TFC Details'!E37</f>
        <v>Scan</v>
      </c>
      <c r="F282" s="5" t="str">
        <f>'TFC Details'!F37</f>
        <v>Me</v>
      </c>
      <c r="G282" s="5">
        <f>'TFC Details'!L37</f>
        <v>4800</v>
      </c>
      <c r="H282" s="5">
        <f>'TFC Details'!I37</f>
        <v>0</v>
      </c>
      <c r="I282" s="5">
        <f>'TFC Details'!J37</f>
        <v>0</v>
      </c>
    </row>
    <row r="283" spans="1:9">
      <c r="A283" s="1" t="str">
        <f>'TFC Details'!A38</f>
        <v>TFC</v>
      </c>
      <c r="B283" s="2">
        <f>'TFC Details'!B38</f>
        <v>41827</v>
      </c>
      <c r="C283" s="2" t="str">
        <f>'TFC Details'!D38</f>
        <v>Jul</v>
      </c>
      <c r="D283" s="1">
        <v>2014</v>
      </c>
      <c r="E283" s="2" t="str">
        <f>'TFC Details'!E38</f>
        <v>IVF Medicine</v>
      </c>
      <c r="F283" s="5" t="str">
        <f>'TFC Details'!F38</f>
        <v>Me</v>
      </c>
      <c r="G283" s="5">
        <f>'TFC Details'!L38</f>
        <v>4128</v>
      </c>
      <c r="H283" s="5">
        <f>'TFC Details'!I38</f>
        <v>0</v>
      </c>
      <c r="I283" s="5" t="str">
        <f>'TFC Details'!J38</f>
        <v>Pregnyl 5000 IU</v>
      </c>
    </row>
    <row r="284" spans="1:9">
      <c r="A284" s="1" t="str">
        <f>'TFC Details'!A39</f>
        <v>TFC</v>
      </c>
      <c r="B284" s="2">
        <f>'TFC Details'!B39</f>
        <v>41827</v>
      </c>
      <c r="C284" s="2" t="str">
        <f>'TFC Details'!D39</f>
        <v>Jul</v>
      </c>
      <c r="D284" s="1">
        <v>2014</v>
      </c>
      <c r="E284" s="2" t="str">
        <f>'TFC Details'!E39</f>
        <v>IVF Medicine</v>
      </c>
      <c r="F284" s="5" t="str">
        <f>'TFC Details'!F39</f>
        <v>Me</v>
      </c>
      <c r="G284" s="5">
        <f>'TFC Details'!L39</f>
        <v>1731.84</v>
      </c>
      <c r="H284" s="5">
        <f>'TFC Details'!I39</f>
        <v>0</v>
      </c>
      <c r="I284" s="5" t="str">
        <f>'TFC Details'!J39</f>
        <v>Zithromax tablet 250mg</v>
      </c>
    </row>
    <row r="285" spans="1:9">
      <c r="A285" s="1" t="str">
        <f>'TFC Details'!A40</f>
        <v>TFC</v>
      </c>
      <c r="B285" s="2">
        <f>'TFC Details'!B40</f>
        <v>41827</v>
      </c>
      <c r="C285" s="2" t="str">
        <f>'TFC Details'!D40</f>
        <v>Jul</v>
      </c>
      <c r="D285" s="1">
        <v>2014</v>
      </c>
      <c r="E285" s="2" t="str">
        <f>'TFC Details'!E40</f>
        <v>GST @ 7%</v>
      </c>
      <c r="F285" s="5" t="str">
        <f>'TFC Details'!F40</f>
        <v>Me</v>
      </c>
      <c r="G285" s="5">
        <f>'TFC Details'!L40</f>
        <v>1133.76</v>
      </c>
      <c r="H285" s="5" t="str">
        <f>'TFC Details'!I40</f>
        <v>GST</v>
      </c>
      <c r="I285" s="5">
        <f>'TFC Details'!J40</f>
        <v>0</v>
      </c>
    </row>
    <row r="286" spans="1:9">
      <c r="A286" s="1" t="str">
        <f>'TFC Details'!A41</f>
        <v>TMC</v>
      </c>
      <c r="B286" s="2">
        <f>'TFC Details'!B41</f>
        <v>41827</v>
      </c>
      <c r="C286" s="2" t="str">
        <f>'TFC Details'!D41</f>
        <v>Jul</v>
      </c>
      <c r="D286" s="1">
        <v>2014</v>
      </c>
      <c r="E286" s="2" t="str">
        <f>'TFC Details'!E41</f>
        <v>IVF Medicine</v>
      </c>
      <c r="F286" s="5" t="str">
        <f>'TFC Details'!F41</f>
        <v>Me</v>
      </c>
      <c r="G286" s="5">
        <f>'TFC Details'!L41</f>
        <v>1200</v>
      </c>
      <c r="H286" s="5" t="str">
        <f>'TFC Details'!I41</f>
        <v>Fertility Injection procedure - Pregnyl 10000 IU</v>
      </c>
      <c r="I286" s="5">
        <f>'TFC Details'!J41</f>
        <v>0</v>
      </c>
    </row>
    <row r="287" spans="1:9">
      <c r="A287" s="1" t="str">
        <f>'TFC Details'!A42</f>
        <v>TMC</v>
      </c>
      <c r="B287" s="2">
        <f>'TFC Details'!B42</f>
        <v>41827</v>
      </c>
      <c r="C287" s="2" t="str">
        <f>'TFC Details'!D42</f>
        <v>Jul</v>
      </c>
      <c r="D287" s="1">
        <v>2014</v>
      </c>
      <c r="E287" s="2" t="str">
        <f>'TFC Details'!E42</f>
        <v>GST @ 7%</v>
      </c>
      <c r="F287" s="5" t="str">
        <f>'TFC Details'!F42</f>
        <v>Me</v>
      </c>
      <c r="G287" s="5">
        <f>'TFC Details'!L42</f>
        <v>84</v>
      </c>
      <c r="H287" s="5">
        <f>'TFC Details'!I42</f>
        <v>0</v>
      </c>
      <c r="I287" s="5" t="str">
        <f>'TFC Details'!J43</f>
        <v>Fentanyl injection 2ml</v>
      </c>
    </row>
    <row r="288" spans="1:9">
      <c r="A288" s="1" t="str">
        <f>'TFC Details'!A43</f>
        <v>TFC</v>
      </c>
      <c r="B288" s="2">
        <f>'TFC Details'!B43</f>
        <v>41829</v>
      </c>
      <c r="C288" s="2" t="str">
        <f>'TFC Details'!D43</f>
        <v>Jul</v>
      </c>
      <c r="D288" s="1">
        <v>2014</v>
      </c>
      <c r="E288" s="2" t="str">
        <f>'TFC Details'!E43</f>
        <v>IVF Egg retrieval</v>
      </c>
      <c r="F288" s="5" t="str">
        <f>'TFC Details'!F43</f>
        <v>Me</v>
      </c>
      <c r="G288" s="5">
        <f>'TFC Details'!L43</f>
        <v>630.24</v>
      </c>
      <c r="H288" s="5">
        <f>'TFC Details'!I43</f>
        <v>0</v>
      </c>
      <c r="I288" s="5" t="str">
        <f>'TFC Details'!J44</f>
        <v>Propofol-Lipuro 1% GA injection</v>
      </c>
    </row>
    <row r="289" spans="1:9">
      <c r="A289" s="1" t="str">
        <f>'TFC Details'!A44</f>
        <v>TFC</v>
      </c>
      <c r="B289" s="2">
        <f>'TFC Details'!B44</f>
        <v>41829</v>
      </c>
      <c r="C289" s="2" t="str">
        <f>'TFC Details'!D44</f>
        <v>Jul</v>
      </c>
      <c r="D289" s="1">
        <v>2014</v>
      </c>
      <c r="E289" s="2" t="str">
        <f>'TFC Details'!E44</f>
        <v>IVF Egg retrieval</v>
      </c>
      <c r="F289" s="5" t="str">
        <f>'TFC Details'!F44</f>
        <v>Me</v>
      </c>
      <c r="G289" s="5">
        <f>'TFC Details'!L44</f>
        <v>708</v>
      </c>
      <c r="H289" s="5">
        <f>'TFC Details'!I44</f>
        <v>0</v>
      </c>
      <c r="I289" s="5">
        <f>'TFC Details'!J45</f>
        <v>0</v>
      </c>
    </row>
    <row r="290" spans="1:9">
      <c r="A290" s="1" t="str">
        <f>'TFC Details'!A45</f>
        <v>TFC</v>
      </c>
      <c r="B290" s="2">
        <f>'TFC Details'!B45</f>
        <v>41829</v>
      </c>
      <c r="C290" s="2" t="str">
        <f>'TFC Details'!D45</f>
        <v>Jul</v>
      </c>
      <c r="D290" s="1">
        <v>2014</v>
      </c>
      <c r="E290" s="2" t="str">
        <f>'TFC Details'!E45</f>
        <v>IVF Egg retrieval</v>
      </c>
      <c r="F290" s="5" t="str">
        <f>'TFC Details'!F45</f>
        <v>Me</v>
      </c>
      <c r="G290" s="5">
        <f>'TFC Details'!L45</f>
        <v>653.76</v>
      </c>
      <c r="H290" s="5" t="str">
        <f>'TFC Details'!I45</f>
        <v>Medical surgeon gown</v>
      </c>
      <c r="I290" s="5">
        <f>'TFC Details'!J46</f>
        <v>0</v>
      </c>
    </row>
    <row r="291" spans="1:9">
      <c r="A291" s="1" t="str">
        <f>'TFC Details'!A46</f>
        <v>TFC</v>
      </c>
      <c r="B291" s="2">
        <f>'TFC Details'!B46</f>
        <v>41829</v>
      </c>
      <c r="C291" s="2" t="str">
        <f>'TFC Details'!D46</f>
        <v>Jul</v>
      </c>
      <c r="D291" s="1">
        <v>2014</v>
      </c>
      <c r="E291" s="2" t="str">
        <f>'TFC Details'!E46</f>
        <v>IVF Egg retrieval</v>
      </c>
      <c r="F291" s="5" t="str">
        <f>'TFC Details'!F46</f>
        <v>Me</v>
      </c>
      <c r="G291" s="5">
        <f>'TFC Details'!L46</f>
        <v>3723.84</v>
      </c>
      <c r="H291" s="5" t="str">
        <f>'TFC Details'!I46</f>
        <v>Oocyte recovery set 17g needle with tubing</v>
      </c>
      <c r="I291" s="5">
        <f>'TFC Details'!J47</f>
        <v>0</v>
      </c>
    </row>
    <row r="292" spans="1:9">
      <c r="A292" s="1" t="str">
        <f>'TFC Details'!A47</f>
        <v>TFC</v>
      </c>
      <c r="B292" s="2">
        <f>'TFC Details'!B47</f>
        <v>41829</v>
      </c>
      <c r="C292" s="2" t="str">
        <f>'TFC Details'!D47</f>
        <v>Jul</v>
      </c>
      <c r="D292" s="1">
        <v>2014</v>
      </c>
      <c r="E292" s="2" t="str">
        <f>'TFC Details'!E47</f>
        <v>IVF Egg retrieval</v>
      </c>
      <c r="F292" s="5" t="str">
        <f>'TFC Details'!F47</f>
        <v>Me</v>
      </c>
      <c r="G292" s="5">
        <f>'TFC Details'!L47</f>
        <v>5760</v>
      </c>
      <c r="H292" s="5" t="str">
        <f>'TFC Details'!I47</f>
        <v>Facilities (OT &amp; recovery)</v>
      </c>
      <c r="I292" s="5">
        <f>'TFC Details'!J48</f>
        <v>0</v>
      </c>
    </row>
    <row r="293" spans="1:9">
      <c r="A293" s="1" t="str">
        <f>'TFC Details'!A48</f>
        <v>TFC</v>
      </c>
      <c r="B293" s="2">
        <f>'TFC Details'!B48</f>
        <v>41829</v>
      </c>
      <c r="C293" s="2" t="str">
        <f>'TFC Details'!D48</f>
        <v>Jul</v>
      </c>
      <c r="D293" s="1">
        <v>2014</v>
      </c>
      <c r="E293" s="2" t="str">
        <f>'TFC Details'!E48</f>
        <v>IVF Egg retrieval</v>
      </c>
      <c r="F293" s="5" t="str">
        <f>'TFC Details'!F48</f>
        <v>Me</v>
      </c>
      <c r="G293" s="5">
        <f>'TFC Details'!L48</f>
        <v>326400</v>
      </c>
      <c r="H293" s="5" t="str">
        <f>'TFC Details'!I48</f>
        <v>IVF package</v>
      </c>
      <c r="I293" s="5">
        <f>'TFC Details'!J49</f>
        <v>0</v>
      </c>
    </row>
    <row r="294" spans="1:9">
      <c r="A294" s="1" t="str">
        <f>'TFC Details'!A49</f>
        <v>TFC</v>
      </c>
      <c r="B294" s="2">
        <f>'TFC Details'!B49</f>
        <v>41829</v>
      </c>
      <c r="C294" s="2" t="str">
        <f>'TFC Details'!D49</f>
        <v>Jul</v>
      </c>
      <c r="D294" s="1">
        <v>2014</v>
      </c>
      <c r="E294" s="2" t="str">
        <f>'TFC Details'!E49</f>
        <v>GST @ 7%</v>
      </c>
      <c r="F294" s="5" t="str">
        <f>'TFC Details'!F49</f>
        <v>Me</v>
      </c>
      <c r="G294" s="5">
        <f>'TFC Details'!L49</f>
        <v>23650.560000000001</v>
      </c>
      <c r="H294" s="5" t="str">
        <f>'TFC Details'!I49</f>
        <v>GST</v>
      </c>
      <c r="I294" s="5">
        <f>'TFC Details'!J50</f>
        <v>0</v>
      </c>
    </row>
    <row r="295" spans="1:9">
      <c r="A295" s="1" t="str">
        <f>'TFC Details'!A50</f>
        <v>TFC</v>
      </c>
      <c r="B295" s="2">
        <f>'TFC Details'!B50</f>
        <v>41829</v>
      </c>
      <c r="C295" s="2" t="str">
        <f>'TFC Details'!D50</f>
        <v>Jul</v>
      </c>
      <c r="D295" s="1">
        <v>2014</v>
      </c>
      <c r="E295" s="2" t="str">
        <f>'TFC Details'!E50</f>
        <v>IVF Egg retrieval</v>
      </c>
      <c r="F295" s="5" t="str">
        <f>'TFC Details'!F50</f>
        <v>Me</v>
      </c>
      <c r="G295" s="5">
        <f>'TFC Details'!L50</f>
        <v>16800</v>
      </c>
      <c r="H295" s="5" t="str">
        <f>'TFC Details'!I50</f>
        <v>Dr Chan Sy (NMS) Anestheologist</v>
      </c>
      <c r="I295" s="5" t="str">
        <f>'TFC Details'!J51</f>
        <v>Progynova 2mg tab</v>
      </c>
    </row>
    <row r="296" spans="1:9">
      <c r="A296" s="1" t="str">
        <f>'TFC Details'!A51</f>
        <v>TFC</v>
      </c>
      <c r="B296" s="2">
        <f>'TFC Details'!B51</f>
        <v>41831</v>
      </c>
      <c r="C296" s="2" t="str">
        <f>'TFC Details'!D51</f>
        <v>Jul</v>
      </c>
      <c r="D296" s="1">
        <v>2014</v>
      </c>
      <c r="E296" s="2" t="str">
        <f>'TFC Details'!E51</f>
        <v>IVF Embryo transfer</v>
      </c>
      <c r="F296" s="5" t="str">
        <f>'TFC Details'!F51</f>
        <v>Me</v>
      </c>
      <c r="G296" s="5">
        <f>'TFC Details'!L51</f>
        <v>1881.6000000000001</v>
      </c>
      <c r="H296" s="5">
        <f>'TFC Details'!I51</f>
        <v>0</v>
      </c>
      <c r="I296" s="5" t="str">
        <f>'TFC Details'!J52</f>
        <v>Utrogestan capsule 100mg</v>
      </c>
    </row>
    <row r="297" spans="1:9">
      <c r="A297" s="1" t="str">
        <f>'TFC Details'!A52</f>
        <v>TFC</v>
      </c>
      <c r="B297" s="2">
        <f>'TFC Details'!B52</f>
        <v>41831</v>
      </c>
      <c r="C297" s="2" t="str">
        <f>'TFC Details'!D52</f>
        <v>Jul</v>
      </c>
      <c r="D297" s="1">
        <v>2014</v>
      </c>
      <c r="E297" s="2" t="str">
        <f>'TFC Details'!E52</f>
        <v>IVF Embryo transfer</v>
      </c>
      <c r="F297" s="5" t="str">
        <f>'TFC Details'!F52</f>
        <v>Me</v>
      </c>
      <c r="G297" s="5">
        <f>'TFC Details'!L52</f>
        <v>8064</v>
      </c>
      <c r="H297" s="5">
        <f>'TFC Details'!I52</f>
        <v>0</v>
      </c>
      <c r="I297" s="5">
        <f>'TFC Details'!J53</f>
        <v>0</v>
      </c>
    </row>
    <row r="298" spans="1:9">
      <c r="A298" s="1" t="str">
        <f>'TFC Details'!A53</f>
        <v>TFC</v>
      </c>
      <c r="B298" s="2">
        <f>'TFC Details'!B53</f>
        <v>41831</v>
      </c>
      <c r="C298" s="2" t="str">
        <f>'TFC Details'!D53</f>
        <v>Jul</v>
      </c>
      <c r="D298" s="1">
        <v>2014</v>
      </c>
      <c r="E298" s="2" t="str">
        <f>'TFC Details'!E53</f>
        <v>IVF Embryo transfer</v>
      </c>
      <c r="F298" s="5" t="str">
        <f>'TFC Details'!F53</f>
        <v>Me</v>
      </c>
      <c r="G298" s="5">
        <f>'TFC Details'!L53</f>
        <v>4088.6400000000003</v>
      </c>
      <c r="H298" s="5" t="str">
        <f>'TFC Details'!I53</f>
        <v>ER catheter, 23cm, 1816N</v>
      </c>
      <c r="I298" s="5">
        <f>'TFC Details'!J54</f>
        <v>0</v>
      </c>
    </row>
    <row r="299" spans="1:9">
      <c r="A299" s="1" t="str">
        <f>'TFC Details'!A54</f>
        <v>TFC</v>
      </c>
      <c r="B299" s="2">
        <f>'TFC Details'!B54</f>
        <v>41831</v>
      </c>
      <c r="C299" s="2" t="str">
        <f>'TFC Details'!D54</f>
        <v>Jul</v>
      </c>
      <c r="D299" s="1">
        <v>2014</v>
      </c>
      <c r="E299" s="2" t="str">
        <f>'TFC Details'!E54</f>
        <v>IVF Embryo transfer</v>
      </c>
      <c r="F299" s="5" t="str">
        <f>'TFC Details'!F54</f>
        <v>Me</v>
      </c>
      <c r="G299" s="5">
        <f>'TFC Details'!L54</f>
        <v>1680</v>
      </c>
      <c r="H299" s="5" t="str">
        <f>'TFC Details'!I54</f>
        <v>HCG Blood test</v>
      </c>
      <c r="I299" s="5">
        <f>'TFC Details'!J55</f>
        <v>0</v>
      </c>
    </row>
    <row r="300" spans="1:9">
      <c r="A300" s="1" t="str">
        <f>'TFC Details'!A55</f>
        <v>TFC</v>
      </c>
      <c r="B300" s="2">
        <f>'TFC Details'!B55</f>
        <v>41831</v>
      </c>
      <c r="C300" s="2" t="str">
        <f>'TFC Details'!D55</f>
        <v>Jul</v>
      </c>
      <c r="D300" s="1">
        <v>2014</v>
      </c>
      <c r="E300" s="2" t="str">
        <f>'TFC Details'!E55</f>
        <v>IVF Embryo transfer</v>
      </c>
      <c r="F300" s="5" t="str">
        <f>'TFC Details'!F55</f>
        <v>Me</v>
      </c>
      <c r="G300" s="5">
        <f>'TFC Details'!L55</f>
        <v>1680</v>
      </c>
      <c r="H300" s="5" t="str">
        <f>'TFC Details'!I55</f>
        <v>Progesterone blood test</v>
      </c>
      <c r="I300" s="5">
        <f>'TFC Details'!J56</f>
        <v>0</v>
      </c>
    </row>
    <row r="301" spans="1:9">
      <c r="A301" s="1" t="str">
        <f>'TFC Details'!A56</f>
        <v>TFC</v>
      </c>
      <c r="B301" s="2">
        <f>'TFC Details'!B56</f>
        <v>41831</v>
      </c>
      <c r="C301" s="2" t="str">
        <f>'TFC Details'!D56</f>
        <v>Jul</v>
      </c>
      <c r="D301" s="1">
        <v>2014</v>
      </c>
      <c r="E301" s="2" t="str">
        <f>'TFC Details'!E56</f>
        <v>IVF Embryo transfer</v>
      </c>
      <c r="F301" s="5" t="str">
        <f>'TFC Details'!F56</f>
        <v>Me</v>
      </c>
      <c r="G301" s="5">
        <f>'TFC Details'!L56</f>
        <v>5760</v>
      </c>
      <c r="H301" s="5" t="str">
        <f>'TFC Details'!I56</f>
        <v>Facilities (OT &amp; recovery)</v>
      </c>
      <c r="I301" s="5">
        <f>'TFC Details'!J57</f>
        <v>0</v>
      </c>
    </row>
    <row r="302" spans="1:9">
      <c r="A302" s="1" t="str">
        <f>'TFC Details'!A57</f>
        <v>TFC</v>
      </c>
      <c r="B302" s="2">
        <f>'TFC Details'!B57</f>
        <v>41831</v>
      </c>
      <c r="C302" s="2" t="str">
        <f>'TFC Details'!D57</f>
        <v>Jul</v>
      </c>
      <c r="D302" s="1">
        <v>2014</v>
      </c>
      <c r="E302" s="2" t="str">
        <f>'TFC Details'!E57</f>
        <v>Embryo freezing</v>
      </c>
      <c r="F302" s="5" t="str">
        <f>'TFC Details'!F57</f>
        <v>Me</v>
      </c>
      <c r="G302" s="5">
        <f>'TFC Details'!L57</f>
        <v>43200</v>
      </c>
      <c r="H302" s="5" t="str">
        <f>'TFC Details'!I57</f>
        <v>Embryo freezing (1 yr- 5 straws)</v>
      </c>
      <c r="I302" s="5">
        <f>'TFC Details'!J58</f>
        <v>0</v>
      </c>
    </row>
    <row r="303" spans="1:9">
      <c r="A303" s="1" t="str">
        <f>'TFC Details'!A58</f>
        <v>TFC</v>
      </c>
      <c r="B303" s="2">
        <f>'TFC Details'!B58</f>
        <v>41831</v>
      </c>
      <c r="C303" s="2" t="str">
        <f>'TFC Details'!D58</f>
        <v>Jul</v>
      </c>
      <c r="D303" s="1">
        <v>2014</v>
      </c>
      <c r="E303" s="2" t="str">
        <f>'TFC Details'!E58</f>
        <v>GST @ 7%</v>
      </c>
      <c r="F303" s="5" t="str">
        <f>'TFC Details'!F58</f>
        <v>Me</v>
      </c>
      <c r="G303" s="5">
        <f>'TFC Details'!L58</f>
        <v>4644.96</v>
      </c>
      <c r="H303" s="5" t="str">
        <f>'TFC Details'!I58</f>
        <v>GST</v>
      </c>
      <c r="I303" s="5" t="str">
        <f>'TFC Details'!J59</f>
        <v>Folic Acid 5mg</v>
      </c>
    </row>
    <row r="304" spans="1:9">
      <c r="A304" s="1" t="str">
        <f>'TFC Details'!A59</f>
        <v>TFC</v>
      </c>
      <c r="B304" s="2">
        <f>'TFC Details'!B59</f>
        <v>41887</v>
      </c>
      <c r="C304" s="2" t="str">
        <f>'TFC Details'!D59</f>
        <v>Sep</v>
      </c>
      <c r="D304" s="1">
        <v>2014</v>
      </c>
      <c r="E304" s="2" t="str">
        <f>'TFC Details'!E59</f>
        <v>Medicine</v>
      </c>
      <c r="F304" s="5" t="str">
        <f>'TFC Details'!F59</f>
        <v>Me</v>
      </c>
      <c r="G304" s="5">
        <f>'TFC Details'!L59</f>
        <v>132</v>
      </c>
      <c r="H304" s="5">
        <f>'TFC Details'!I59</f>
        <v>0</v>
      </c>
      <c r="I304" s="5">
        <f>'TFC Details'!J60</f>
        <v>0</v>
      </c>
    </row>
    <row r="305" spans="1:9">
      <c r="A305" s="1" t="str">
        <f>'TFC Details'!A60</f>
        <v>TFC</v>
      </c>
      <c r="B305" s="2">
        <f>'TFC Details'!B60</f>
        <v>41892</v>
      </c>
      <c r="C305" s="2" t="str">
        <f>'TFC Details'!D60</f>
        <v>Sep</v>
      </c>
      <c r="D305" s="1">
        <v>2014</v>
      </c>
      <c r="E305" s="2" t="str">
        <f>'TFC Details'!E60</f>
        <v>Facility Fee</v>
      </c>
      <c r="F305" s="5" t="str">
        <f>'TFC Details'!F60</f>
        <v>Me</v>
      </c>
      <c r="G305" s="5">
        <f>'TFC Details'!L60</f>
        <v>720</v>
      </c>
      <c r="H305" s="5">
        <f>'TFC Details'!I60</f>
        <v>0</v>
      </c>
      <c r="I305" s="5">
        <f>'TFC Details'!J61</f>
        <v>0</v>
      </c>
    </row>
    <row r="306" spans="1:9">
      <c r="A306" s="1" t="str">
        <f>'TFC Details'!A61</f>
        <v>TFC</v>
      </c>
      <c r="B306" s="2">
        <f>'TFC Details'!B61</f>
        <v>41892</v>
      </c>
      <c r="C306" s="2" t="str">
        <f>'TFC Details'!D61</f>
        <v>Sep</v>
      </c>
      <c r="D306" s="1">
        <v>2014</v>
      </c>
      <c r="E306" s="2" t="str">
        <f>'TFC Details'!E61</f>
        <v>Consult</v>
      </c>
      <c r="F306" s="5" t="str">
        <f>'TFC Details'!F61</f>
        <v>Me</v>
      </c>
      <c r="G306" s="5">
        <f>'TFC Details'!L61</f>
        <v>4800</v>
      </c>
      <c r="H306" s="5" t="str">
        <f>'TFC Details'!I61</f>
        <v>Dr Loh Seong Feei</v>
      </c>
      <c r="I306" s="5">
        <f>'TFC Details'!J62</f>
        <v>0</v>
      </c>
    </row>
    <row r="307" spans="1:9">
      <c r="A307" s="1" t="str">
        <f>'TFC Details'!A62</f>
        <v>TFC</v>
      </c>
      <c r="B307" s="2">
        <f>'TFC Details'!B62</f>
        <v>41892</v>
      </c>
      <c r="C307" s="2" t="str">
        <f>'TFC Details'!D62</f>
        <v>Sep</v>
      </c>
      <c r="D307" s="1">
        <v>2014</v>
      </c>
      <c r="E307" s="2" t="str">
        <f>'TFC Details'!E62</f>
        <v>Scan</v>
      </c>
      <c r="F307" s="5" t="str">
        <f>'TFC Details'!F62</f>
        <v>Me</v>
      </c>
      <c r="G307" s="5">
        <f>'TFC Details'!L62</f>
        <v>4800</v>
      </c>
      <c r="H307" s="5">
        <f>'TFC Details'!I62</f>
        <v>0</v>
      </c>
      <c r="I307" s="5">
        <f>'TFC Details'!J63</f>
        <v>0</v>
      </c>
    </row>
    <row r="308" spans="1:9">
      <c r="A308" s="1" t="str">
        <f>'TFC Details'!A63</f>
        <v>TFC</v>
      </c>
      <c r="B308" s="2">
        <f>'TFC Details'!B63</f>
        <v>41892</v>
      </c>
      <c r="C308" s="2" t="str">
        <f>'TFC Details'!D63</f>
        <v>Sep</v>
      </c>
      <c r="D308" s="1">
        <v>2014</v>
      </c>
      <c r="E308" s="2" t="str">
        <f>'TFC Details'!E63</f>
        <v>GST @ 7%</v>
      </c>
      <c r="F308" s="5" t="str">
        <f>'TFC Details'!F63</f>
        <v>Me</v>
      </c>
      <c r="G308" s="5">
        <f>'TFC Details'!L63</f>
        <v>722.40000000000009</v>
      </c>
      <c r="H308" s="5" t="str">
        <f>'TFC Details'!I63</f>
        <v>GST</v>
      </c>
      <c r="I308" s="5">
        <f>'TFC Details'!J64</f>
        <v>0</v>
      </c>
    </row>
    <row r="309" spans="1:9">
      <c r="A309" s="1" t="str">
        <f>'TFC Details'!A64</f>
        <v>TFC</v>
      </c>
      <c r="B309" s="2">
        <f>'TFC Details'!B64</f>
        <v>41892</v>
      </c>
      <c r="C309" s="2" t="str">
        <f>'TFC Details'!D64</f>
        <v>Sep</v>
      </c>
      <c r="D309" s="1">
        <v>2014</v>
      </c>
      <c r="E309" s="2" t="str">
        <f>'TFC Details'!E64</f>
        <v>Medicine</v>
      </c>
      <c r="F309" s="5" t="str">
        <f>'TFC Details'!F64</f>
        <v>Me</v>
      </c>
      <c r="G309" s="5">
        <f>'TFC Details'!L64</f>
        <v>2448</v>
      </c>
      <c r="H309" s="5" t="str">
        <f>'TFC Details'!I64</f>
        <v>Clearblue Ovulation kit</v>
      </c>
      <c r="I309" s="5">
        <f>'TFC Details'!J65</f>
        <v>0</v>
      </c>
    </row>
    <row r="310" spans="1:9">
      <c r="A310" s="1" t="str">
        <f>'TFC Details'!A65</f>
        <v>TFC</v>
      </c>
      <c r="B310" s="2">
        <f>'TFC Details'!B65</f>
        <v>41897</v>
      </c>
      <c r="C310" s="2" t="str">
        <f>'TFC Details'!D65</f>
        <v>Sep</v>
      </c>
      <c r="D310" s="1">
        <v>2014</v>
      </c>
      <c r="E310" s="2" t="str">
        <f>'TFC Details'!E65</f>
        <v>Medicine</v>
      </c>
      <c r="F310" s="5" t="str">
        <f>'TFC Details'!F65</f>
        <v>Me</v>
      </c>
      <c r="G310" s="5">
        <f>'TFC Details'!L65</f>
        <v>3292.7999999999997</v>
      </c>
      <c r="H310" s="5" t="str">
        <f>'TFC Details'!I65</f>
        <v>Clearblue Digital Ovulation kit</v>
      </c>
      <c r="I310" s="5">
        <f>'TFC Details'!J66</f>
        <v>0</v>
      </c>
    </row>
    <row r="311" spans="1:9">
      <c r="A311" s="1" t="str">
        <f>'TFC Details'!A66</f>
        <v>TFC</v>
      </c>
      <c r="B311" s="2">
        <f>'TFC Details'!B66</f>
        <v>41897</v>
      </c>
      <c r="C311" s="2" t="str">
        <f>'TFC Details'!D66</f>
        <v>Sep</v>
      </c>
      <c r="D311" s="1">
        <v>2014</v>
      </c>
      <c r="E311" s="2" t="str">
        <f>'TFC Details'!E66</f>
        <v>Facility Fee</v>
      </c>
      <c r="F311" s="5" t="str">
        <f>'TFC Details'!F66</f>
        <v>Me</v>
      </c>
      <c r="G311" s="5">
        <f>'TFC Details'!L66</f>
        <v>720</v>
      </c>
      <c r="H311" s="5">
        <f>'TFC Details'!I66</f>
        <v>0</v>
      </c>
      <c r="I311" s="5">
        <f>'TFC Details'!J67</f>
        <v>0</v>
      </c>
    </row>
    <row r="312" spans="1:9">
      <c r="A312" s="1" t="str">
        <f>'TFC Details'!A67</f>
        <v>TFC</v>
      </c>
      <c r="B312" s="2">
        <f>'TFC Details'!B67</f>
        <v>41897</v>
      </c>
      <c r="C312" s="2" t="str">
        <f>'TFC Details'!D67</f>
        <v>Sep</v>
      </c>
      <c r="D312" s="1">
        <v>2014</v>
      </c>
      <c r="E312" s="2" t="str">
        <f>'TFC Details'!E67</f>
        <v>Consult</v>
      </c>
      <c r="F312" s="5" t="str">
        <f>'TFC Details'!F67</f>
        <v>Me</v>
      </c>
      <c r="G312" s="5">
        <f>'TFC Details'!L67</f>
        <v>4800</v>
      </c>
      <c r="H312" s="5" t="str">
        <f>'TFC Details'!I67</f>
        <v>Dr Loh Seong Feei</v>
      </c>
      <c r="I312" s="5">
        <f>'TFC Details'!J68</f>
        <v>0</v>
      </c>
    </row>
    <row r="313" spans="1:9">
      <c r="A313" s="1" t="str">
        <f>'TFC Details'!A68</f>
        <v>TFC</v>
      </c>
      <c r="B313" s="2">
        <f>'TFC Details'!B68</f>
        <v>41897</v>
      </c>
      <c r="C313" s="2" t="str">
        <f>'TFC Details'!D68</f>
        <v>Sep</v>
      </c>
      <c r="D313" s="1">
        <v>2014</v>
      </c>
      <c r="E313" s="2" t="str">
        <f>'TFC Details'!E68</f>
        <v>Scan</v>
      </c>
      <c r="F313" s="5" t="str">
        <f>'TFC Details'!F68</f>
        <v>Me</v>
      </c>
      <c r="G313" s="5">
        <f>'TFC Details'!L68</f>
        <v>4800</v>
      </c>
      <c r="H313" s="5">
        <f>'TFC Details'!I68</f>
        <v>0</v>
      </c>
      <c r="I313" s="5">
        <f>'TFC Details'!J69</f>
        <v>0</v>
      </c>
    </row>
    <row r="314" spans="1:9">
      <c r="A314" s="1" t="str">
        <f>'TFC Details'!A69</f>
        <v>TFC</v>
      </c>
      <c r="B314" s="2">
        <f>'TFC Details'!B69</f>
        <v>41897</v>
      </c>
      <c r="C314" s="2" t="str">
        <f>'TFC Details'!D69</f>
        <v>Sep</v>
      </c>
      <c r="D314" s="1">
        <v>2014</v>
      </c>
      <c r="E314" s="2" t="str">
        <f>'TFC Details'!E69</f>
        <v>GST @ 7%</v>
      </c>
      <c r="F314" s="5" t="str">
        <f>'TFC Details'!F69</f>
        <v>Me</v>
      </c>
      <c r="G314" s="5">
        <f>'TFC Details'!L69</f>
        <v>952.80000000000007</v>
      </c>
      <c r="H314" s="5" t="str">
        <f>'TFC Details'!I69</f>
        <v>GST</v>
      </c>
      <c r="I314" s="5">
        <f>'TFC Details'!J70</f>
        <v>0</v>
      </c>
    </row>
    <row r="315" spans="1:9">
      <c r="A315" s="1" t="str">
        <f>'TFC Details'!A70</f>
        <v>TFC</v>
      </c>
      <c r="B315" s="2">
        <f>'TFC Details'!B70</f>
        <v>41899</v>
      </c>
      <c r="C315" s="2" t="str">
        <f>'TFC Details'!D70</f>
        <v>Sep</v>
      </c>
      <c r="D315" s="1">
        <v>2014</v>
      </c>
      <c r="E315" s="2" t="str">
        <f>'TFC Details'!E70</f>
        <v>Sperm storage</v>
      </c>
      <c r="F315" s="5" t="str">
        <f>'TFC Details'!F70</f>
        <v>DH</v>
      </c>
      <c r="G315" s="5">
        <f>'TFC Details'!L70</f>
        <v>-14880</v>
      </c>
      <c r="H315" s="5" t="str">
        <f>'TFC Details'!I70</f>
        <v>Reversal of sperm storage charges + GST</v>
      </c>
      <c r="I315" s="5">
        <f>'TFC Details'!J71</f>
        <v>0</v>
      </c>
    </row>
    <row r="316" spans="1:9">
      <c r="A316" s="1" t="str">
        <f>'TFC Details'!A71</f>
        <v>TFC</v>
      </c>
      <c r="B316" s="2">
        <f>'TFC Details'!B71</f>
        <v>41899</v>
      </c>
      <c r="C316" s="2" t="str">
        <f>'TFC Details'!D71</f>
        <v>Sep</v>
      </c>
      <c r="D316" s="1">
        <v>2014</v>
      </c>
      <c r="E316" s="2" t="str">
        <f>'TFC Details'!E71</f>
        <v>GST @ 7%</v>
      </c>
      <c r="F316" s="5" t="str">
        <f>'TFC Details'!F71</f>
        <v>DH</v>
      </c>
      <c r="G316" s="5">
        <f>'TFC Details'!L71</f>
        <v>-1041.5999999999999</v>
      </c>
      <c r="H316" s="5" t="str">
        <f>'TFC Details'!I71</f>
        <v>Reversal of sperm storage charges + GST</v>
      </c>
      <c r="I316" s="5" t="str">
        <f>'TFC Details'!J72</f>
        <v>Utrogestan capsule 100mg</v>
      </c>
    </row>
    <row r="317" spans="1:9">
      <c r="A317" s="1" t="str">
        <f>'TFC Details'!A72</f>
        <v>TFC</v>
      </c>
      <c r="B317" s="2">
        <f>'TFC Details'!B72</f>
        <v>41901</v>
      </c>
      <c r="C317" s="2" t="str">
        <f>'TFC Details'!D72</f>
        <v>Sep</v>
      </c>
      <c r="D317" s="1">
        <v>2014</v>
      </c>
      <c r="E317" s="2" t="str">
        <f>'TFC Details'!E72</f>
        <v>FET</v>
      </c>
      <c r="F317" s="5" t="str">
        <f>'TFC Details'!F72</f>
        <v>Me</v>
      </c>
      <c r="G317" s="5">
        <f>'TFC Details'!L72</f>
        <v>4032</v>
      </c>
      <c r="H317" s="5">
        <f>'TFC Details'!I72</f>
        <v>0</v>
      </c>
      <c r="I317" s="5">
        <f>'TFC Details'!J73</f>
        <v>0</v>
      </c>
    </row>
    <row r="318" spans="1:9">
      <c r="A318" s="1" t="str">
        <f>'TFC Details'!A73</f>
        <v>TFC</v>
      </c>
      <c r="B318" s="2">
        <f>'TFC Details'!B73</f>
        <v>41901</v>
      </c>
      <c r="C318" s="2" t="str">
        <f>'TFC Details'!D73</f>
        <v>Sep</v>
      </c>
      <c r="D318" s="1">
        <v>2014</v>
      </c>
      <c r="E318" s="2" t="str">
        <f>'TFC Details'!E73</f>
        <v>FET</v>
      </c>
      <c r="F318" s="5" t="str">
        <f>'TFC Details'!F73</f>
        <v>Me</v>
      </c>
      <c r="G318" s="5">
        <f>'TFC Details'!L73</f>
        <v>4088.6400000000003</v>
      </c>
      <c r="H318" s="5" t="str">
        <f>'TFC Details'!I73</f>
        <v>ER catheter, 23cm, 1816N</v>
      </c>
      <c r="I318" s="5">
        <f>'TFC Details'!J74</f>
        <v>0</v>
      </c>
    </row>
    <row r="319" spans="1:9">
      <c r="A319" s="1" t="str">
        <f>'TFC Details'!A74</f>
        <v>TFC</v>
      </c>
      <c r="B319" s="2">
        <f>'TFC Details'!B74</f>
        <v>41901</v>
      </c>
      <c r="C319" s="2" t="str">
        <f>'TFC Details'!D74</f>
        <v>Sep</v>
      </c>
      <c r="D319" s="1">
        <v>2014</v>
      </c>
      <c r="E319" s="2" t="str">
        <f>'TFC Details'!E74</f>
        <v>FET</v>
      </c>
      <c r="F319" s="5" t="str">
        <f>'TFC Details'!F74</f>
        <v>Me</v>
      </c>
      <c r="G319" s="5">
        <f>'TFC Details'!L74</f>
        <v>960</v>
      </c>
      <c r="H319" s="5" t="str">
        <f>'TFC Details'!I74</f>
        <v>OT patient disposable set</v>
      </c>
      <c r="I319" s="5">
        <f>'TFC Details'!J75</f>
        <v>0</v>
      </c>
    </row>
    <row r="320" spans="1:9">
      <c r="A320" s="1" t="str">
        <f>'TFC Details'!A75</f>
        <v>TFC</v>
      </c>
      <c r="B320" s="2">
        <f>'TFC Details'!B75</f>
        <v>41901</v>
      </c>
      <c r="C320" s="2" t="str">
        <f>'TFC Details'!D75</f>
        <v>Sep</v>
      </c>
      <c r="D320" s="1">
        <v>2014</v>
      </c>
      <c r="E320" s="2" t="str">
        <f>'TFC Details'!E75</f>
        <v>FET</v>
      </c>
      <c r="F320" s="5" t="str">
        <f>'TFC Details'!F75</f>
        <v>Me</v>
      </c>
      <c r="G320" s="5">
        <f>'TFC Details'!L75</f>
        <v>1680</v>
      </c>
      <c r="H320" s="5" t="str">
        <f>'TFC Details'!I75</f>
        <v>HCG Blood test</v>
      </c>
      <c r="I320" s="5">
        <f>'TFC Details'!J76</f>
        <v>0</v>
      </c>
    </row>
    <row r="321" spans="1:9">
      <c r="A321" s="1" t="str">
        <f>'TFC Details'!A76</f>
        <v>TFC</v>
      </c>
      <c r="B321" s="2">
        <f>'TFC Details'!B76</f>
        <v>41901</v>
      </c>
      <c r="C321" s="2" t="str">
        <f>'TFC Details'!D76</f>
        <v>Sep</v>
      </c>
      <c r="D321" s="1">
        <v>2014</v>
      </c>
      <c r="E321" s="2" t="str">
        <f>'TFC Details'!E76</f>
        <v>FET</v>
      </c>
      <c r="F321" s="5" t="str">
        <f>'TFC Details'!F76</f>
        <v>Me</v>
      </c>
      <c r="G321" s="5">
        <f>'TFC Details'!L76</f>
        <v>5760</v>
      </c>
      <c r="H321" s="5" t="str">
        <f>'TFC Details'!I76</f>
        <v>Facilities (OT &amp; recovery)</v>
      </c>
      <c r="I321" s="5">
        <f>'TFC Details'!J77</f>
        <v>0</v>
      </c>
    </row>
    <row r="322" spans="1:9">
      <c r="A322" s="1" t="str">
        <f>'TFC Details'!A77</f>
        <v>TFC</v>
      </c>
      <c r="B322" s="2">
        <f>'TFC Details'!B77</f>
        <v>41901</v>
      </c>
      <c r="C322" s="2" t="str">
        <f>'TFC Details'!D77</f>
        <v>Sep</v>
      </c>
      <c r="D322" s="1">
        <v>2014</v>
      </c>
      <c r="E322" s="2" t="str">
        <f>'TFC Details'!E77</f>
        <v>FET</v>
      </c>
      <c r="F322" s="5" t="str">
        <f>'TFC Details'!F77</f>
        <v>Me</v>
      </c>
      <c r="G322" s="5">
        <f>'TFC Details'!L77</f>
        <v>72000</v>
      </c>
      <c r="H322" s="5" t="str">
        <f>'TFC Details'!I77</f>
        <v>Embryo thawing &amp; ET</v>
      </c>
      <c r="I322" s="5">
        <f>'TFC Details'!J78</f>
        <v>0</v>
      </c>
    </row>
    <row r="323" spans="1:9">
      <c r="A323" s="1" t="str">
        <f>'TFC Details'!A78</f>
        <v>TFC</v>
      </c>
      <c r="B323" s="2">
        <f>'TFC Details'!B78</f>
        <v>41901</v>
      </c>
      <c r="C323" s="2" t="str">
        <f>'TFC Details'!D78</f>
        <v>Sep</v>
      </c>
      <c r="D323" s="1">
        <v>2014</v>
      </c>
      <c r="E323" s="2" t="str">
        <f>'TFC Details'!E78</f>
        <v>FET</v>
      </c>
      <c r="F323" s="5" t="str">
        <f>'TFC Details'!F78</f>
        <v>Me</v>
      </c>
      <c r="G323" s="5">
        <f>'TFC Details'!L78</f>
        <v>33600</v>
      </c>
      <c r="H323" s="5" t="str">
        <f>'TFC Details'!I78</f>
        <v>ET - Doctor's fee</v>
      </c>
      <c r="I323" s="5">
        <f>'TFC Details'!J79</f>
        <v>0</v>
      </c>
    </row>
    <row r="324" spans="1:9">
      <c r="A324" s="1" t="str">
        <f>'TFC Details'!A79</f>
        <v>TFC</v>
      </c>
      <c r="B324" s="2">
        <f>'TFC Details'!B79</f>
        <v>41901</v>
      </c>
      <c r="C324" s="2" t="str">
        <f>'TFC Details'!D79</f>
        <v>Sep</v>
      </c>
      <c r="D324" s="1">
        <v>2014</v>
      </c>
      <c r="E324" s="2" t="str">
        <f>'TFC Details'!E79</f>
        <v>GST @ 7%</v>
      </c>
      <c r="F324" s="5" t="str">
        <f>'TFC Details'!F79</f>
        <v>Me</v>
      </c>
      <c r="G324" s="5">
        <f>'TFC Details'!L79</f>
        <v>8547.36</v>
      </c>
      <c r="H324" s="5" t="str">
        <f>'TFC Details'!I79</f>
        <v>GST</v>
      </c>
      <c r="I324" s="5" t="str">
        <f>'TFC Details'!J106</f>
        <v>Ganilia</v>
      </c>
    </row>
    <row r="325" spans="1:9">
      <c r="A325" s="1" t="str">
        <f>'TFC Details'!A80</f>
        <v>TFC</v>
      </c>
      <c r="B325" s="2">
        <f>'TFC Details'!B80</f>
        <v>41922</v>
      </c>
      <c r="C325" s="2" t="str">
        <f>'TFC Details'!D80</f>
        <v>Oct</v>
      </c>
      <c r="D325" s="1">
        <v>2014</v>
      </c>
      <c r="E325" s="2" t="str">
        <f>'TFC Details'!E80</f>
        <v>Medicine</v>
      </c>
      <c r="F325" s="5" t="str">
        <f>'TFC Details'!F80</f>
        <v>Me</v>
      </c>
      <c r="G325" s="5">
        <f>'TFC Details'!L80</f>
        <v>2016</v>
      </c>
      <c r="H325" s="5">
        <f>'TFC Details'!I80</f>
        <v>0</v>
      </c>
      <c r="I325" s="5">
        <f>'TFC Details'!J107</f>
        <v>0</v>
      </c>
    </row>
    <row r="326" spans="1:9">
      <c r="A326" s="1" t="str">
        <f>'TFC Details'!A81</f>
        <v>TFC</v>
      </c>
      <c r="B326" s="2">
        <f>'TFC Details'!B81</f>
        <v>41922</v>
      </c>
      <c r="C326" s="2" t="str">
        <f>'TFC Details'!D81</f>
        <v>Oct</v>
      </c>
      <c r="D326" s="1">
        <v>2014</v>
      </c>
      <c r="E326" s="2" t="str">
        <f>'TFC Details'!E81</f>
        <v>GST @ 7%</v>
      </c>
      <c r="F326" s="5" t="str">
        <f>'TFC Details'!F81</f>
        <v>Me</v>
      </c>
      <c r="G326" s="5">
        <f>'TFC Details'!L81</f>
        <v>141.60000000000002</v>
      </c>
      <c r="H326" s="5">
        <f>'TFC Details'!I81</f>
        <v>0</v>
      </c>
      <c r="I326" s="5" t="str">
        <f>'TFC Details'!J116</f>
        <v>11 Jul 2016 - 11 Sept 2017</v>
      </c>
    </row>
    <row r="327" spans="1:9">
      <c r="A327" s="1" t="str">
        <f>'TFC Details'!A82</f>
        <v>TFC</v>
      </c>
      <c r="B327" s="2">
        <f>'TFC Details'!B82</f>
        <v>41926</v>
      </c>
      <c r="C327" s="2" t="str">
        <f>'TFC Details'!D82</f>
        <v>Oct</v>
      </c>
      <c r="D327" s="1">
        <v>2014</v>
      </c>
      <c r="E327" s="2" t="str">
        <f>'TFC Details'!E82</f>
        <v>Medicine</v>
      </c>
      <c r="F327" s="5" t="str">
        <f>'TFC Details'!F82</f>
        <v>Me</v>
      </c>
      <c r="G327" s="5">
        <f>'TFC Details'!L82</f>
        <v>960</v>
      </c>
      <c r="H327" s="5" t="str">
        <f>'TFC Details'!I82</f>
        <v>Injection for bleeding</v>
      </c>
      <c r="I327" s="5" t="str">
        <f>'TFC Details'!J117</f>
        <v>11 Jul 2016 - 11 Sept 2017</v>
      </c>
    </row>
    <row r="328" spans="1:9">
      <c r="A328" s="1" t="str">
        <f>'TFC Details'!A83</f>
        <v>TFC</v>
      </c>
      <c r="B328" s="2">
        <f>'TFC Details'!B83</f>
        <v>41926</v>
      </c>
      <c r="C328" s="2" t="str">
        <f>'TFC Details'!D83</f>
        <v>Oct</v>
      </c>
      <c r="D328" s="1">
        <v>2014</v>
      </c>
      <c r="E328" s="2" t="str">
        <f>'TFC Details'!E83</f>
        <v>GST @ 7%</v>
      </c>
      <c r="F328" s="5" t="str">
        <f>'TFC Details'!F83</f>
        <v>Me</v>
      </c>
      <c r="G328" s="5">
        <f>'TFC Details'!L83</f>
        <v>67.199999999999989</v>
      </c>
      <c r="H328" s="5">
        <f>'TFC Details'!I83</f>
        <v>0</v>
      </c>
      <c r="I328" s="5" t="str">
        <f>'TFC Details'!J126</f>
        <v>Curam tab 625mg</v>
      </c>
    </row>
    <row r="329" spans="1:9">
      <c r="A329" s="1" t="str">
        <f>'TFC Details'!A84</f>
        <v>TFC</v>
      </c>
      <c r="B329" s="2">
        <f>'TFC Details'!B84</f>
        <v>41930</v>
      </c>
      <c r="C329" s="2" t="str">
        <f>'TFC Details'!D84</f>
        <v>Oct</v>
      </c>
      <c r="D329" s="1">
        <v>2014</v>
      </c>
      <c r="E329" s="2" t="str">
        <f>'TFC Details'!E84</f>
        <v>Medicine</v>
      </c>
      <c r="F329" s="5" t="str">
        <f>'TFC Details'!F84</f>
        <v>Me</v>
      </c>
      <c r="G329" s="5">
        <f>'TFC Details'!L84</f>
        <v>4032</v>
      </c>
      <c r="H329" s="5">
        <f>'TFC Details'!I84</f>
        <v>0</v>
      </c>
      <c r="I329" s="5">
        <f>'TFC Details'!J133</f>
        <v>0</v>
      </c>
    </row>
    <row r="330" spans="1:9">
      <c r="A330" s="1" t="str">
        <f>'TFC Details'!A85</f>
        <v>TFC</v>
      </c>
      <c r="B330" s="2">
        <f>'TFC Details'!B85</f>
        <v>41930</v>
      </c>
      <c r="C330" s="2" t="str">
        <f>'TFC Details'!D85</f>
        <v>Oct</v>
      </c>
      <c r="D330" s="1">
        <v>2014</v>
      </c>
      <c r="E330" s="2" t="str">
        <f>'TFC Details'!E85</f>
        <v>Medicine</v>
      </c>
      <c r="F330" s="5" t="str">
        <f>'TFC Details'!F85</f>
        <v>Me</v>
      </c>
      <c r="G330" s="5">
        <f>'TFC Details'!L85</f>
        <v>2880</v>
      </c>
      <c r="H330" s="5">
        <f>'TFC Details'!I85</f>
        <v>0</v>
      </c>
      <c r="I330" s="5">
        <f>'TFC Details'!J134</f>
        <v>0</v>
      </c>
    </row>
    <row r="331" spans="1:9">
      <c r="A331" s="1" t="str">
        <f>'TFC Details'!A86</f>
        <v>TFC</v>
      </c>
      <c r="B331" s="2">
        <f>'TFC Details'!B86</f>
        <v>41930</v>
      </c>
      <c r="C331" s="2" t="str">
        <f>'TFC Details'!D86</f>
        <v>Oct</v>
      </c>
      <c r="D331" s="1">
        <v>2014</v>
      </c>
      <c r="E331" s="2" t="str">
        <f>'TFC Details'!E86</f>
        <v>Medicine</v>
      </c>
      <c r="F331" s="5" t="str">
        <f>'TFC Details'!F86</f>
        <v>Me</v>
      </c>
      <c r="G331" s="5">
        <f>'TFC Details'!L86</f>
        <v>960</v>
      </c>
      <c r="H331" s="5" t="str">
        <f>'TFC Details'!I86</f>
        <v>Injection for bleeding</v>
      </c>
      <c r="I331" s="5">
        <f>'TFC Details'!J135</f>
        <v>0</v>
      </c>
    </row>
    <row r="332" spans="1:9">
      <c r="A332" s="1" t="str">
        <f>'TFC Details'!A87</f>
        <v>TFC</v>
      </c>
      <c r="B332" s="2">
        <f>'TFC Details'!B87</f>
        <v>41930</v>
      </c>
      <c r="C332" s="2" t="str">
        <f>'TFC Details'!D87</f>
        <v>Oct</v>
      </c>
      <c r="D332" s="1">
        <v>2014</v>
      </c>
      <c r="E332" s="2" t="str">
        <f>'TFC Details'!E87</f>
        <v>Facility Fee</v>
      </c>
      <c r="F332" s="5" t="str">
        <f>'TFC Details'!F87</f>
        <v>Me</v>
      </c>
      <c r="G332" s="5">
        <f>'TFC Details'!L87</f>
        <v>720</v>
      </c>
      <c r="H332" s="5">
        <f>'TFC Details'!I87</f>
        <v>0</v>
      </c>
      <c r="I332" s="5">
        <f>'TFC Details'!J136</f>
        <v>0</v>
      </c>
    </row>
    <row r="333" spans="1:9">
      <c r="A333" s="1" t="str">
        <f>'TFC Details'!A88</f>
        <v>TFC</v>
      </c>
      <c r="B333" s="2">
        <f>'TFC Details'!B88</f>
        <v>41930</v>
      </c>
      <c r="C333" s="2" t="str">
        <f>'TFC Details'!D88</f>
        <v>Oct</v>
      </c>
      <c r="D333" s="1">
        <v>2014</v>
      </c>
      <c r="E333" s="2" t="str">
        <f>'TFC Details'!E88</f>
        <v>Consult</v>
      </c>
      <c r="F333" s="5" t="str">
        <f>'TFC Details'!F88</f>
        <v>Me</v>
      </c>
      <c r="G333" s="5">
        <f>'TFC Details'!L88</f>
        <v>4800</v>
      </c>
      <c r="H333" s="5" t="str">
        <f>'TFC Details'!I88</f>
        <v>Dr Loh Seong Feei</v>
      </c>
      <c r="I333" s="5">
        <f>'TFC Details'!J137</f>
        <v>0</v>
      </c>
    </row>
    <row r="334" spans="1:9">
      <c r="A334" s="1" t="str">
        <f>'TFC Details'!A89</f>
        <v>TFC</v>
      </c>
      <c r="B334" s="2">
        <f>'TFC Details'!B89</f>
        <v>41930</v>
      </c>
      <c r="C334" s="2" t="str">
        <f>'TFC Details'!D89</f>
        <v>Oct</v>
      </c>
      <c r="D334" s="1">
        <v>2014</v>
      </c>
      <c r="E334" s="2" t="str">
        <f>'TFC Details'!E89</f>
        <v>Scan</v>
      </c>
      <c r="F334" s="5" t="str">
        <f>'TFC Details'!F89</f>
        <v>Me</v>
      </c>
      <c r="G334" s="5">
        <f>'TFC Details'!L89</f>
        <v>4800</v>
      </c>
      <c r="H334" s="5">
        <f>'TFC Details'!I89</f>
        <v>0</v>
      </c>
      <c r="I334" s="5">
        <f>'TFC Details'!J217</f>
        <v>0</v>
      </c>
    </row>
    <row r="335" spans="1:9">
      <c r="A335" s="1" t="str">
        <f>'TFC Details'!A90</f>
        <v>TFC</v>
      </c>
      <c r="B335" s="2">
        <f>'TFC Details'!B90</f>
        <v>41930</v>
      </c>
      <c r="C335" s="2" t="str">
        <f>'TFC Details'!D90</f>
        <v>Oct</v>
      </c>
      <c r="D335" s="1">
        <v>2014</v>
      </c>
      <c r="E335" s="2" t="str">
        <f>'TFC Details'!E90</f>
        <v>GST @ 7%</v>
      </c>
      <c r="F335" s="5" t="str">
        <f>'TFC Details'!F90</f>
        <v>Me</v>
      </c>
      <c r="G335" s="5">
        <f>'TFC Details'!L90</f>
        <v>1274.4000000000001</v>
      </c>
      <c r="H335" s="5" t="str">
        <f>'TFC Details'!I90</f>
        <v>GST</v>
      </c>
      <c r="I335" s="5">
        <f>'TFC Details'!J218</f>
        <v>0</v>
      </c>
    </row>
    <row r="336" spans="1:9">
      <c r="A336" s="1" t="str">
        <f>'TFC Details'!A91</f>
        <v>TFC</v>
      </c>
      <c r="B336" s="2">
        <f>'TFC Details'!B91</f>
        <v>41944</v>
      </c>
      <c r="C336" s="2" t="str">
        <f>'TFC Details'!D91</f>
        <v>Nov</v>
      </c>
      <c r="D336" s="1">
        <v>2014</v>
      </c>
      <c r="E336" s="2" t="str">
        <f>'TFC Details'!E91</f>
        <v>Medicine</v>
      </c>
      <c r="F336" s="5" t="str">
        <f>'TFC Details'!F91</f>
        <v>Me</v>
      </c>
      <c r="G336" s="5">
        <f>'TFC Details'!L91</f>
        <v>6048</v>
      </c>
      <c r="H336" s="5">
        <f>'TFC Details'!I91</f>
        <v>0</v>
      </c>
      <c r="I336" s="5">
        <f>'TFC Details'!J219</f>
        <v>0</v>
      </c>
    </row>
    <row r="337" spans="1:9">
      <c r="A337" s="1" t="str">
        <f>'TFC Details'!A92</f>
        <v>TFC</v>
      </c>
      <c r="B337" s="2">
        <f>'TFC Details'!B92</f>
        <v>41944</v>
      </c>
      <c r="C337" s="2" t="str">
        <f>'TFC Details'!D92</f>
        <v>Nov</v>
      </c>
      <c r="D337" s="1">
        <v>2014</v>
      </c>
      <c r="E337" s="2" t="str">
        <f>'TFC Details'!E92</f>
        <v>Medicine</v>
      </c>
      <c r="F337" s="5" t="str">
        <f>'TFC Details'!F92</f>
        <v>Me</v>
      </c>
      <c r="G337" s="5">
        <f>'TFC Details'!L92</f>
        <v>2880</v>
      </c>
      <c r="H337" s="5">
        <f>'TFC Details'!I92</f>
        <v>0</v>
      </c>
      <c r="I337" s="5">
        <f>'TFC Details'!J220</f>
        <v>0</v>
      </c>
    </row>
    <row r="338" spans="1:9">
      <c r="A338" s="1" t="str">
        <f>'TFC Details'!A93</f>
        <v>TFC</v>
      </c>
      <c r="B338" s="2">
        <f>'TFC Details'!B93</f>
        <v>41944</v>
      </c>
      <c r="C338" s="2" t="str">
        <f>'TFC Details'!D93</f>
        <v>Nov</v>
      </c>
      <c r="D338" s="1">
        <v>2014</v>
      </c>
      <c r="E338" s="2" t="str">
        <f>'TFC Details'!E93</f>
        <v>Facility Fee</v>
      </c>
      <c r="F338" s="5" t="str">
        <f>'TFC Details'!F93</f>
        <v>Me</v>
      </c>
      <c r="G338" s="5">
        <f>'TFC Details'!L93</f>
        <v>720</v>
      </c>
      <c r="H338" s="5">
        <f>'TFC Details'!I93</f>
        <v>0</v>
      </c>
      <c r="I338" s="5">
        <f>'TFC Details'!J221</f>
        <v>0</v>
      </c>
    </row>
    <row r="339" spans="1:9">
      <c r="A339" s="1" t="str">
        <f>'TFC Details'!A94</f>
        <v>TFC</v>
      </c>
      <c r="B339" s="2">
        <f>'TFC Details'!B94</f>
        <v>41944</v>
      </c>
      <c r="C339" s="2" t="str">
        <f>'TFC Details'!D94</f>
        <v>Nov</v>
      </c>
      <c r="D339" s="1">
        <v>2014</v>
      </c>
      <c r="E339" s="2" t="str">
        <f>'TFC Details'!E94</f>
        <v>Consult</v>
      </c>
      <c r="F339" s="5" t="str">
        <f>'TFC Details'!F94</f>
        <v>Me</v>
      </c>
      <c r="G339" s="5">
        <f>'TFC Details'!L94</f>
        <v>4800</v>
      </c>
      <c r="H339" s="5">
        <f>'TFC Details'!I94</f>
        <v>0</v>
      </c>
      <c r="I339" s="5">
        <f>'TFC Details'!J222</f>
        <v>0</v>
      </c>
    </row>
    <row r="340" spans="1:9">
      <c r="A340" s="1" t="str">
        <f>'TFC Details'!A95</f>
        <v>TFC</v>
      </c>
      <c r="B340" s="2">
        <f>'TFC Details'!B95</f>
        <v>41944</v>
      </c>
      <c r="C340" s="2" t="str">
        <f>'TFC Details'!D95</f>
        <v>Nov</v>
      </c>
      <c r="D340" s="1">
        <v>2014</v>
      </c>
      <c r="E340" s="2" t="str">
        <f>'TFC Details'!E95</f>
        <v>Scan</v>
      </c>
      <c r="F340" s="5" t="str">
        <f>'TFC Details'!F95</f>
        <v>Me</v>
      </c>
      <c r="G340" s="5">
        <f>'TFC Details'!L95</f>
        <v>4800</v>
      </c>
      <c r="H340" s="5">
        <f>'TFC Details'!I95</f>
        <v>0</v>
      </c>
      <c r="I340" s="5">
        <f>'TFC Details'!J223</f>
        <v>0</v>
      </c>
    </row>
    <row r="341" spans="1:9">
      <c r="A341" s="1" t="str">
        <f>'TFC Details'!A96</f>
        <v>TFC</v>
      </c>
      <c r="B341" s="2">
        <f>'TFC Details'!B96</f>
        <v>41944</v>
      </c>
      <c r="C341" s="2" t="str">
        <f>'TFC Details'!D96</f>
        <v>Nov</v>
      </c>
      <c r="D341" s="1">
        <v>2014</v>
      </c>
      <c r="E341" s="2" t="str">
        <f>'TFC Details'!E96</f>
        <v>GST @ 7%</v>
      </c>
      <c r="F341" s="5" t="str">
        <f>'TFC Details'!F96</f>
        <v>Me</v>
      </c>
      <c r="G341" s="5">
        <f>'TFC Details'!L96</f>
        <v>1346.4</v>
      </c>
      <c r="H341" s="5">
        <f>'TFC Details'!I96</f>
        <v>0</v>
      </c>
      <c r="I341" s="5">
        <f>'TFC Details'!J224</f>
        <v>0</v>
      </c>
    </row>
    <row r="342" spans="1:9">
      <c r="A342" s="1" t="str">
        <f>'TFC Details'!A97</f>
        <v>TMC</v>
      </c>
      <c r="B342" s="2">
        <f>'TFC Details'!B97</f>
        <v>41964</v>
      </c>
      <c r="C342" s="2" t="str">
        <f>'TFC Details'!D97</f>
        <v>Nov</v>
      </c>
      <c r="D342" s="1">
        <v>2014</v>
      </c>
      <c r="E342" s="2" t="str">
        <f>'TFC Details'!E97</f>
        <v>Consult</v>
      </c>
      <c r="F342" s="5" t="str">
        <f>'TFC Details'!F97</f>
        <v>Me</v>
      </c>
      <c r="G342" s="5">
        <f>'TFC Details'!L97</f>
        <v>4320</v>
      </c>
      <c r="H342" s="5">
        <f>'TFC Details'!I97</f>
        <v>0</v>
      </c>
      <c r="I342" s="5">
        <f>'TFC Details'!J225</f>
        <v>0</v>
      </c>
    </row>
    <row r="343" spans="1:9">
      <c r="A343" s="1" t="str">
        <f>'TFC Details'!A98</f>
        <v>TMC</v>
      </c>
      <c r="B343" s="2">
        <f>'TFC Details'!B98</f>
        <v>41964</v>
      </c>
      <c r="C343" s="2" t="str">
        <f>'TFC Details'!D98</f>
        <v>Nov</v>
      </c>
      <c r="D343" s="1">
        <v>2014</v>
      </c>
      <c r="E343" s="2" t="str">
        <f>'TFC Details'!E98</f>
        <v>Routine test</v>
      </c>
      <c r="F343" s="5" t="str">
        <f>'TFC Details'!F98</f>
        <v>Me</v>
      </c>
      <c r="G343" s="5">
        <f>'TFC Details'!L98</f>
        <v>480</v>
      </c>
      <c r="H343" s="5" t="str">
        <f>'TFC Details'!I98</f>
        <v>Height, weight &amp; BP</v>
      </c>
      <c r="I343" s="5">
        <f>'TFC Details'!J226</f>
        <v>0</v>
      </c>
    </row>
    <row r="344" spans="1:9">
      <c r="A344" s="1" t="str">
        <f>'TFC Details'!A99</f>
        <v>TMC</v>
      </c>
      <c r="B344" s="2">
        <f>'TFC Details'!B99</f>
        <v>41964</v>
      </c>
      <c r="C344" s="2" t="str">
        <f>'TFC Details'!D99</f>
        <v>Nov</v>
      </c>
      <c r="D344" s="1">
        <v>2014</v>
      </c>
      <c r="E344" s="2" t="str">
        <f>'TFC Details'!E99</f>
        <v>Scan</v>
      </c>
      <c r="F344" s="5" t="str">
        <f>'TFC Details'!F99</f>
        <v>Me</v>
      </c>
      <c r="G344" s="5">
        <f>'TFC Details'!L99</f>
        <v>2400</v>
      </c>
      <c r="H344" s="5">
        <f>'TFC Details'!I99</f>
        <v>0</v>
      </c>
      <c r="I344" s="5">
        <f>'TFC Details'!J227</f>
        <v>0</v>
      </c>
    </row>
    <row r="345" spans="1:9">
      <c r="A345" s="1" t="str">
        <f>'TFC Details'!A100</f>
        <v>TMC</v>
      </c>
      <c r="B345" s="2">
        <f>'TFC Details'!B100</f>
        <v>41964</v>
      </c>
      <c r="C345" s="2" t="str">
        <f>'TFC Details'!D100</f>
        <v>Nov</v>
      </c>
      <c r="D345" s="1">
        <v>2014</v>
      </c>
      <c r="E345" s="2" t="str">
        <f>'TFC Details'!E100</f>
        <v>Harmony</v>
      </c>
      <c r="F345" s="5" t="str">
        <f>'TFC Details'!F100</f>
        <v>Me</v>
      </c>
      <c r="G345" s="5">
        <f>'TFC Details'!L100</f>
        <v>62400</v>
      </c>
      <c r="H345" s="5" t="str">
        <f>'TFC Details'!I100</f>
        <v>Blood test for Down Syndrome</v>
      </c>
      <c r="I345" s="5">
        <f>'TFC Details'!J228</f>
        <v>0</v>
      </c>
    </row>
    <row r="346" spans="1:9">
      <c r="A346" s="1" t="str">
        <f>'TFC Details'!A101</f>
        <v>TMC</v>
      </c>
      <c r="B346" s="2">
        <f>'TFC Details'!B101</f>
        <v>41964</v>
      </c>
      <c r="C346" s="2" t="str">
        <f>'TFC Details'!D101</f>
        <v>Nov</v>
      </c>
      <c r="D346" s="1">
        <v>2014</v>
      </c>
      <c r="E346" s="2" t="str">
        <f>'TFC Details'!E101</f>
        <v>Medicine</v>
      </c>
      <c r="F346" s="5" t="str">
        <f>'TFC Details'!F101</f>
        <v>Me</v>
      </c>
      <c r="G346" s="5">
        <f>'TFC Details'!L101</f>
        <v>2304</v>
      </c>
      <c r="H346" s="5" t="str">
        <f>'TFC Details'!I101</f>
        <v>Vitamins, iron &amp; folic acid tablets</v>
      </c>
      <c r="I346" s="5">
        <f>'TFC Details'!J229</f>
        <v>0</v>
      </c>
    </row>
    <row r="347" spans="1:9">
      <c r="A347" s="1" t="str">
        <f>'TFC Details'!A102</f>
        <v>TMC</v>
      </c>
      <c r="B347" s="2">
        <f>'TFC Details'!B102</f>
        <v>41964</v>
      </c>
      <c r="C347" s="2" t="str">
        <f>'TFC Details'!D102</f>
        <v>Nov</v>
      </c>
      <c r="D347" s="1">
        <v>2014</v>
      </c>
      <c r="E347" s="2" t="str">
        <f>'TFC Details'!E102</f>
        <v>GST @ 7%</v>
      </c>
      <c r="F347" s="5" t="str">
        <f>'TFC Details'!F102</f>
        <v>Me</v>
      </c>
      <c r="G347" s="5">
        <f>'TFC Details'!L102</f>
        <v>5033.28</v>
      </c>
      <c r="H347" s="5">
        <f>'TFC Details'!I102</f>
        <v>0</v>
      </c>
      <c r="I347" s="5">
        <f>'TFC Details'!J230</f>
        <v>0</v>
      </c>
    </row>
    <row r="348" spans="1:9">
      <c r="A348" s="1" t="str">
        <f>'TFC Details'!A103</f>
        <v>TMC</v>
      </c>
      <c r="B348" s="2">
        <f>'TFC Details'!B103</f>
        <v>41992</v>
      </c>
      <c r="C348" s="2" t="str">
        <f>'TFC Details'!D103</f>
        <v>Dec</v>
      </c>
      <c r="D348" s="1">
        <v>2014</v>
      </c>
      <c r="E348" s="2" t="str">
        <f>'TFC Details'!E103</f>
        <v>Consult</v>
      </c>
      <c r="F348" s="5" t="str">
        <f>'TFC Details'!F103</f>
        <v>Me</v>
      </c>
      <c r="G348" s="5">
        <f>'TFC Details'!L103</f>
        <v>4320</v>
      </c>
      <c r="H348" s="5">
        <f>'TFC Details'!I103</f>
        <v>0</v>
      </c>
      <c r="I348" s="5">
        <f>'TFC Details'!J231</f>
        <v>0</v>
      </c>
    </row>
    <row r="349" spans="1:9">
      <c r="A349" s="1" t="str">
        <f>'TFC Details'!A104</f>
        <v>TMC</v>
      </c>
      <c r="B349" s="2">
        <f>'TFC Details'!B104</f>
        <v>41992</v>
      </c>
      <c r="C349" s="2" t="str">
        <f>'TFC Details'!D104</f>
        <v>Dec</v>
      </c>
      <c r="D349" s="1">
        <v>2014</v>
      </c>
      <c r="E349" s="2" t="str">
        <f>'TFC Details'!E104</f>
        <v>Routine test</v>
      </c>
      <c r="F349" s="5" t="str">
        <f>'TFC Details'!F104</f>
        <v>Me</v>
      </c>
      <c r="G349" s="5">
        <f>'TFC Details'!L104</f>
        <v>480</v>
      </c>
      <c r="H349" s="5" t="str">
        <f>'TFC Details'!I104</f>
        <v>Height, weight &amp; BP</v>
      </c>
      <c r="I349" s="5">
        <f>'TFC Details'!J232</f>
        <v>0</v>
      </c>
    </row>
    <row r="350" spans="1:9">
      <c r="A350" s="1" t="str">
        <f>'TFC Details'!A105</f>
        <v>TMC</v>
      </c>
      <c r="B350" s="2">
        <f>'TFC Details'!B105</f>
        <v>41992</v>
      </c>
      <c r="C350" s="2" t="str">
        <f>'TFC Details'!D105</f>
        <v>Dec</v>
      </c>
      <c r="D350" s="1">
        <v>2014</v>
      </c>
      <c r="E350" s="2" t="str">
        <f>'TFC Details'!E105</f>
        <v>Scan</v>
      </c>
      <c r="F350" s="5" t="str">
        <f>'TFC Details'!F105</f>
        <v>Me</v>
      </c>
      <c r="G350" s="5">
        <f>'TFC Details'!L105</f>
        <v>2400</v>
      </c>
      <c r="H350" s="5">
        <f>'TFC Details'!I105</f>
        <v>0</v>
      </c>
      <c r="I350" s="5">
        <f>'TFC Details'!J233</f>
        <v>0</v>
      </c>
    </row>
    <row r="351" spans="1:9">
      <c r="A351" s="1" t="str">
        <f>'TFC Details'!A106</f>
        <v>TMC</v>
      </c>
      <c r="B351" s="2">
        <f>'TFC Details'!B106</f>
        <v>41992</v>
      </c>
      <c r="C351" s="2" t="str">
        <f>'TFC Details'!D106</f>
        <v>Dec</v>
      </c>
      <c r="D351" s="1">
        <v>2014</v>
      </c>
      <c r="E351" s="2" t="str">
        <f>'TFC Details'!E106</f>
        <v>Medicine</v>
      </c>
      <c r="F351" s="5" t="str">
        <f>'TFC Details'!F106</f>
        <v>Me</v>
      </c>
      <c r="G351" s="5">
        <f>'TFC Details'!L106</f>
        <v>2304</v>
      </c>
      <c r="H351" s="5" t="str">
        <f>'TFC Details'!I106</f>
        <v>Vitamins, iron &amp; folic acid tablets</v>
      </c>
      <c r="I351" s="5">
        <f>'TFC Details'!J234</f>
        <v>0</v>
      </c>
    </row>
    <row r="352" spans="1:9">
      <c r="A352" s="1" t="str">
        <f>'TFC Details'!A107</f>
        <v>TMC</v>
      </c>
      <c r="B352" s="2">
        <f>'TFC Details'!B107</f>
        <v>41992</v>
      </c>
      <c r="C352" s="2" t="str">
        <f>'TFC Details'!D107</f>
        <v>Dec</v>
      </c>
      <c r="D352" s="1">
        <v>2014</v>
      </c>
      <c r="E352" s="2" t="str">
        <f>'TFC Details'!E107</f>
        <v>GST @ 7%</v>
      </c>
      <c r="F352" s="5" t="str">
        <f>'TFC Details'!F107</f>
        <v>Me</v>
      </c>
      <c r="G352" s="5">
        <f>'TFC Details'!L107</f>
        <v>665.28</v>
      </c>
      <c r="H352" s="5">
        <f>'TFC Details'!I107</f>
        <v>0</v>
      </c>
      <c r="I352" s="5">
        <f>'TFC Details'!J235</f>
        <v>0</v>
      </c>
    </row>
    <row r="353" spans="1:9">
      <c r="A353" s="1" t="str">
        <f>'TFC Details'!A108</f>
        <v>TMC</v>
      </c>
      <c r="B353" s="2">
        <f>'TFC Details'!B108</f>
        <v>42023</v>
      </c>
      <c r="C353" s="2" t="str">
        <f>'TFC Details'!D108</f>
        <v>Jan</v>
      </c>
      <c r="D353" s="1">
        <v>2015</v>
      </c>
      <c r="E353" s="2" t="str">
        <f>'TFC Details'!E108</f>
        <v>Scan</v>
      </c>
      <c r="F353" s="5" t="str">
        <f>'TFC Details'!F108</f>
        <v>Me</v>
      </c>
      <c r="G353" s="5">
        <f>'TFC Details'!L108</f>
        <v>7344</v>
      </c>
      <c r="H353" s="5" t="str">
        <f>'TFC Details'!I108</f>
        <v>Fetal assessment scan</v>
      </c>
      <c r="I353" s="5">
        <f>'TFC Details'!J236</f>
        <v>0</v>
      </c>
    </row>
    <row r="354" spans="1:9">
      <c r="A354" s="1" t="str">
        <f>'TFC Details'!A109</f>
        <v>TMC</v>
      </c>
      <c r="B354" s="2">
        <f>'TFC Details'!B109</f>
        <v>42023</v>
      </c>
      <c r="C354" s="2" t="str">
        <f>'TFC Details'!D109</f>
        <v>Jan</v>
      </c>
      <c r="D354" s="1">
        <v>2015</v>
      </c>
      <c r="E354" s="2" t="str">
        <f>'TFC Details'!E109</f>
        <v>GST @ 7%</v>
      </c>
      <c r="F354" s="5" t="str">
        <f>'TFC Details'!F109</f>
        <v>Me</v>
      </c>
      <c r="G354" s="5">
        <f>'TFC Details'!L109</f>
        <v>513.59999999999991</v>
      </c>
      <c r="H354" s="5">
        <f>'TFC Details'!I109</f>
        <v>0</v>
      </c>
      <c r="I354" s="5">
        <f>'TFC Details'!J237</f>
        <v>0</v>
      </c>
    </row>
    <row r="355" spans="1:9">
      <c r="A355" s="1" t="str">
        <f>'TFC Details'!A110</f>
        <v>TMC</v>
      </c>
      <c r="B355" s="2">
        <f>'TFC Details'!B110</f>
        <v>42023</v>
      </c>
      <c r="C355" s="2" t="str">
        <f>'TFC Details'!D110</f>
        <v>Jan</v>
      </c>
      <c r="D355" s="1">
        <v>2015</v>
      </c>
      <c r="E355" s="2" t="str">
        <f>'TFC Details'!E110</f>
        <v>Consult</v>
      </c>
      <c r="F355" s="5" t="str">
        <f>'TFC Details'!F110</f>
        <v>Me</v>
      </c>
      <c r="G355" s="5">
        <f>'TFC Details'!L110</f>
        <v>4320</v>
      </c>
      <c r="H355" s="5">
        <f>'TFC Details'!I110</f>
        <v>0</v>
      </c>
      <c r="I355" s="5">
        <f>'TFC Details'!J238</f>
        <v>0</v>
      </c>
    </row>
    <row r="356" spans="1:9">
      <c r="A356" s="1" t="str">
        <f>'TFC Details'!A111</f>
        <v>TMC</v>
      </c>
      <c r="B356" s="2">
        <f>'TFC Details'!B111</f>
        <v>42023</v>
      </c>
      <c r="C356" s="2" t="str">
        <f>'TFC Details'!D111</f>
        <v>Jan</v>
      </c>
      <c r="D356" s="1">
        <v>2015</v>
      </c>
      <c r="E356" s="2" t="str">
        <f>'TFC Details'!E111</f>
        <v>Routine test</v>
      </c>
      <c r="F356" s="5" t="str">
        <f>'TFC Details'!F111</f>
        <v>Me</v>
      </c>
      <c r="G356" s="5">
        <f>'TFC Details'!L111</f>
        <v>480</v>
      </c>
      <c r="H356" s="5" t="str">
        <f>'TFC Details'!I111</f>
        <v>Height, weight &amp; BP</v>
      </c>
      <c r="I356" s="5">
        <f>'TFC Details'!J239</f>
        <v>0</v>
      </c>
    </row>
    <row r="357" spans="1:9">
      <c r="A357" s="1" t="str">
        <f>'TFC Details'!A112</f>
        <v>TMC</v>
      </c>
      <c r="B357" s="2">
        <f>'TFC Details'!B112</f>
        <v>42023</v>
      </c>
      <c r="C357" s="2" t="str">
        <f>'TFC Details'!D112</f>
        <v>Jan</v>
      </c>
      <c r="D357" s="1">
        <v>2015</v>
      </c>
      <c r="E357" s="2" t="str">
        <f>'TFC Details'!E112</f>
        <v>Medicine</v>
      </c>
      <c r="F357" s="5" t="str">
        <f>'TFC Details'!F112</f>
        <v>Me</v>
      </c>
      <c r="G357" s="5">
        <f>'TFC Details'!L112</f>
        <v>2304</v>
      </c>
      <c r="H357" s="5" t="str">
        <f>'TFC Details'!I112</f>
        <v>Vitamins, iron &amp; folic acid tablets</v>
      </c>
      <c r="I357" s="5">
        <f>'TFC Details'!J240</f>
        <v>0</v>
      </c>
    </row>
    <row r="358" spans="1:9">
      <c r="A358" s="1" t="str">
        <f>'TFC Details'!A113</f>
        <v>TMC</v>
      </c>
      <c r="B358" s="2">
        <f>'TFC Details'!B113</f>
        <v>42023</v>
      </c>
      <c r="C358" s="2" t="str">
        <f>'TFC Details'!D113</f>
        <v>Jan</v>
      </c>
      <c r="D358" s="1">
        <v>2015</v>
      </c>
      <c r="E358" s="2" t="str">
        <f>'TFC Details'!E113</f>
        <v>GST @ 7%</v>
      </c>
      <c r="F358" s="5" t="str">
        <f>'TFC Details'!F113</f>
        <v>Me</v>
      </c>
      <c r="G358" s="5">
        <f>'TFC Details'!L113</f>
        <v>497.28</v>
      </c>
      <c r="H358" s="5">
        <f>'TFC Details'!I113</f>
        <v>0</v>
      </c>
      <c r="I358" s="5">
        <f>'TFC Details'!J241</f>
        <v>0</v>
      </c>
    </row>
    <row r="359" spans="1:9">
      <c r="A359" s="1" t="str">
        <f>'TFC Details'!A114</f>
        <v>TFC</v>
      </c>
      <c r="B359" s="2">
        <f>'TFC Details'!B114</f>
        <v>42216</v>
      </c>
      <c r="C359" s="2" t="str">
        <f>'TFC Details'!D114</f>
        <v>Jul</v>
      </c>
      <c r="D359" s="1">
        <v>2015</v>
      </c>
      <c r="E359" s="2" t="str">
        <f>'TFC Details'!E114</f>
        <v>Embryo freezing</v>
      </c>
      <c r="F359" s="5" t="str">
        <f>'TFC Details'!F114</f>
        <v>Me</v>
      </c>
      <c r="G359" s="5">
        <f>'TFC Details'!L114</f>
        <v>40320</v>
      </c>
      <c r="H359" s="5" t="str">
        <f>'TFC Details'!I114</f>
        <v>Embryo freezing (1 yr- 5 straws)</v>
      </c>
      <c r="I359" s="5">
        <f>'TFC Details'!J242</f>
        <v>0</v>
      </c>
    </row>
    <row r="360" spans="1:9">
      <c r="A360" s="1" t="str">
        <f>'TFC Details'!A115</f>
        <v>TFC</v>
      </c>
      <c r="B360" s="2">
        <f>'TFC Details'!B115</f>
        <v>42216</v>
      </c>
      <c r="C360" s="2" t="str">
        <f>'TFC Details'!D115</f>
        <v>Jul</v>
      </c>
      <c r="D360" s="1">
        <v>2015</v>
      </c>
      <c r="E360" s="2" t="str">
        <f>'TFC Details'!E115</f>
        <v>GST @ 7%</v>
      </c>
      <c r="F360" s="5" t="str">
        <f>'TFC Details'!F115</f>
        <v>Me</v>
      </c>
      <c r="G360" s="5">
        <f>'TFC Details'!L115</f>
        <v>2822.3999999999996</v>
      </c>
      <c r="H360" s="5" t="str">
        <f>'TFC Details'!I115</f>
        <v>GST</v>
      </c>
      <c r="I360" s="5">
        <f>'TFC Details'!J243</f>
        <v>0</v>
      </c>
    </row>
    <row r="361" spans="1:9">
      <c r="A361" s="1" t="str">
        <f>'TFC Details'!A116</f>
        <v>TFC</v>
      </c>
      <c r="B361" s="2">
        <f>'TFC Details'!B116</f>
        <v>42903</v>
      </c>
      <c r="C361" s="2" t="str">
        <f>'TFC Details'!D116</f>
        <v>Jun</v>
      </c>
      <c r="D361" s="1">
        <v>2017</v>
      </c>
      <c r="E361" s="2" t="str">
        <f>'TFC Details'!E116</f>
        <v>Embryo freezing</v>
      </c>
      <c r="F361" s="5" t="str">
        <f>'TFC Details'!F116</f>
        <v>Me</v>
      </c>
      <c r="G361" s="5">
        <f>'TFC Details'!L116</f>
        <v>47040</v>
      </c>
      <c r="H361" s="5" t="str">
        <f>'TFC Details'!I116</f>
        <v>Embryo freezing (1 yr- 5 straws)</v>
      </c>
      <c r="I361" s="5">
        <f>'TFC Details'!J244</f>
        <v>0</v>
      </c>
    </row>
    <row r="362" spans="1:9">
      <c r="A362" s="1" t="str">
        <f>'TFC Details'!A117</f>
        <v>TFC</v>
      </c>
      <c r="B362" s="2">
        <f>'TFC Details'!B117</f>
        <v>42903</v>
      </c>
      <c r="C362" s="2" t="str">
        <f>'TFC Details'!D117</f>
        <v>Jun</v>
      </c>
      <c r="D362" s="1">
        <v>2017</v>
      </c>
      <c r="E362" s="2" t="str">
        <f>'TFC Details'!E117</f>
        <v>GST @ 7%</v>
      </c>
      <c r="F362" s="5" t="str">
        <f>'TFC Details'!F117</f>
        <v>Me</v>
      </c>
      <c r="G362" s="5">
        <f>'TFC Details'!L117</f>
        <v>3292.7999999999997</v>
      </c>
      <c r="H362" s="5" t="str">
        <f>'TFC Details'!I117</f>
        <v>GST</v>
      </c>
      <c r="I362" s="5">
        <f>'TFC Details'!J245</f>
        <v>0</v>
      </c>
    </row>
    <row r="363" spans="1:9">
      <c r="A363" s="1" t="str">
        <f>'TFC Details'!A118</f>
        <v>TFC</v>
      </c>
      <c r="B363" s="2">
        <f>'TFC Details'!B118</f>
        <v>42993</v>
      </c>
      <c r="C363" s="2" t="str">
        <f>'TFC Details'!D118</f>
        <v>Sep</v>
      </c>
      <c r="D363" s="1">
        <v>2017</v>
      </c>
      <c r="E363" s="2" t="str">
        <f>'TFC Details'!E118</f>
        <v>Embryo freezing</v>
      </c>
      <c r="F363" s="5" t="str">
        <f>'TFC Details'!F118</f>
        <v>Me</v>
      </c>
      <c r="G363" s="5">
        <f>'TFC Details'!L118</f>
        <v>20160</v>
      </c>
      <c r="H363" s="5" t="str">
        <f>'TFC Details'!I118</f>
        <v>Embryo freezing (1 yr- 5 straws)</v>
      </c>
      <c r="I363" s="5">
        <f>'TFC Details'!J246</f>
        <v>0</v>
      </c>
    </row>
    <row r="364" spans="1:9">
      <c r="A364" s="1" t="str">
        <f>'TFC Details'!A119</f>
        <v>TFC</v>
      </c>
      <c r="B364" s="2">
        <f>'TFC Details'!B119</f>
        <v>42993</v>
      </c>
      <c r="C364" s="2" t="str">
        <f>'TFC Details'!D119</f>
        <v>Sep</v>
      </c>
      <c r="D364" s="1">
        <v>2017</v>
      </c>
      <c r="E364" s="2" t="str">
        <f>'TFC Details'!E119</f>
        <v>GST @ 7%</v>
      </c>
      <c r="F364" s="5" t="str">
        <f>'TFC Details'!F119</f>
        <v>Me</v>
      </c>
      <c r="G364" s="5">
        <f>'TFC Details'!L119</f>
        <v>1411.1999999999998</v>
      </c>
      <c r="H364" s="5" t="str">
        <f>'TFC Details'!I119</f>
        <v>GST</v>
      </c>
      <c r="I364" s="5">
        <f>'TFC Details'!J247</f>
        <v>0</v>
      </c>
    </row>
    <row r="365" spans="1:9">
      <c r="A365" s="1" t="str">
        <f>'TFC Details'!A120</f>
        <v>TFC</v>
      </c>
      <c r="B365" s="2">
        <f>'TFC Details'!B120</f>
        <v>43080</v>
      </c>
      <c r="C365" s="2" t="str">
        <f>'TFC Details'!D120</f>
        <v>Dec</v>
      </c>
      <c r="D365" s="1">
        <v>2017</v>
      </c>
      <c r="E365" s="2" t="str">
        <f>'TFC Details'!E120</f>
        <v>Consult</v>
      </c>
      <c r="F365" s="5" t="str">
        <f>'TFC Details'!F120</f>
        <v>Me</v>
      </c>
      <c r="G365" s="5">
        <f>'TFC Details'!L120</f>
        <v>4800</v>
      </c>
      <c r="H365" s="5" t="str">
        <f>'TFC Details'!I120</f>
        <v>Dr Loh Seong Feei</v>
      </c>
      <c r="I365" s="5">
        <f>'TFC Details'!J248</f>
        <v>0</v>
      </c>
    </row>
    <row r="366" spans="1:9">
      <c r="A366" s="1" t="str">
        <f>'TFC Details'!A121</f>
        <v>TFC</v>
      </c>
      <c r="B366" s="2">
        <f>'TFC Details'!B121</f>
        <v>43080</v>
      </c>
      <c r="C366" s="2" t="str">
        <f>'TFC Details'!D121</f>
        <v>Dec</v>
      </c>
      <c r="D366" s="1">
        <v>2017</v>
      </c>
      <c r="E366" s="2" t="str">
        <f>'TFC Details'!E121</f>
        <v>Scan</v>
      </c>
      <c r="F366" s="5" t="str">
        <f>'TFC Details'!F121</f>
        <v>Me</v>
      </c>
      <c r="G366" s="5">
        <f>'TFC Details'!L121</f>
        <v>4800</v>
      </c>
      <c r="H366" s="5">
        <f>'TFC Details'!I121</f>
        <v>0</v>
      </c>
      <c r="I366" s="5">
        <f>'TFC Details'!J249</f>
        <v>0</v>
      </c>
    </row>
    <row r="367" spans="1:9">
      <c r="A367" s="1" t="str">
        <f>'TFC Details'!A122</f>
        <v>TFC</v>
      </c>
      <c r="B367" s="2">
        <f>'TFC Details'!B122</f>
        <v>43080</v>
      </c>
      <c r="C367" s="2" t="str">
        <f>'TFC Details'!D122</f>
        <v>Dec</v>
      </c>
      <c r="D367" s="1">
        <v>2017</v>
      </c>
      <c r="E367" s="2" t="str">
        <f>'TFC Details'!E122</f>
        <v>Facility Fee</v>
      </c>
      <c r="F367" s="5" t="str">
        <f>'TFC Details'!F122</f>
        <v>Me</v>
      </c>
      <c r="G367" s="5">
        <f>'TFC Details'!L122</f>
        <v>720</v>
      </c>
      <c r="H367" s="5">
        <f>'TFC Details'!I122</f>
        <v>0</v>
      </c>
      <c r="I367" s="5">
        <f>'TFC Details'!J250</f>
        <v>0</v>
      </c>
    </row>
    <row r="368" spans="1:9">
      <c r="A368" s="1" t="str">
        <f>'TFC Details'!A123</f>
        <v>TFC</v>
      </c>
      <c r="B368" s="2">
        <f>'TFC Details'!B123</f>
        <v>43080</v>
      </c>
      <c r="C368" s="2" t="str">
        <f>'TFC Details'!D123</f>
        <v>Dec</v>
      </c>
      <c r="D368" s="1">
        <v>2017</v>
      </c>
      <c r="E368" s="2" t="str">
        <f>'TFC Details'!E123</f>
        <v>GST @ 7%</v>
      </c>
      <c r="F368" s="5" t="str">
        <f>'TFC Details'!F123</f>
        <v>Me</v>
      </c>
      <c r="G368" s="5">
        <f>'TFC Details'!L123</f>
        <v>722.40000000000009</v>
      </c>
      <c r="H368" s="5" t="str">
        <f>'TFC Details'!I123</f>
        <v>GST</v>
      </c>
      <c r="I368" s="5">
        <f>'TFC Details'!J251</f>
        <v>0</v>
      </c>
    </row>
    <row r="369" spans="1:9">
      <c r="A369" s="1" t="str">
        <f>'TFC Details'!A124</f>
        <v>TMC</v>
      </c>
      <c r="B369" s="2">
        <f>'TFC Details'!B124</f>
        <v>43104</v>
      </c>
      <c r="C369" s="2" t="str">
        <f>'TFC Details'!D124</f>
        <v>Jan</v>
      </c>
      <c r="D369" s="1">
        <v>2018</v>
      </c>
      <c r="E369" s="2" t="str">
        <f>'TFC Details'!E124</f>
        <v>D&amp;C/ Hysteroscopy</v>
      </c>
      <c r="F369" s="5" t="str">
        <f>'TFC Details'!F124</f>
        <v>Me</v>
      </c>
      <c r="G369" s="5">
        <f>'TFC Details'!L124</f>
        <v>62160</v>
      </c>
      <c r="H369" s="5" t="str">
        <f>'TFC Details'!I124</f>
        <v>Hosp number - 62-03-00184-2018</v>
      </c>
      <c r="I369" s="5">
        <f>'TFC Details'!J252</f>
        <v>0</v>
      </c>
    </row>
    <row r="370" spans="1:9">
      <c r="A370" s="1" t="str">
        <f>'TFC Details'!A125</f>
        <v>TMC</v>
      </c>
      <c r="B370" s="2">
        <f>'TFC Details'!B125</f>
        <v>43104</v>
      </c>
      <c r="C370" s="2" t="str">
        <f>'TFC Details'!D125</f>
        <v>Jan</v>
      </c>
      <c r="D370" s="1">
        <v>2018</v>
      </c>
      <c r="E370" s="2" t="str">
        <f>'TFC Details'!E125</f>
        <v>D&amp;C/ Hysteroscopy</v>
      </c>
      <c r="F370" s="5" t="str">
        <f>'TFC Details'!F125</f>
        <v>Me</v>
      </c>
      <c r="G370" s="5">
        <f>'TFC Details'!L125</f>
        <v>310.08</v>
      </c>
      <c r="H370" s="5">
        <f>'TFC Details'!I125</f>
        <v>0</v>
      </c>
      <c r="I370" s="5">
        <f>'TFC Details'!J253</f>
        <v>0</v>
      </c>
    </row>
    <row r="371" spans="1:9">
      <c r="A371" s="1" t="str">
        <f>'TFC Details'!A126</f>
        <v>TMC</v>
      </c>
      <c r="B371" s="2">
        <f>'TFC Details'!B126</f>
        <v>43104</v>
      </c>
      <c r="C371" s="2" t="str">
        <f>'TFC Details'!D126</f>
        <v>Jan</v>
      </c>
      <c r="D371" s="1">
        <v>2018</v>
      </c>
      <c r="E371" s="2" t="str">
        <f>'TFC Details'!E126</f>
        <v>D&amp;C/ Hysteroscopy</v>
      </c>
      <c r="F371" s="5" t="str">
        <f>'TFC Details'!F126</f>
        <v>Me</v>
      </c>
      <c r="G371" s="5">
        <f>'TFC Details'!L126</f>
        <v>1200</v>
      </c>
      <c r="H371" s="5">
        <f>'TFC Details'!I126</f>
        <v>0</v>
      </c>
      <c r="I371" s="5">
        <f>'TFC Details'!J254</f>
        <v>0</v>
      </c>
    </row>
    <row r="372" spans="1:9">
      <c r="A372" s="1" t="str">
        <f>'TFC Details'!A127</f>
        <v>TMC</v>
      </c>
      <c r="B372" s="2">
        <f>'TFC Details'!B127</f>
        <v>43104</v>
      </c>
      <c r="C372" s="2" t="str">
        <f>'TFC Details'!D127</f>
        <v>Jan</v>
      </c>
      <c r="D372" s="1">
        <v>2018</v>
      </c>
      <c r="E372" s="2" t="str">
        <f>'TFC Details'!E127</f>
        <v>D&amp;C/ Hysteroscopy</v>
      </c>
      <c r="F372" s="5" t="str">
        <f>'TFC Details'!F127</f>
        <v>Me</v>
      </c>
      <c r="G372" s="5">
        <f>'TFC Details'!L127</f>
        <v>3974.3999999999996</v>
      </c>
      <c r="H372" s="5">
        <f>'TFC Details'!I127</f>
        <v>0</v>
      </c>
      <c r="I372" s="5">
        <f>'TFC Details'!J255</f>
        <v>0</v>
      </c>
    </row>
    <row r="373" spans="1:9">
      <c r="A373" s="1" t="str">
        <f>'TFC Details'!A128</f>
        <v>TMC</v>
      </c>
      <c r="B373" s="2">
        <f>'TFC Details'!B128</f>
        <v>43104</v>
      </c>
      <c r="C373" s="2" t="str">
        <f>'TFC Details'!D128</f>
        <v>Jan</v>
      </c>
      <c r="D373" s="1">
        <v>2018</v>
      </c>
      <c r="E373" s="2" t="str">
        <f>'TFC Details'!E128</f>
        <v>D&amp;C/ Hysteroscopy</v>
      </c>
      <c r="F373" s="5" t="str">
        <f>'TFC Details'!F128</f>
        <v>Me</v>
      </c>
      <c r="G373" s="5">
        <f>'TFC Details'!L128</f>
        <v>864</v>
      </c>
      <c r="H373" s="5" t="str">
        <f>'TFC Details'!I128</f>
        <v>Normal saline 1000ml</v>
      </c>
      <c r="I373" s="5">
        <f>'TFC Details'!J256</f>
        <v>0</v>
      </c>
    </row>
    <row r="374" spans="1:9">
      <c r="A374" s="1" t="str">
        <f>'TFC Details'!A129</f>
        <v>TMC</v>
      </c>
      <c r="B374" s="2">
        <f>'TFC Details'!B129</f>
        <v>43104</v>
      </c>
      <c r="C374" s="2" t="str">
        <f>'TFC Details'!D129</f>
        <v>Jan</v>
      </c>
      <c r="D374" s="1">
        <v>2018</v>
      </c>
      <c r="E374" s="2" t="str">
        <f>'TFC Details'!E129</f>
        <v>D&amp;C/ Hysteroscopy</v>
      </c>
      <c r="F374" s="5" t="str">
        <f>'TFC Details'!F129</f>
        <v>Me</v>
      </c>
      <c r="G374" s="5">
        <f>'TFC Details'!L129</f>
        <v>144</v>
      </c>
      <c r="H374" s="5" t="str">
        <f>'TFC Details'!I129</f>
        <v>Disposable panties</v>
      </c>
      <c r="I374" s="5">
        <f>'TFC Details'!J257</f>
        <v>0</v>
      </c>
    </row>
    <row r="375" spans="1:9">
      <c r="A375" s="1" t="str">
        <f>'TFC Details'!A130</f>
        <v>TMC</v>
      </c>
      <c r="B375" s="2">
        <f>'TFC Details'!B130</f>
        <v>43104</v>
      </c>
      <c r="C375" s="2" t="str">
        <f>'TFC Details'!D130</f>
        <v>Jan</v>
      </c>
      <c r="D375" s="1">
        <v>2018</v>
      </c>
      <c r="E375" s="2" t="str">
        <f>'TFC Details'!E130</f>
        <v>D&amp;C/ Hysteroscopy</v>
      </c>
      <c r="F375" s="5" t="str">
        <f>'TFC Details'!F130</f>
        <v>Me</v>
      </c>
      <c r="G375" s="5">
        <f>'TFC Details'!L130</f>
        <v>398.40000000000003</v>
      </c>
      <c r="H375" s="5" t="str">
        <f>'TFC Details'!I130</f>
        <v>Surgical gloves</v>
      </c>
      <c r="I375" s="5">
        <f>'TFC Details'!J258</f>
        <v>0</v>
      </c>
    </row>
    <row r="376" spans="1:9">
      <c r="A376" s="1" t="str">
        <f>'TFC Details'!A131</f>
        <v>TMC</v>
      </c>
      <c r="B376" s="2">
        <f>'TFC Details'!B131</f>
        <v>43104</v>
      </c>
      <c r="C376" s="2" t="str">
        <f>'TFC Details'!D131</f>
        <v>Jan</v>
      </c>
      <c r="D376" s="1">
        <v>2018</v>
      </c>
      <c r="E376" s="2" t="str">
        <f>'TFC Details'!E131</f>
        <v>D&amp;C/ Hysteroscopy</v>
      </c>
      <c r="F376" s="5" t="str">
        <f>'TFC Details'!F131</f>
        <v>Me</v>
      </c>
      <c r="G376" s="5">
        <f>'TFC Details'!L131</f>
        <v>3648</v>
      </c>
      <c r="H376" s="5" t="str">
        <f>'TFC Details'!I131</f>
        <v>Instrument set</v>
      </c>
      <c r="I376" s="5">
        <f>'TFC Details'!J259</f>
        <v>0</v>
      </c>
    </row>
    <row r="377" spans="1:9">
      <c r="A377" s="1" t="str">
        <f>'TFC Details'!A132</f>
        <v>TMC</v>
      </c>
      <c r="B377" s="2">
        <f>'TFC Details'!B132</f>
        <v>43104</v>
      </c>
      <c r="C377" s="2" t="str">
        <f>'TFC Details'!D132</f>
        <v>Jan</v>
      </c>
      <c r="D377" s="1">
        <v>2018</v>
      </c>
      <c r="E377" s="2" t="str">
        <f>'TFC Details'!E132</f>
        <v>D&amp;C/ Hysteroscopy</v>
      </c>
      <c r="F377" s="5" t="str">
        <f>'TFC Details'!F132</f>
        <v>Me</v>
      </c>
      <c r="G377" s="5">
        <f>'TFC Details'!L132</f>
        <v>1704</v>
      </c>
      <c r="H377" s="5" t="str">
        <f>'TFC Details'!I132</f>
        <v>Urigation set</v>
      </c>
      <c r="I377" s="5">
        <f>'TFC Details'!J260</f>
        <v>0</v>
      </c>
    </row>
    <row r="378" spans="1:9">
      <c r="A378" s="1" t="str">
        <f>'TFC Details'!A133</f>
        <v>TMC</v>
      </c>
      <c r="B378" s="2">
        <f>'TFC Details'!B133</f>
        <v>43104</v>
      </c>
      <c r="C378" s="2" t="str">
        <f>'TFC Details'!D133</f>
        <v>Jan</v>
      </c>
      <c r="D378" s="1">
        <v>2018</v>
      </c>
      <c r="E378" s="2" t="str">
        <f>'TFC Details'!E133</f>
        <v>D&amp;C/ Hysteroscopy</v>
      </c>
      <c r="F378" s="5" t="str">
        <f>'TFC Details'!F133</f>
        <v>Me</v>
      </c>
      <c r="G378" s="5">
        <f>'TFC Details'!L133</f>
        <v>508.79999999999995</v>
      </c>
      <c r="H378" s="5" t="str">
        <f>'TFC Details'!I133</f>
        <v>Video printout</v>
      </c>
      <c r="I378" s="5">
        <f>'TFC Details'!J261</f>
        <v>0</v>
      </c>
    </row>
    <row r="379" spans="1:9">
      <c r="A379" s="1" t="str">
        <f>'TFC Details'!A134</f>
        <v>TMC</v>
      </c>
      <c r="B379" s="2">
        <f>'TFC Details'!B134</f>
        <v>43104</v>
      </c>
      <c r="C379" s="2" t="str">
        <f>'TFC Details'!D134</f>
        <v>Jan</v>
      </c>
      <c r="D379" s="1">
        <v>2018</v>
      </c>
      <c r="E379" s="2" t="str">
        <f>'TFC Details'!E134</f>
        <v>D&amp;C/ Hysteroscopy</v>
      </c>
      <c r="F379" s="5" t="str">
        <f>'TFC Details'!F134</f>
        <v>Me</v>
      </c>
      <c r="G379" s="5">
        <f>'TFC Details'!L134</f>
        <v>5760</v>
      </c>
      <c r="H379" s="5" t="str">
        <f>'TFC Details'!I134</f>
        <v>Histology - Lab fees</v>
      </c>
      <c r="I379" s="5">
        <f>'TFC Details'!J262</f>
        <v>0</v>
      </c>
    </row>
    <row r="380" spans="1:9">
      <c r="A380" s="1" t="str">
        <f>'TFC Details'!A135</f>
        <v>TMC</v>
      </c>
      <c r="B380" s="2">
        <f>'TFC Details'!B135</f>
        <v>43104</v>
      </c>
      <c r="C380" s="2" t="str">
        <f>'TFC Details'!D135</f>
        <v>Jan</v>
      </c>
      <c r="D380" s="1">
        <v>2018</v>
      </c>
      <c r="E380" s="2" t="str">
        <f>'TFC Details'!E135</f>
        <v>D&amp;C/ Hysteroscopy</v>
      </c>
      <c r="F380" s="5" t="str">
        <f>'TFC Details'!F135</f>
        <v>Me</v>
      </c>
      <c r="G380" s="5">
        <f>'TFC Details'!L135</f>
        <v>1680</v>
      </c>
      <c r="H380" s="5" t="str">
        <f>'TFC Details'!I135</f>
        <v>Admission procedure</v>
      </c>
      <c r="I380" s="5">
        <f>'TFC Details'!J263</f>
        <v>0</v>
      </c>
    </row>
    <row r="381" spans="1:9">
      <c r="A381" s="1" t="str">
        <f>'TFC Details'!A136</f>
        <v>TMC</v>
      </c>
      <c r="B381" s="2">
        <f>'TFC Details'!B136</f>
        <v>43104</v>
      </c>
      <c r="C381" s="2" t="str">
        <f>'TFC Details'!D136</f>
        <v>Jan</v>
      </c>
      <c r="D381" s="1">
        <v>2018</v>
      </c>
      <c r="E381" s="2" t="str">
        <f>'TFC Details'!E136</f>
        <v>GST @ 7%</v>
      </c>
      <c r="F381" s="5" t="str">
        <f>'TFC Details'!F136</f>
        <v>Me</v>
      </c>
      <c r="G381" s="5">
        <f>'TFC Details'!L136</f>
        <v>5743.2000000000007</v>
      </c>
      <c r="H381" s="5">
        <f>'TFC Details'!I136</f>
        <v>0</v>
      </c>
      <c r="I381" s="5">
        <f>'TFC Details'!J264</f>
        <v>0</v>
      </c>
    </row>
    <row r="382" spans="1:9">
      <c r="A382" s="1" t="str">
        <f>'TFC Details'!A137</f>
        <v>TMC</v>
      </c>
      <c r="B382" s="2">
        <f>'TFC Details'!B137</f>
        <v>43104</v>
      </c>
      <c r="C382" s="2" t="str">
        <f>'TFC Details'!D137</f>
        <v>Jan</v>
      </c>
      <c r="D382" s="1">
        <v>2018</v>
      </c>
      <c r="E382" s="2" t="str">
        <f>'TFC Details'!E137</f>
        <v>D&amp;C/ Hysteroscopy - Loh fees</v>
      </c>
      <c r="F382" s="5" t="str">
        <f>'TFC Details'!F137</f>
        <v>Me</v>
      </c>
      <c r="G382" s="5">
        <f>'TFC Details'!L137</f>
        <v>15408</v>
      </c>
      <c r="H382" s="5" t="str">
        <f>'TFC Details'!I137</f>
        <v>Doctors fee - Dr Loh Seong Feei - attendance</v>
      </c>
      <c r="I382" s="5">
        <f>'TFC Details'!J265</f>
        <v>0</v>
      </c>
    </row>
    <row r="383" spans="1:9">
      <c r="A383" s="1" t="str">
        <f>'TFC Details'!A138</f>
        <v>TMC</v>
      </c>
      <c r="B383" s="2">
        <f>'TFC Details'!B138</f>
        <v>43104</v>
      </c>
      <c r="C383" s="2" t="str">
        <f>'TFC Details'!D138</f>
        <v>Jan</v>
      </c>
      <c r="D383" s="1">
        <v>2018</v>
      </c>
      <c r="E383" s="2" t="str">
        <f>'TFC Details'!E138</f>
        <v>D&amp;C/ Hysteroscopy - Loh fees</v>
      </c>
      <c r="F383" s="5" t="str">
        <f>'TFC Details'!F138</f>
        <v>Me</v>
      </c>
      <c r="G383" s="5">
        <f>'TFC Details'!L138</f>
        <v>143808</v>
      </c>
      <c r="H383" s="5" t="str">
        <f>'TFC Details'!I138</f>
        <v>Doctors fee - Dr Loh Seong Feei - operation fee</v>
      </c>
      <c r="I383" s="5">
        <f>'TFC Details'!J266</f>
        <v>0</v>
      </c>
    </row>
    <row r="384" spans="1:9">
      <c r="A384" s="1" t="str">
        <f>'TFC Details'!A139</f>
        <v>TMC</v>
      </c>
      <c r="B384" s="2">
        <f>'TFC Details'!B139</f>
        <v>43104</v>
      </c>
      <c r="C384" s="2" t="str">
        <f>'TFC Details'!D139</f>
        <v>Jan</v>
      </c>
      <c r="D384" s="1">
        <v>2018</v>
      </c>
      <c r="E384" s="2" t="str">
        <f>'TFC Details'!E139</f>
        <v>D&amp;C/ Hysteroscopy - Loo fees</v>
      </c>
      <c r="F384" s="5" t="str">
        <f>'TFC Details'!F139</f>
        <v>Me</v>
      </c>
      <c r="G384" s="5">
        <f>'TFC Details'!L139</f>
        <v>35952</v>
      </c>
      <c r="H384" s="5" t="str">
        <f>'TFC Details'!I139</f>
        <v>Doctors fee - Dr Loo Chee Chuen - operation fee</v>
      </c>
      <c r="I384" s="5">
        <f>'TFC Details'!J267</f>
        <v>0</v>
      </c>
    </row>
    <row r="385" spans="1:9">
      <c r="A385" s="1" t="str">
        <f>'TFC Details'!A140</f>
        <v>TMC</v>
      </c>
      <c r="B385" s="2">
        <f>'TFC Details'!B140</f>
        <v>43136</v>
      </c>
      <c r="C385" s="2" t="str">
        <f>'TFC Details'!D140</f>
        <v>Feb</v>
      </c>
      <c r="D385" s="1">
        <v>2018</v>
      </c>
      <c r="E385" s="2" t="str">
        <f>'TFC Details'!E140</f>
        <v>Consult</v>
      </c>
      <c r="F385" s="5" t="str">
        <f>'TFC Details'!F140</f>
        <v>Me</v>
      </c>
      <c r="G385" s="5">
        <f>'TFC Details'!L140</f>
        <v>4320</v>
      </c>
      <c r="H385" s="5" t="str">
        <f>'TFC Details'!I140</f>
        <v>Dr Loh Seong Feei</v>
      </c>
      <c r="I385" s="5">
        <f>'TFC Details'!J268</f>
        <v>0</v>
      </c>
    </row>
    <row r="386" spans="1:9">
      <c r="A386" s="1" t="str">
        <f>'TFC Details'!A141</f>
        <v>TMC</v>
      </c>
      <c r="B386" s="2">
        <f>'TFC Details'!B141</f>
        <v>43136</v>
      </c>
      <c r="C386" s="2" t="str">
        <f>'TFC Details'!D141</f>
        <v>Feb</v>
      </c>
      <c r="D386" s="1">
        <v>2018</v>
      </c>
      <c r="E386" s="2" t="str">
        <f>'TFC Details'!E141</f>
        <v>Medicine</v>
      </c>
      <c r="F386" s="5" t="str">
        <f>'TFC Details'!F141</f>
        <v>Me</v>
      </c>
      <c r="G386" s="5">
        <f>'TFC Details'!L141</f>
        <v>2880</v>
      </c>
      <c r="H386" s="5" t="str">
        <f>'TFC Details'!I141</f>
        <v xml:space="preserve">Progesteron </v>
      </c>
      <c r="I386" s="5">
        <f>'TFC Details'!J269</f>
        <v>0</v>
      </c>
    </row>
    <row r="387" spans="1:9">
      <c r="A387" s="1" t="str">
        <f>'TFC Details'!A142</f>
        <v>TMC</v>
      </c>
      <c r="B387" s="2">
        <f>'TFC Details'!B142</f>
        <v>43136</v>
      </c>
      <c r="C387" s="2" t="str">
        <f>'TFC Details'!D142</f>
        <v>Feb</v>
      </c>
      <c r="D387" s="1">
        <v>2018</v>
      </c>
      <c r="E387" s="2" t="str">
        <f>'TFC Details'!E142</f>
        <v>Blood test</v>
      </c>
      <c r="F387" s="5" t="str">
        <f>'TFC Details'!F142</f>
        <v>Me</v>
      </c>
      <c r="G387" s="5">
        <f>'TFC Details'!L142</f>
        <v>9600</v>
      </c>
      <c r="H387" s="5" t="str">
        <f>'TFC Details'!I142</f>
        <v>HIV blood test for both of us</v>
      </c>
      <c r="I387" s="5">
        <f>'TFC Details'!J270</f>
        <v>0</v>
      </c>
    </row>
    <row r="388" spans="1:9">
      <c r="A388" s="1" t="str">
        <f>'TFC Details'!A143</f>
        <v>TMC</v>
      </c>
      <c r="B388" s="2">
        <f>'TFC Details'!B143</f>
        <v>43136</v>
      </c>
      <c r="C388" s="2" t="str">
        <f>'TFC Details'!D143</f>
        <v>Feb</v>
      </c>
      <c r="D388" s="1">
        <v>2018</v>
      </c>
      <c r="E388" s="2" t="str">
        <f>'TFC Details'!E143</f>
        <v>GST @ 7%</v>
      </c>
      <c r="F388" s="5" t="str">
        <f>'TFC Details'!F143</f>
        <v>Me</v>
      </c>
      <c r="G388" s="5">
        <f>'TFC Details'!L143</f>
        <v>1176.0000000000002</v>
      </c>
      <c r="H388" s="5">
        <f>'TFC Details'!I143</f>
        <v>350.00000000000006</v>
      </c>
      <c r="I388" s="5">
        <f>'TFC Details'!J271</f>
        <v>0</v>
      </c>
    </row>
    <row r="389" spans="1:9">
      <c r="A389" s="1" t="str">
        <f>'TFC Details'!A144</f>
        <v>TMC</v>
      </c>
      <c r="B389" s="2">
        <f>'TFC Details'!B144</f>
        <v>43164</v>
      </c>
      <c r="C389" s="2" t="str">
        <f>'TFC Details'!D144</f>
        <v>Mar</v>
      </c>
      <c r="D389" s="1">
        <v>2018</v>
      </c>
      <c r="E389" s="2" t="str">
        <f>'TFC Details'!E144</f>
        <v xml:space="preserve">THE O&amp;G SPECIALIST CLINICSINGAPORE </v>
      </c>
      <c r="F389" s="5" t="str">
        <f>'TFC Details'!F144</f>
        <v>Me</v>
      </c>
      <c r="G389" s="5">
        <f>'TFC Details'!L144</f>
        <v>11654.611200000001</v>
      </c>
      <c r="H389" s="5" t="str">
        <f>'TFC Details'!I144</f>
        <v>rescan?</v>
      </c>
      <c r="I389" s="5">
        <f>'TFC Details'!J272</f>
        <v>0</v>
      </c>
    </row>
    <row r="390" spans="1:9">
      <c r="A390" s="1" t="str">
        <f>'TFC Details'!A145</f>
        <v>TMC</v>
      </c>
      <c r="B390" s="2">
        <f>'TFC Details'!B145</f>
        <v>43164</v>
      </c>
      <c r="C390" s="2" t="str">
        <f>'TFC Details'!D145</f>
        <v>Mar</v>
      </c>
      <c r="D390" s="1">
        <v>2018</v>
      </c>
      <c r="E390" s="2" t="str">
        <f>'TFC Details'!E145</f>
        <v>GST @ 7%</v>
      </c>
      <c r="F390" s="5" t="str">
        <f>'TFC Details'!F145</f>
        <v>Me</v>
      </c>
      <c r="G390" s="5">
        <f>'TFC Details'!L145</f>
        <v>877.22880000000009</v>
      </c>
      <c r="H390" s="5">
        <f>'TFC Details'!I145</f>
        <v>0</v>
      </c>
      <c r="I390" s="5">
        <f>'TFC Details'!J273</f>
        <v>0</v>
      </c>
    </row>
    <row r="391" spans="1:9">
      <c r="A391" s="1" t="str">
        <f>'TFC Details'!A146</f>
        <v>TMC</v>
      </c>
      <c r="B391" s="2">
        <f>'TFC Details'!B146</f>
        <v>43164</v>
      </c>
      <c r="C391" s="2" t="str">
        <f>'TFC Details'!D146</f>
        <v>Mar</v>
      </c>
      <c r="D391" s="1">
        <v>2018</v>
      </c>
      <c r="E391" s="2" t="str">
        <f>'TFC Details'!E146</f>
        <v xml:space="preserve">TMC - RETAIL PHARMACY SINGAPORE SG </v>
      </c>
      <c r="F391" s="5" t="str">
        <f>'TFC Details'!F146</f>
        <v>Me</v>
      </c>
      <c r="G391" s="5">
        <f>'TFC Details'!L146</f>
        <v>687.45600000000002</v>
      </c>
      <c r="H391" s="5" t="str">
        <f>'TFC Details'!I146</f>
        <v>medicine</v>
      </c>
      <c r="I391" s="5">
        <f>'TFC Details'!J274</f>
        <v>0</v>
      </c>
    </row>
    <row r="392" spans="1:9">
      <c r="A392" s="1" t="str">
        <f>'TFC Details'!A147</f>
        <v>TMC</v>
      </c>
      <c r="B392" s="2">
        <f>'TFC Details'!B147</f>
        <v>43164</v>
      </c>
      <c r="C392" s="2" t="str">
        <f>'TFC Details'!D147</f>
        <v>Mar</v>
      </c>
      <c r="D392" s="1">
        <v>2018</v>
      </c>
      <c r="E392" s="2" t="str">
        <f>'TFC Details'!E147</f>
        <v>GST @ 7%</v>
      </c>
      <c r="F392" s="5" t="str">
        <f>'TFC Details'!F147</f>
        <v>Me</v>
      </c>
      <c r="G392" s="5">
        <f>'TFC Details'!L147</f>
        <v>51.744</v>
      </c>
      <c r="H392" s="5">
        <f>'TFC Details'!I147</f>
        <v>0</v>
      </c>
      <c r="I392" s="5">
        <f>'TFC Details'!J275</f>
        <v>0</v>
      </c>
    </row>
    <row r="393" spans="1:9">
      <c r="A393" s="1" t="str">
        <f>'TFC Details'!A148</f>
        <v>TFC</v>
      </c>
      <c r="B393" s="2">
        <f>'TFC Details'!B148</f>
        <v>43167</v>
      </c>
      <c r="C393" s="2" t="str">
        <f>'TFC Details'!D148</f>
        <v>Mar</v>
      </c>
      <c r="D393" s="1">
        <v>2018</v>
      </c>
      <c r="E393" s="2" t="str">
        <f>'TFC Details'!E148</f>
        <v xml:space="preserve">THOMSON FERTILITY CENTRE SINGAPORE </v>
      </c>
      <c r="F393" s="5" t="str">
        <f>'TFC Details'!F148</f>
        <v>Me</v>
      </c>
      <c r="G393" s="5">
        <f>'TFC Details'!L148</f>
        <v>130645.65600000003</v>
      </c>
      <c r="H393" s="5" t="str">
        <f>'TFC Details'!I148</f>
        <v>FET - 2 embryos. Ammamma passed on 22 Mar. collapsed on 19 mar</v>
      </c>
      <c r="I393" s="5">
        <f>'TFC Details'!J276</f>
        <v>0</v>
      </c>
    </row>
    <row r="394" spans="1:9">
      <c r="A394" s="1" t="str">
        <f>'TFC Details'!A149</f>
        <v>TFC</v>
      </c>
      <c r="B394" s="2">
        <f>'TFC Details'!B149</f>
        <v>43167</v>
      </c>
      <c r="C394" s="2" t="str">
        <f>'TFC Details'!D149</f>
        <v>Mar</v>
      </c>
      <c r="D394" s="1">
        <v>2018</v>
      </c>
      <c r="E394" s="2" t="str">
        <f>'TFC Details'!E149</f>
        <v>GST @ 7%</v>
      </c>
      <c r="F394" s="5" t="str">
        <f>'TFC Details'!F149</f>
        <v>Me</v>
      </c>
      <c r="G394" s="5">
        <f>'TFC Details'!L149</f>
        <v>9833.5440000000017</v>
      </c>
      <c r="H394" s="5">
        <f>'TFC Details'!I149</f>
        <v>0</v>
      </c>
      <c r="I394" s="5">
        <f>'TFC Details'!J277</f>
        <v>0</v>
      </c>
    </row>
    <row r="395" spans="1:9">
      <c r="A395" s="1" t="str">
        <f>'TFC Details'!A150</f>
        <v>TFC</v>
      </c>
      <c r="B395" s="2">
        <f>'TFC Details'!B150</f>
        <v>43187</v>
      </c>
      <c r="C395" s="2" t="str">
        <f>'TFC Details'!D150</f>
        <v>Mar</v>
      </c>
      <c r="D395" s="1">
        <v>2018</v>
      </c>
      <c r="E395" s="2" t="str">
        <f>'TFC Details'!E150</f>
        <v xml:space="preserve">THOMSON FERTILITY CENTRE SINGAPORE </v>
      </c>
      <c r="F395" s="5" t="str">
        <f>'TFC Details'!F150</f>
        <v>Me</v>
      </c>
      <c r="G395" s="5">
        <f>'TFC Details'!L150</f>
        <v>1872.6480000000004</v>
      </c>
      <c r="H395" s="5">
        <f>'TFC Details'!I150</f>
        <v>0</v>
      </c>
      <c r="I395" s="5">
        <f>'TFC Details'!J278</f>
        <v>0</v>
      </c>
    </row>
    <row r="396" spans="1:9">
      <c r="A396" s="1" t="str">
        <f>'TFC Details'!A151</f>
        <v>TFC</v>
      </c>
      <c r="B396" s="2">
        <f>'TFC Details'!B151</f>
        <v>43187</v>
      </c>
      <c r="C396" s="2" t="str">
        <f>'TFC Details'!D151</f>
        <v>Mar</v>
      </c>
      <c r="D396" s="1">
        <v>2018</v>
      </c>
      <c r="E396" s="2" t="str">
        <f>'TFC Details'!E151</f>
        <v>GST @ 7%</v>
      </c>
      <c r="F396" s="5" t="str">
        <f>'TFC Details'!F151</f>
        <v>Me</v>
      </c>
      <c r="G396" s="5">
        <f>'TFC Details'!L151</f>
        <v>140.95200000000003</v>
      </c>
      <c r="H396" s="5">
        <f>'TFC Details'!I151</f>
        <v>0</v>
      </c>
      <c r="I396" s="5">
        <f>'TFC Details'!J279</f>
        <v>0</v>
      </c>
    </row>
    <row r="397" spans="1:9">
      <c r="A397" s="1" t="str">
        <f>'TFC Details'!A152</f>
        <v>TMC</v>
      </c>
      <c r="B397" s="2">
        <f>'TFC Details'!B152</f>
        <v>43197</v>
      </c>
      <c r="C397" s="2" t="str">
        <f>'TFC Details'!D152</f>
        <v>Apr</v>
      </c>
      <c r="D397" s="1">
        <v>2018</v>
      </c>
      <c r="E397" s="2" t="str">
        <f>'TFC Details'!E152</f>
        <v xml:space="preserve">THE O&amp;G SPECIALIST CLINICSINGAPORE </v>
      </c>
      <c r="F397" s="5" t="str">
        <f>'TFC Details'!F152</f>
        <v>Me</v>
      </c>
      <c r="G397" s="5">
        <f>'TFC Details'!L152</f>
        <v>10508.256000000001</v>
      </c>
      <c r="H397" s="5">
        <f>'TFC Details'!I152</f>
        <v>0</v>
      </c>
      <c r="I397" s="5">
        <f>'TFC Details'!J280</f>
        <v>0</v>
      </c>
    </row>
    <row r="398" spans="1:9">
      <c r="A398" s="1" t="str">
        <f>'TFC Details'!A153</f>
        <v>TMC</v>
      </c>
      <c r="B398" s="2">
        <f>'TFC Details'!B153</f>
        <v>43197</v>
      </c>
      <c r="C398" s="2" t="str">
        <f>'TFC Details'!D153</f>
        <v>Apr</v>
      </c>
      <c r="D398" s="1">
        <v>2018</v>
      </c>
      <c r="E398" s="2" t="str">
        <f>'TFC Details'!E153</f>
        <v>GST @ 7%</v>
      </c>
      <c r="F398" s="5" t="str">
        <f>'TFC Details'!F153</f>
        <v>Me</v>
      </c>
      <c r="G398" s="5">
        <f>'TFC Details'!L153</f>
        <v>790.94400000000007</v>
      </c>
      <c r="H398" s="5">
        <f>'TFC Details'!I153</f>
        <v>0</v>
      </c>
      <c r="I398" s="5">
        <f>'TFC Details'!J281</f>
        <v>0</v>
      </c>
    </row>
    <row r="399" spans="1:9">
      <c r="A399" s="1" t="str">
        <f>'TFC Details'!A154</f>
        <v>TFC</v>
      </c>
      <c r="B399" s="2">
        <f>'TFC Details'!B154</f>
        <v>43197</v>
      </c>
      <c r="C399" s="2" t="str">
        <f>'TFC Details'!D154</f>
        <v>Apr</v>
      </c>
      <c r="D399" s="1">
        <v>2018</v>
      </c>
      <c r="E399" s="2" t="str">
        <f>'TFC Details'!E154</f>
        <v xml:space="preserve">THOMSON FERTILITY CENTRE SINGAPORE </v>
      </c>
      <c r="F399" s="5" t="str">
        <f>'TFC Details'!F154</f>
        <v>Me</v>
      </c>
      <c r="G399" s="5">
        <f>'TFC Details'!L154</f>
        <v>10269.432000000003</v>
      </c>
      <c r="H399" s="5" t="str">
        <f>'TFC Details'!I154</f>
        <v>scan</v>
      </c>
      <c r="I399" s="5">
        <f>'TFC Details'!J282</f>
        <v>0</v>
      </c>
    </row>
    <row r="400" spans="1:9">
      <c r="A400" s="1" t="str">
        <f>'TFC Details'!A155</f>
        <v>TFC</v>
      </c>
      <c r="B400" s="2">
        <f>'TFC Details'!B155</f>
        <v>43197</v>
      </c>
      <c r="C400" s="2" t="str">
        <f>'TFC Details'!D155</f>
        <v>Apr</v>
      </c>
      <c r="D400" s="1">
        <v>2018</v>
      </c>
      <c r="E400" s="2" t="str">
        <f>'TFC Details'!E155</f>
        <v>GST @ 7%</v>
      </c>
      <c r="F400" s="5" t="str">
        <f>'TFC Details'!F155</f>
        <v>Me</v>
      </c>
      <c r="G400" s="5">
        <f>'TFC Details'!L155</f>
        <v>772.96800000000019</v>
      </c>
      <c r="H400" s="5">
        <f>'TFC Details'!I155</f>
        <v>0</v>
      </c>
      <c r="I400" s="5">
        <f>'TFC Details'!J283</f>
        <v>0</v>
      </c>
    </row>
    <row r="401" spans="1:9">
      <c r="A401" s="1" t="str">
        <f>'TFC Details'!A156</f>
        <v>TFC</v>
      </c>
      <c r="B401" s="2">
        <f>'TFC Details'!B156</f>
        <v>43200</v>
      </c>
      <c r="C401" s="2" t="str">
        <f>'TFC Details'!D156</f>
        <v>Apr</v>
      </c>
      <c r="D401" s="1">
        <v>2018</v>
      </c>
      <c r="E401" s="2" t="str">
        <f>'TFC Details'!E156</f>
        <v xml:space="preserve">THOMSON FERTILITY CENTRE SINGAPORE </v>
      </c>
      <c r="F401" s="5" t="str">
        <f>'TFC Details'!F156</f>
        <v>Me</v>
      </c>
      <c r="G401" s="5">
        <f>'TFC Details'!L156</f>
        <v>122793.47999999998</v>
      </c>
      <c r="H401" s="5" t="str">
        <f>'TFC Details'!I156</f>
        <v>FET - 1 embryo. Achan passed on 19 Apr. To india that night</v>
      </c>
      <c r="I401" s="5">
        <f>'TFC Details'!J284</f>
        <v>0</v>
      </c>
    </row>
    <row r="402" spans="1:9">
      <c r="A402" s="1" t="str">
        <f>'TFC Details'!A157</f>
        <v>TFC</v>
      </c>
      <c r="B402" s="2">
        <f>'TFC Details'!B157</f>
        <v>43200</v>
      </c>
      <c r="C402" s="2" t="str">
        <f>'TFC Details'!D157</f>
        <v>Apr</v>
      </c>
      <c r="D402" s="1">
        <v>2018</v>
      </c>
      <c r="E402" s="2" t="str">
        <f>'TFC Details'!E157</f>
        <v>GST @ 7%</v>
      </c>
      <c r="F402" s="5" t="str">
        <f>'TFC Details'!F157</f>
        <v>Me</v>
      </c>
      <c r="G402" s="5">
        <f>'TFC Details'!L157</f>
        <v>9242.52</v>
      </c>
      <c r="H402" s="5">
        <f>'TFC Details'!I157</f>
        <v>0</v>
      </c>
      <c r="I402" s="5">
        <f>'TFC Details'!J285</f>
        <v>0</v>
      </c>
    </row>
    <row r="403" spans="1:9">
      <c r="A403" s="1" t="str">
        <f>'TFC Details'!A158</f>
        <v>TFC</v>
      </c>
      <c r="B403" s="2">
        <f>'TFC Details'!B158</f>
        <v>43738</v>
      </c>
      <c r="C403" s="2" t="str">
        <f>'TFC Details'!D158</f>
        <v>Sep</v>
      </c>
      <c r="D403" s="1">
        <f>YEAR(B403)</f>
        <v>2019</v>
      </c>
      <c r="E403" s="2" t="str">
        <f>'TFC Details'!E158</f>
        <v>Consult</v>
      </c>
      <c r="F403" s="5" t="str">
        <f>'TFC Details'!F158</f>
        <v>Me</v>
      </c>
      <c r="G403" s="5">
        <f>'TFC Details'!L158</f>
        <v>5100</v>
      </c>
      <c r="H403" s="5">
        <f>'TFC Details'!I158</f>
        <v>0</v>
      </c>
      <c r="I403" s="5">
        <f>'TFC Details'!J286</f>
        <v>0</v>
      </c>
    </row>
    <row r="404" spans="1:9">
      <c r="A404" s="1" t="str">
        <f>'TFC Details'!A159</f>
        <v>TFC</v>
      </c>
      <c r="B404" s="2">
        <f>'TFC Details'!B159</f>
        <v>43738</v>
      </c>
      <c r="C404" s="2" t="str">
        <f>'TFC Details'!D159</f>
        <v>Sep</v>
      </c>
      <c r="D404" s="1">
        <f t="shared" ref="D404:D428" si="0">YEAR(B404)</f>
        <v>2019</v>
      </c>
      <c r="E404" s="2" t="str">
        <f>'TFC Details'!E159</f>
        <v>Scan</v>
      </c>
      <c r="F404" s="5" t="str">
        <f>'TFC Details'!F159</f>
        <v>Me</v>
      </c>
      <c r="G404" s="5">
        <f>'TFC Details'!L159</f>
        <v>5100</v>
      </c>
      <c r="H404" s="5">
        <f>'TFC Details'!I159</f>
        <v>0</v>
      </c>
      <c r="I404" s="5">
        <f>'TFC Details'!J287</f>
        <v>0</v>
      </c>
    </row>
    <row r="405" spans="1:9">
      <c r="A405" s="1" t="str">
        <f>'TFC Details'!A160</f>
        <v>TFC</v>
      </c>
      <c r="B405" s="2">
        <f>'TFC Details'!B160</f>
        <v>43738</v>
      </c>
      <c r="C405" s="2" t="str">
        <f>'TFC Details'!D160</f>
        <v>Sep</v>
      </c>
      <c r="D405" s="1">
        <f t="shared" si="0"/>
        <v>2019</v>
      </c>
      <c r="E405" s="2" t="str">
        <f>'TFC Details'!E160</f>
        <v>Blood test</v>
      </c>
      <c r="F405" s="5" t="str">
        <f>'TFC Details'!F160</f>
        <v>Me</v>
      </c>
      <c r="G405" s="5">
        <f>'TFC Details'!L160</f>
        <v>13260</v>
      </c>
      <c r="H405" s="5">
        <f>'TFC Details'!I160</f>
        <v>0</v>
      </c>
      <c r="I405" s="5">
        <f>'TFC Details'!J288</f>
        <v>0</v>
      </c>
    </row>
    <row r="406" spans="1:9">
      <c r="A406" s="1" t="str">
        <f>'TFC Details'!A161</f>
        <v>TFC</v>
      </c>
      <c r="B406" s="2">
        <f>'TFC Details'!B161</f>
        <v>43738</v>
      </c>
      <c r="C406" s="2" t="str">
        <f>'TFC Details'!D161</f>
        <v>Sep</v>
      </c>
      <c r="D406" s="1">
        <f t="shared" si="0"/>
        <v>2019</v>
      </c>
      <c r="E406" s="2" t="str">
        <f>'TFC Details'!E161</f>
        <v>Facility Fee</v>
      </c>
      <c r="F406" s="5" t="str">
        <f>'TFC Details'!F161</f>
        <v>Me</v>
      </c>
      <c r="G406" s="5">
        <f>'TFC Details'!L161</f>
        <v>765</v>
      </c>
      <c r="H406" s="5">
        <f>'TFC Details'!I161</f>
        <v>0</v>
      </c>
      <c r="I406" s="5">
        <f>'TFC Details'!J289</f>
        <v>0</v>
      </c>
    </row>
    <row r="407" spans="1:9">
      <c r="A407" s="1" t="str">
        <f>'TFC Details'!A162</f>
        <v>TFC</v>
      </c>
      <c r="B407" s="2">
        <f>'TFC Details'!B162</f>
        <v>43738</v>
      </c>
      <c r="C407" s="2" t="str">
        <f>'TFC Details'!D162</f>
        <v>Sep</v>
      </c>
      <c r="D407" s="1">
        <f t="shared" si="0"/>
        <v>2019</v>
      </c>
      <c r="E407" s="2" t="str">
        <f>'TFC Details'!E162</f>
        <v>IVF Medicine</v>
      </c>
      <c r="F407" s="5" t="str">
        <f>'TFC Details'!F162</f>
        <v>Me</v>
      </c>
      <c r="G407" s="5">
        <f>'TFC Details'!L162</f>
        <v>40800</v>
      </c>
      <c r="H407" s="5">
        <f>'TFC Details'!I162</f>
        <v>0</v>
      </c>
      <c r="I407" s="5">
        <f>'TFC Details'!J290</f>
        <v>0</v>
      </c>
    </row>
    <row r="408" spans="1:9">
      <c r="A408" s="1" t="str">
        <f>'TFC Details'!A163</f>
        <v>TFC</v>
      </c>
      <c r="B408" s="2">
        <f>'TFC Details'!B163</f>
        <v>43738</v>
      </c>
      <c r="C408" s="2" t="str">
        <f>'TFC Details'!D163</f>
        <v>Sep</v>
      </c>
      <c r="D408" s="1">
        <f t="shared" si="0"/>
        <v>2019</v>
      </c>
      <c r="E408" s="2" t="str">
        <f>'TFC Details'!E163</f>
        <v>IVF Medicine</v>
      </c>
      <c r="F408" s="5" t="str">
        <f>'TFC Details'!F163</f>
        <v>Me</v>
      </c>
      <c r="G408" s="5">
        <f>'TFC Details'!L163</f>
        <v>51000</v>
      </c>
      <c r="H408" s="5">
        <f>'TFC Details'!I163</f>
        <v>0</v>
      </c>
      <c r="I408" s="5">
        <f>'TFC Details'!J291</f>
        <v>0</v>
      </c>
    </row>
    <row r="409" spans="1:9">
      <c r="A409" s="1" t="str">
        <f>'TFC Details'!A164</f>
        <v>TFC</v>
      </c>
      <c r="B409" s="2">
        <f>'TFC Details'!B164</f>
        <v>43738</v>
      </c>
      <c r="C409" s="2" t="str">
        <f>'TFC Details'!D164</f>
        <v>Sep</v>
      </c>
      <c r="D409" s="1">
        <f t="shared" si="0"/>
        <v>2019</v>
      </c>
      <c r="E409" s="2" t="str">
        <f>'TFC Details'!E164</f>
        <v>Medicine</v>
      </c>
      <c r="F409" s="5" t="str">
        <f>'TFC Details'!F164</f>
        <v>Me</v>
      </c>
      <c r="G409" s="5">
        <f>'TFC Details'!L164</f>
        <v>2001.75</v>
      </c>
      <c r="H409" s="5">
        <f>'TFC Details'!I164</f>
        <v>0</v>
      </c>
      <c r="I409" s="5">
        <f>'TFC Details'!J292</f>
        <v>0</v>
      </c>
    </row>
    <row r="410" spans="1:9">
      <c r="A410" s="1" t="str">
        <f>'TFC Details'!A165</f>
        <v>TFC</v>
      </c>
      <c r="B410" s="2">
        <f>'TFC Details'!B165</f>
        <v>43738</v>
      </c>
      <c r="C410" s="2" t="str">
        <f>'TFC Details'!D165</f>
        <v>Sep</v>
      </c>
      <c r="D410" s="1">
        <f t="shared" si="0"/>
        <v>2019</v>
      </c>
      <c r="E410" s="2" t="str">
        <f>'TFC Details'!E165</f>
        <v>GST @ 7%</v>
      </c>
      <c r="F410" s="5" t="str">
        <f>'TFC Details'!F165</f>
        <v>Me</v>
      </c>
      <c r="G410" s="5">
        <f>'TFC Details'!L165</f>
        <v>8262</v>
      </c>
      <c r="H410" s="5">
        <f>'TFC Details'!I165</f>
        <v>0</v>
      </c>
      <c r="I410" s="5">
        <f>'TFC Details'!J293</f>
        <v>0</v>
      </c>
    </row>
    <row r="411" spans="1:9">
      <c r="A411" s="1" t="str">
        <f>'TFC Details'!A166</f>
        <v>TFC</v>
      </c>
      <c r="B411" s="2">
        <f>'TFC Details'!B166</f>
        <v>43742</v>
      </c>
      <c r="C411" s="2" t="str">
        <f>'TFC Details'!D166</f>
        <v>Oct</v>
      </c>
      <c r="D411" s="1">
        <f t="shared" si="0"/>
        <v>2019</v>
      </c>
      <c r="E411" s="2" t="str">
        <f>'TFC Details'!E166</f>
        <v>Consult</v>
      </c>
      <c r="F411" s="5" t="str">
        <f>'TFC Details'!F166</f>
        <v>Me</v>
      </c>
      <c r="G411" s="5">
        <f>'TFC Details'!L166</f>
        <v>5100</v>
      </c>
      <c r="H411" s="5">
        <f>'TFC Details'!I166</f>
        <v>0</v>
      </c>
      <c r="I411" s="5">
        <f>'TFC Details'!J294</f>
        <v>0</v>
      </c>
    </row>
    <row r="412" spans="1:9">
      <c r="A412" s="1" t="str">
        <f>'TFC Details'!A167</f>
        <v>TFC</v>
      </c>
      <c r="B412" s="2">
        <f>'TFC Details'!B167</f>
        <v>43742</v>
      </c>
      <c r="C412" s="2" t="str">
        <f>'TFC Details'!D167</f>
        <v>Oct</v>
      </c>
      <c r="D412" s="1">
        <f t="shared" si="0"/>
        <v>2019</v>
      </c>
      <c r="E412" s="2" t="str">
        <f>'TFC Details'!E167</f>
        <v>Scan</v>
      </c>
      <c r="F412" s="5" t="str">
        <f>'TFC Details'!F167</f>
        <v>Me</v>
      </c>
      <c r="G412" s="5">
        <f>'TFC Details'!L167</f>
        <v>5100</v>
      </c>
      <c r="H412" s="5">
        <f>'TFC Details'!I167</f>
        <v>0</v>
      </c>
      <c r="I412" s="5">
        <f>'TFC Details'!J295</f>
        <v>0</v>
      </c>
    </row>
    <row r="413" spans="1:9">
      <c r="A413" s="1" t="str">
        <f>'TFC Details'!A168</f>
        <v>TFC</v>
      </c>
      <c r="B413" s="2">
        <f>'TFC Details'!B168</f>
        <v>43742</v>
      </c>
      <c r="C413" s="2" t="str">
        <f>'TFC Details'!D168</f>
        <v>Oct</v>
      </c>
      <c r="D413" s="1">
        <f t="shared" si="0"/>
        <v>2019</v>
      </c>
      <c r="E413" s="2" t="str">
        <f>'TFC Details'!E168</f>
        <v>Facility Fee</v>
      </c>
      <c r="F413" s="5" t="str">
        <f>'TFC Details'!F168</f>
        <v>Me</v>
      </c>
      <c r="G413" s="5">
        <f>'TFC Details'!L168</f>
        <v>765</v>
      </c>
      <c r="H413" s="5">
        <f>'TFC Details'!I168</f>
        <v>0</v>
      </c>
      <c r="I413" s="5">
        <f>'TFC Details'!J296</f>
        <v>0</v>
      </c>
    </row>
    <row r="414" spans="1:9">
      <c r="A414" s="1" t="str">
        <f>'TFC Details'!A169</f>
        <v>TFC</v>
      </c>
      <c r="B414" s="2">
        <f>'TFC Details'!B169</f>
        <v>43742</v>
      </c>
      <c r="C414" s="2" t="str">
        <f>'TFC Details'!D169</f>
        <v>Oct</v>
      </c>
      <c r="D414" s="1">
        <f t="shared" si="0"/>
        <v>2019</v>
      </c>
      <c r="E414" s="2" t="str">
        <f>'TFC Details'!E169</f>
        <v>IVF Medicine</v>
      </c>
      <c r="F414" s="5" t="str">
        <f>'TFC Details'!F169</f>
        <v>Me</v>
      </c>
      <c r="G414" s="5">
        <f>'TFC Details'!L169</f>
        <v>16432.2</v>
      </c>
      <c r="H414" s="5">
        <f>'TFC Details'!I169</f>
        <v>0</v>
      </c>
      <c r="I414" s="5">
        <f>'TFC Details'!J297</f>
        <v>0</v>
      </c>
    </row>
    <row r="415" spans="1:9">
      <c r="A415" s="1" t="str">
        <f>'TFC Details'!A170</f>
        <v>TFC</v>
      </c>
      <c r="B415" s="2">
        <f>'TFC Details'!B170</f>
        <v>43742</v>
      </c>
      <c r="C415" s="2" t="str">
        <f>'TFC Details'!D170</f>
        <v>Oct</v>
      </c>
      <c r="D415" s="1">
        <f t="shared" si="0"/>
        <v>2019</v>
      </c>
      <c r="E415" s="2" t="str">
        <f>'TFC Details'!E170</f>
        <v>IVF Medicine</v>
      </c>
      <c r="F415" s="5" t="str">
        <f>'TFC Details'!F170</f>
        <v>Me</v>
      </c>
      <c r="G415" s="5">
        <f>'TFC Details'!L170</f>
        <v>30600</v>
      </c>
      <c r="H415" s="5">
        <f>'TFC Details'!I170</f>
        <v>0</v>
      </c>
      <c r="I415" s="5">
        <f>'TFC Details'!J298</f>
        <v>0</v>
      </c>
    </row>
    <row r="416" spans="1:9">
      <c r="A416" s="1" t="str">
        <f>'TFC Details'!A171</f>
        <v>TFC</v>
      </c>
      <c r="B416" s="2">
        <f>'TFC Details'!B171</f>
        <v>43742</v>
      </c>
      <c r="C416" s="2" t="str">
        <f>'TFC Details'!D171</f>
        <v>Oct</v>
      </c>
      <c r="D416" s="1">
        <f t="shared" si="0"/>
        <v>2019</v>
      </c>
      <c r="E416" s="2" t="str">
        <f>'TFC Details'!E171</f>
        <v>IVF Medicine</v>
      </c>
      <c r="F416" s="5" t="str">
        <f>'TFC Details'!F171</f>
        <v>Me</v>
      </c>
      <c r="G416" s="5">
        <f>'TFC Details'!L171</f>
        <v>51000</v>
      </c>
      <c r="H416" s="5">
        <f>'TFC Details'!I171</f>
        <v>0</v>
      </c>
      <c r="I416" s="5">
        <f>'TFC Details'!J299</f>
        <v>0</v>
      </c>
    </row>
    <row r="417" spans="1:9">
      <c r="A417" s="1" t="str">
        <f>'TFC Details'!A172</f>
        <v>TFC</v>
      </c>
      <c r="B417" s="2">
        <f>'TFC Details'!B172</f>
        <v>43742</v>
      </c>
      <c r="C417" s="2" t="str">
        <f>'TFC Details'!D172</f>
        <v>Oct</v>
      </c>
      <c r="D417" s="1">
        <f t="shared" si="0"/>
        <v>2019</v>
      </c>
      <c r="E417" s="2" t="str">
        <f>'TFC Details'!E172</f>
        <v>GST @ 7%</v>
      </c>
      <c r="F417" s="5" t="str">
        <f>'TFC Details'!F172</f>
        <v>Me</v>
      </c>
      <c r="G417" s="5">
        <f>'TFC Details'!L172</f>
        <v>0</v>
      </c>
      <c r="H417" s="5">
        <f>'TFC Details'!I172</f>
        <v>0</v>
      </c>
      <c r="I417" s="5">
        <f>'TFC Details'!J300</f>
        <v>0</v>
      </c>
    </row>
    <row r="418" spans="1:9">
      <c r="A418" s="1" t="str">
        <f>'TFC Details'!A173</f>
        <v>TFC</v>
      </c>
      <c r="B418" s="2">
        <f>'TFC Details'!B173</f>
        <v>43745</v>
      </c>
      <c r="C418" s="2" t="str">
        <f>'TFC Details'!D173</f>
        <v>Oct</v>
      </c>
      <c r="D418" s="1">
        <f t="shared" si="0"/>
        <v>2019</v>
      </c>
      <c r="E418" s="2" t="str">
        <f>'TFC Details'!E173</f>
        <v>Consult</v>
      </c>
      <c r="F418" s="5" t="str">
        <f>'TFC Details'!F173</f>
        <v>Me</v>
      </c>
      <c r="G418" s="5">
        <f>'TFC Details'!L173</f>
        <v>5100</v>
      </c>
      <c r="H418" s="5">
        <f>'TFC Details'!I173</f>
        <v>0</v>
      </c>
      <c r="I418" s="5">
        <f>'TFC Details'!J301</f>
        <v>0</v>
      </c>
    </row>
    <row r="419" spans="1:9">
      <c r="A419" s="1" t="str">
        <f>'TFC Details'!A174</f>
        <v>TFC</v>
      </c>
      <c r="B419" s="2">
        <f>'TFC Details'!B174</f>
        <v>43745</v>
      </c>
      <c r="C419" s="2" t="str">
        <f>'TFC Details'!D174</f>
        <v>Oct</v>
      </c>
      <c r="D419" s="1">
        <f t="shared" si="0"/>
        <v>2019</v>
      </c>
      <c r="E419" s="2" t="str">
        <f>'TFC Details'!E174</f>
        <v>Scan</v>
      </c>
      <c r="F419" s="5" t="str">
        <f>'TFC Details'!F174</f>
        <v>Me</v>
      </c>
      <c r="G419" s="5">
        <f>'TFC Details'!L174</f>
        <v>5100</v>
      </c>
      <c r="H419" s="5">
        <f>'TFC Details'!I174</f>
        <v>0</v>
      </c>
      <c r="I419" s="5">
        <f>'TFC Details'!J302</f>
        <v>0</v>
      </c>
    </row>
    <row r="420" spans="1:9">
      <c r="A420" s="1" t="str">
        <f>'TFC Details'!A175</f>
        <v>TFC</v>
      </c>
      <c r="B420" s="2">
        <f>'TFC Details'!B175</f>
        <v>43745</v>
      </c>
      <c r="C420" s="2" t="str">
        <f>'TFC Details'!D175</f>
        <v>Oct</v>
      </c>
      <c r="D420" s="1">
        <f t="shared" si="0"/>
        <v>2019</v>
      </c>
      <c r="E420" s="2" t="str">
        <f>'TFC Details'!E175</f>
        <v>Facility Fee</v>
      </c>
      <c r="F420" s="5" t="str">
        <f>'TFC Details'!F175</f>
        <v>Me</v>
      </c>
      <c r="G420" s="5">
        <f>'TFC Details'!L175</f>
        <v>765</v>
      </c>
      <c r="H420" s="5">
        <f>'TFC Details'!I175</f>
        <v>0</v>
      </c>
      <c r="I420" s="5">
        <f>'TFC Details'!J303</f>
        <v>0</v>
      </c>
    </row>
    <row r="421" spans="1:9">
      <c r="A421" s="1" t="str">
        <f>'TFC Details'!A176</f>
        <v>TFC</v>
      </c>
      <c r="B421" s="2">
        <f>'TFC Details'!B176</f>
        <v>43745</v>
      </c>
      <c r="C421" s="2" t="str">
        <f>'TFC Details'!D176</f>
        <v>Oct</v>
      </c>
      <c r="D421" s="1">
        <f t="shared" si="0"/>
        <v>2019</v>
      </c>
      <c r="E421" s="2" t="str">
        <f>'TFC Details'!E176</f>
        <v>IVF Medicine</v>
      </c>
      <c r="F421" s="5" t="str">
        <f>'TFC Details'!F176</f>
        <v>Me</v>
      </c>
      <c r="G421" s="5">
        <f>'TFC Details'!L176</f>
        <v>10954.800000000001</v>
      </c>
      <c r="H421" s="5">
        <f>'TFC Details'!I176</f>
        <v>0</v>
      </c>
      <c r="I421" s="5">
        <f>'TFC Details'!J304</f>
        <v>0</v>
      </c>
    </row>
    <row r="422" spans="1:9">
      <c r="A422" s="1" t="str">
        <f>'TFC Details'!A177</f>
        <v>TFC</v>
      </c>
      <c r="B422" s="2">
        <f>'TFC Details'!B177</f>
        <v>43745</v>
      </c>
      <c r="C422" s="2" t="str">
        <f>'TFC Details'!D177</f>
        <v>Oct</v>
      </c>
      <c r="D422" s="1">
        <f t="shared" si="0"/>
        <v>2019</v>
      </c>
      <c r="E422" s="2" t="str">
        <f>'TFC Details'!E177</f>
        <v>IVF Medicine</v>
      </c>
      <c r="F422" s="5" t="str">
        <f>'TFC Details'!F177</f>
        <v>Me</v>
      </c>
      <c r="G422" s="5">
        <f>'TFC Details'!L177</f>
        <v>20400</v>
      </c>
      <c r="H422" s="5">
        <f>'TFC Details'!I177</f>
        <v>0</v>
      </c>
      <c r="I422" s="5">
        <f>'TFC Details'!J305</f>
        <v>0</v>
      </c>
    </row>
    <row r="423" spans="1:9">
      <c r="A423" s="1" t="str">
        <f>'TFC Details'!A178</f>
        <v>TFC</v>
      </c>
      <c r="B423" s="2">
        <f>'TFC Details'!B178</f>
        <v>43745</v>
      </c>
      <c r="C423" s="2" t="str">
        <f>'TFC Details'!D178</f>
        <v>Oct</v>
      </c>
      <c r="D423" s="1">
        <f t="shared" si="0"/>
        <v>2019</v>
      </c>
      <c r="E423" s="2" t="str">
        <f>'TFC Details'!E178</f>
        <v>IVF Medicine</v>
      </c>
      <c r="F423" s="5" t="str">
        <f>'TFC Details'!F178</f>
        <v>Me</v>
      </c>
      <c r="G423" s="5">
        <f>'TFC Details'!L178</f>
        <v>34782</v>
      </c>
      <c r="H423" s="5">
        <f>'TFC Details'!I178</f>
        <v>0</v>
      </c>
      <c r="I423" s="5">
        <f>'TFC Details'!J306</f>
        <v>0</v>
      </c>
    </row>
    <row r="424" spans="1:9">
      <c r="A424" s="1" t="str">
        <f>'TFC Details'!A179</f>
        <v>TFC</v>
      </c>
      <c r="B424" s="2">
        <f>'TFC Details'!B179</f>
        <v>43745</v>
      </c>
      <c r="C424" s="2" t="str">
        <f>'TFC Details'!D179</f>
        <v>Oct</v>
      </c>
      <c r="D424" s="1">
        <f t="shared" si="0"/>
        <v>2019</v>
      </c>
      <c r="E424" s="2" t="str">
        <f>'TFC Details'!E179</f>
        <v>IVF Medicine</v>
      </c>
      <c r="F424" s="5" t="str">
        <f>'TFC Details'!F179</f>
        <v>Me</v>
      </c>
      <c r="G424" s="5">
        <f>'TFC Details'!L179</f>
        <v>4386</v>
      </c>
      <c r="H424" s="5">
        <f>'TFC Details'!I179</f>
        <v>0</v>
      </c>
      <c r="I424" s="5">
        <f>'TFC Details'!J307</f>
        <v>0</v>
      </c>
    </row>
    <row r="425" spans="1:9">
      <c r="A425" s="1" t="str">
        <f>'TFC Details'!A180</f>
        <v>TFC</v>
      </c>
      <c r="B425" s="2">
        <f>'TFC Details'!B180</f>
        <v>43745</v>
      </c>
      <c r="C425" s="2" t="str">
        <f>'TFC Details'!D180</f>
        <v>Oct</v>
      </c>
      <c r="D425" s="1">
        <f t="shared" si="0"/>
        <v>2019</v>
      </c>
      <c r="E425" s="2" t="str">
        <f>'TFC Details'!E180</f>
        <v>Medicine</v>
      </c>
      <c r="F425" s="5" t="str">
        <f>'TFC Details'!F180</f>
        <v>Me</v>
      </c>
      <c r="G425" s="5">
        <f>'TFC Details'!L180</f>
        <v>1978.8</v>
      </c>
      <c r="H425" s="5">
        <f>'TFC Details'!I180</f>
        <v>0</v>
      </c>
      <c r="I425" s="5">
        <f>'TFC Details'!J308</f>
        <v>0</v>
      </c>
    </row>
    <row r="426" spans="1:9">
      <c r="A426" s="1" t="str">
        <f>'TFC Details'!A181</f>
        <v>TFC</v>
      </c>
      <c r="B426" s="2">
        <f>'TFC Details'!B181</f>
        <v>43745</v>
      </c>
      <c r="C426" s="2" t="str">
        <f>'TFC Details'!D181</f>
        <v>Oct</v>
      </c>
      <c r="D426" s="1">
        <f t="shared" si="0"/>
        <v>2019</v>
      </c>
      <c r="E426" s="2" t="str">
        <f>'TFC Details'!E181</f>
        <v>GST @ 7%</v>
      </c>
      <c r="F426" s="5" t="str">
        <f>'TFC Details'!F181</f>
        <v>Me</v>
      </c>
      <c r="G426" s="5">
        <f>'TFC Details'!L181</f>
        <v>5842.05</v>
      </c>
      <c r="H426" s="5">
        <f>'TFC Details'!I181</f>
        <v>0</v>
      </c>
      <c r="I426" s="5">
        <f>'TFC Details'!J309</f>
        <v>0</v>
      </c>
    </row>
    <row r="427" spans="1:9">
      <c r="A427" s="1" t="str">
        <f>'TFC Details'!A182</f>
        <v>TMC</v>
      </c>
      <c r="B427" s="2">
        <f>'TFC Details'!B182</f>
        <v>43747</v>
      </c>
      <c r="C427" s="2" t="str">
        <f>'TFC Details'!D182</f>
        <v>Oct</v>
      </c>
      <c r="D427" s="1">
        <f t="shared" si="0"/>
        <v>2019</v>
      </c>
      <c r="E427" s="2" t="str">
        <f>'TFC Details'!E182</f>
        <v>IVF Medicine</v>
      </c>
      <c r="F427" s="5" t="str">
        <f>'TFC Details'!F182</f>
        <v>Me</v>
      </c>
      <c r="G427" s="5">
        <f>'TFC Details'!L182</f>
        <v>1275</v>
      </c>
      <c r="H427" s="5" t="str">
        <f>'TFC Details'!I182</f>
        <v>Fertility Injection procedure - Pregnyl 10000 IU</v>
      </c>
      <c r="I427" s="5">
        <f>'TFC Details'!J310</f>
        <v>0</v>
      </c>
    </row>
    <row r="428" spans="1:9">
      <c r="A428" s="1" t="str">
        <f>'TFC Details'!A183</f>
        <v>TMC</v>
      </c>
      <c r="B428" s="2">
        <f>'TFC Details'!B183</f>
        <v>43747</v>
      </c>
      <c r="C428" s="2" t="str">
        <f>'TFC Details'!D183</f>
        <v>Oct</v>
      </c>
      <c r="D428" s="1">
        <f t="shared" si="0"/>
        <v>2019</v>
      </c>
      <c r="E428" s="2" t="str">
        <f>'TFC Details'!E183</f>
        <v>GST @ 7%</v>
      </c>
      <c r="F428" s="5" t="str">
        <f>'TFC Details'!F183</f>
        <v>Me</v>
      </c>
      <c r="G428" s="5">
        <f>'TFC Details'!L183</f>
        <v>89.25</v>
      </c>
      <c r="H428" s="5">
        <f>'TFC Details'!I183</f>
        <v>0</v>
      </c>
      <c r="I428" s="5">
        <f>'TFC Details'!J311</f>
        <v>0</v>
      </c>
    </row>
    <row r="429" spans="1:9">
      <c r="A429" s="1" t="str">
        <f>'TFC Details'!A184</f>
        <v>TFC</v>
      </c>
      <c r="B429" s="2">
        <f>'TFC Details'!B184</f>
        <v>43749</v>
      </c>
      <c r="C429" s="2" t="str">
        <f>'TFC Details'!D184</f>
        <v>Oct</v>
      </c>
      <c r="D429" s="1">
        <f t="shared" ref="D429:D449" si="1">YEAR(B429)</f>
        <v>2019</v>
      </c>
      <c r="E429" s="2" t="str">
        <f>'TFC Details'!E184</f>
        <v>IVF Egg retrieval</v>
      </c>
      <c r="F429" s="5" t="str">
        <f>'TFC Details'!F184</f>
        <v>Me</v>
      </c>
      <c r="G429" s="5">
        <f>'TFC Details'!L184</f>
        <v>670.65</v>
      </c>
      <c r="H429" s="5">
        <f>'TFC Details'!I184</f>
        <v>0</v>
      </c>
      <c r="I429" s="5">
        <f>'TFC Details'!J312</f>
        <v>0</v>
      </c>
    </row>
    <row r="430" spans="1:9">
      <c r="A430" s="1" t="str">
        <f>'TFC Details'!A185</f>
        <v>TFC</v>
      </c>
      <c r="B430" s="2">
        <f>'TFC Details'!B185</f>
        <v>43749</v>
      </c>
      <c r="C430" s="2" t="str">
        <f>'TFC Details'!D185</f>
        <v>Oct</v>
      </c>
      <c r="D430" s="1">
        <f t="shared" si="1"/>
        <v>2019</v>
      </c>
      <c r="E430" s="2" t="str">
        <f>'TFC Details'!E185</f>
        <v>IVF Egg retrieval</v>
      </c>
      <c r="F430" s="5" t="str">
        <f>'TFC Details'!F185</f>
        <v>Me</v>
      </c>
      <c r="G430" s="5">
        <f>'TFC Details'!L185</f>
        <v>752.25</v>
      </c>
      <c r="H430" s="5">
        <f>'TFC Details'!I185</f>
        <v>0</v>
      </c>
      <c r="I430" s="5">
        <f>'TFC Details'!J313</f>
        <v>0</v>
      </c>
    </row>
    <row r="431" spans="1:9">
      <c r="A431" s="1" t="str">
        <f>'TFC Details'!A186</f>
        <v>TFC</v>
      </c>
      <c r="B431" s="2">
        <f>'TFC Details'!B186</f>
        <v>43749</v>
      </c>
      <c r="C431" s="2" t="str">
        <f>'TFC Details'!D186</f>
        <v>Oct</v>
      </c>
      <c r="D431" s="1">
        <f t="shared" si="1"/>
        <v>2019</v>
      </c>
      <c r="E431" s="2" t="str">
        <f>'TFC Details'!E186</f>
        <v>IVF Egg retrieval</v>
      </c>
      <c r="F431" s="5" t="str">
        <f>'TFC Details'!F186</f>
        <v>Me</v>
      </c>
      <c r="G431" s="5">
        <f>'TFC Details'!L186</f>
        <v>581.4</v>
      </c>
      <c r="H431" s="5" t="str">
        <f>'TFC Details'!I186</f>
        <v>Standard oxygen mask</v>
      </c>
      <c r="I431" s="5">
        <f>'TFC Details'!J314</f>
        <v>0</v>
      </c>
    </row>
    <row r="432" spans="1:9">
      <c r="A432" s="1" t="str">
        <f>'TFC Details'!A187</f>
        <v>TFC</v>
      </c>
      <c r="B432" s="2">
        <f>'TFC Details'!B187</f>
        <v>43749</v>
      </c>
      <c r="C432" s="2" t="str">
        <f>'TFC Details'!D187</f>
        <v>Oct</v>
      </c>
      <c r="D432" s="1">
        <f t="shared" si="1"/>
        <v>2019</v>
      </c>
      <c r="E432" s="2" t="str">
        <f>'TFC Details'!E187</f>
        <v>IVF Egg retrieval</v>
      </c>
      <c r="F432" s="5" t="str">
        <f>'TFC Details'!F187</f>
        <v>Me</v>
      </c>
      <c r="G432" s="5">
        <f>'TFC Details'!L187</f>
        <v>1071</v>
      </c>
      <c r="H432" s="5" t="str">
        <f>'TFC Details'!I187</f>
        <v>OT patient disposable set</v>
      </c>
      <c r="I432" s="5">
        <f>'TFC Details'!J315</f>
        <v>0</v>
      </c>
    </row>
    <row r="433" spans="1:9">
      <c r="A433" s="1" t="str">
        <f>'TFC Details'!A188</f>
        <v>TFC</v>
      </c>
      <c r="B433" s="2">
        <f>'TFC Details'!B188</f>
        <v>43749</v>
      </c>
      <c r="C433" s="2" t="str">
        <f>'TFC Details'!D188</f>
        <v>Oct</v>
      </c>
      <c r="D433" s="1">
        <f t="shared" si="1"/>
        <v>2019</v>
      </c>
      <c r="E433" s="2" t="str">
        <f>'TFC Details'!E188</f>
        <v>IVF Egg retrieval</v>
      </c>
      <c r="F433" s="5" t="str">
        <f>'TFC Details'!F188</f>
        <v>Me</v>
      </c>
      <c r="G433" s="5">
        <f>'TFC Details'!L188</f>
        <v>5033.7</v>
      </c>
      <c r="H433" s="5" t="str">
        <f>'TFC Details'!I188</f>
        <v>Oocyte recovery set 17g needle with tubing</v>
      </c>
      <c r="I433" s="5">
        <f>'TFC Details'!J316</f>
        <v>0</v>
      </c>
    </row>
    <row r="434" spans="1:9">
      <c r="A434" s="1" t="str">
        <f>'TFC Details'!A189</f>
        <v>TFC</v>
      </c>
      <c r="B434" s="2">
        <f>'TFC Details'!B189</f>
        <v>43749</v>
      </c>
      <c r="C434" s="2" t="str">
        <f>'TFC Details'!D189</f>
        <v>Oct</v>
      </c>
      <c r="D434" s="1">
        <f t="shared" si="1"/>
        <v>2019</v>
      </c>
      <c r="E434" s="2" t="str">
        <f>'TFC Details'!E189</f>
        <v>IVF Egg retrieval</v>
      </c>
      <c r="F434" s="5" t="str">
        <f>'TFC Details'!F189</f>
        <v>Me</v>
      </c>
      <c r="G434" s="5">
        <f>'TFC Details'!L189</f>
        <v>887.4</v>
      </c>
      <c r="H434" s="5" t="str">
        <f>'TFC Details'!I189</f>
        <v>Medical surgeon gown</v>
      </c>
      <c r="I434" s="5">
        <f>'TFC Details'!J317</f>
        <v>0</v>
      </c>
    </row>
    <row r="435" spans="1:9">
      <c r="A435" s="1" t="str">
        <f>'TFC Details'!A190</f>
        <v>TFC</v>
      </c>
      <c r="B435" s="2">
        <f>'TFC Details'!B190</f>
        <v>43749</v>
      </c>
      <c r="C435" s="2" t="str">
        <f>'TFC Details'!D190</f>
        <v>Oct</v>
      </c>
      <c r="D435" s="1">
        <f t="shared" si="1"/>
        <v>2019</v>
      </c>
      <c r="E435" s="2" t="str">
        <f>'TFC Details'!E190</f>
        <v>IVF Egg retrieval</v>
      </c>
      <c r="F435" s="5" t="str">
        <f>'TFC Details'!F190</f>
        <v>Me</v>
      </c>
      <c r="G435" s="5">
        <f>'TFC Details'!L190</f>
        <v>76500</v>
      </c>
      <c r="H435" s="5" t="str">
        <f>'TFC Details'!I190</f>
        <v>Professional fee- egg pickup</v>
      </c>
      <c r="I435" s="5">
        <f>'TFC Details'!J318</f>
        <v>0</v>
      </c>
    </row>
    <row r="436" spans="1:9">
      <c r="A436" s="1" t="str">
        <f>'TFC Details'!A191</f>
        <v>TFC</v>
      </c>
      <c r="B436" s="2">
        <f>'TFC Details'!B191</f>
        <v>43749</v>
      </c>
      <c r="C436" s="2" t="str">
        <f>'TFC Details'!D191</f>
        <v>Oct</v>
      </c>
      <c r="D436" s="1">
        <f t="shared" si="1"/>
        <v>2019</v>
      </c>
      <c r="E436" s="2" t="str">
        <f>'TFC Details'!E191</f>
        <v>IVF Egg retrieval</v>
      </c>
      <c r="F436" s="5" t="str">
        <f>'TFC Details'!F191</f>
        <v>Me</v>
      </c>
      <c r="G436" s="5">
        <f>'TFC Details'!L191</f>
        <v>6120</v>
      </c>
      <c r="H436" s="5" t="str">
        <f>'TFC Details'!I191</f>
        <v>Facilities (OT &amp; recovery)</v>
      </c>
      <c r="I436" s="5">
        <f>'TFC Details'!J319</f>
        <v>0</v>
      </c>
    </row>
    <row r="437" spans="1:9">
      <c r="A437" s="1" t="str">
        <f>'TFC Details'!A192</f>
        <v>TFC</v>
      </c>
      <c r="B437" s="2">
        <f>'TFC Details'!B192</f>
        <v>43749</v>
      </c>
      <c r="C437" s="2" t="str">
        <f>'TFC Details'!D192</f>
        <v>Oct</v>
      </c>
      <c r="D437" s="1">
        <f t="shared" si="1"/>
        <v>2019</v>
      </c>
      <c r="E437" s="2" t="str">
        <f>'TFC Details'!E192</f>
        <v>IVF Egg retrieval</v>
      </c>
      <c r="F437" s="5" t="str">
        <f>'TFC Details'!F192</f>
        <v>Me</v>
      </c>
      <c r="G437" s="5">
        <f>'TFC Details'!L192</f>
        <v>150450</v>
      </c>
      <c r="H437" s="5" t="str">
        <f>'TFC Details'!I192</f>
        <v>TFC Embryo lab</v>
      </c>
      <c r="I437" s="5">
        <f>'TFC Details'!J320</f>
        <v>0</v>
      </c>
    </row>
    <row r="438" spans="1:9">
      <c r="A438" s="1" t="str">
        <f>'TFC Details'!A193</f>
        <v>TFC</v>
      </c>
      <c r="B438" s="2">
        <f>'TFC Details'!B193</f>
        <v>43749</v>
      </c>
      <c r="C438" s="2" t="str">
        <f>'TFC Details'!D193</f>
        <v>Oct</v>
      </c>
      <c r="D438" s="1">
        <f t="shared" si="1"/>
        <v>2019</v>
      </c>
      <c r="E438" s="2" t="str">
        <f>'TFC Details'!E193</f>
        <v>GST @ 7%</v>
      </c>
      <c r="F438" s="5" t="str">
        <f>'TFC Details'!F193</f>
        <v>Me</v>
      </c>
      <c r="G438" s="5">
        <f>'TFC Details'!L193</f>
        <v>16944.75</v>
      </c>
      <c r="H438" s="5">
        <f>'TFC Details'!I193</f>
        <v>0</v>
      </c>
      <c r="I438" s="5">
        <f>'TFC Details'!J321</f>
        <v>0</v>
      </c>
    </row>
    <row r="439" spans="1:9">
      <c r="A439" s="1" t="str">
        <f>'TFC Details'!A194</f>
        <v>TFC</v>
      </c>
      <c r="B439" s="2">
        <f>'TFC Details'!B194</f>
        <v>43749</v>
      </c>
      <c r="C439" s="2" t="str">
        <f>'TFC Details'!D194</f>
        <v>Oct</v>
      </c>
      <c r="D439" s="1">
        <f t="shared" si="1"/>
        <v>2019</v>
      </c>
      <c r="E439" s="2" t="str">
        <f>'TFC Details'!E194</f>
        <v>IVF Egg retrieval</v>
      </c>
      <c r="F439" s="5" t="str">
        <f>'TFC Details'!F194</f>
        <v>Me</v>
      </c>
      <c r="G439" s="5">
        <f>'TFC Details'!L194</f>
        <v>27285</v>
      </c>
      <c r="H439" s="5" t="str">
        <f>'TFC Details'!I194</f>
        <v>Dr Chan Sy (NMS) Anestheologist</v>
      </c>
      <c r="I439" s="5">
        <f>'TFC Details'!J322</f>
        <v>0</v>
      </c>
    </row>
    <row r="440" spans="1:9">
      <c r="A440" s="1" t="str">
        <f>'TFC Details'!A195</f>
        <v>TFC</v>
      </c>
      <c r="B440" s="2">
        <f>'TFC Details'!B195</f>
        <v>43752</v>
      </c>
      <c r="C440" s="2" t="str">
        <f>'TFC Details'!D195</f>
        <v>Oct</v>
      </c>
      <c r="D440" s="1">
        <f t="shared" si="1"/>
        <v>2019</v>
      </c>
      <c r="E440" s="2" t="str">
        <f>'TFC Details'!E195</f>
        <v>IVF Embryo transfer</v>
      </c>
      <c r="F440" s="5" t="str">
        <f>'TFC Details'!F195</f>
        <v>Me</v>
      </c>
      <c r="G440" s="5">
        <f>'TFC Details'!L195</f>
        <v>1020</v>
      </c>
      <c r="H440" s="5">
        <f>'TFC Details'!I195</f>
        <v>0</v>
      </c>
      <c r="I440" s="5">
        <f>'TFC Details'!J323</f>
        <v>0</v>
      </c>
    </row>
    <row r="441" spans="1:9">
      <c r="A441" s="1" t="str">
        <f>'TFC Details'!A196</f>
        <v>TFC</v>
      </c>
      <c r="B441" s="2">
        <f>'TFC Details'!B196</f>
        <v>43752</v>
      </c>
      <c r="C441" s="2" t="str">
        <f>'TFC Details'!D196</f>
        <v>Oct</v>
      </c>
      <c r="D441" s="1">
        <f t="shared" si="1"/>
        <v>2019</v>
      </c>
      <c r="E441" s="2" t="str">
        <f>'TFC Details'!E196</f>
        <v>IVF Embryo transfer</v>
      </c>
      <c r="F441" s="5" t="str">
        <f>'TFC Details'!F196</f>
        <v>Me</v>
      </c>
      <c r="G441" s="5">
        <f>'TFC Details'!L196</f>
        <v>6528</v>
      </c>
      <c r="H441" s="5">
        <f>'TFC Details'!I196</f>
        <v>0</v>
      </c>
      <c r="I441" s="5">
        <f>'TFC Details'!J324</f>
        <v>0</v>
      </c>
    </row>
    <row r="442" spans="1:9">
      <c r="A442" s="1" t="str">
        <f>'TFC Details'!A197</f>
        <v>TFC</v>
      </c>
      <c r="B442" s="2">
        <f>'TFC Details'!B197</f>
        <v>43752</v>
      </c>
      <c r="C442" s="2" t="str">
        <f>'TFC Details'!D197</f>
        <v>Oct</v>
      </c>
      <c r="D442" s="1">
        <f t="shared" si="1"/>
        <v>2019</v>
      </c>
      <c r="E442" s="2" t="str">
        <f>'TFC Details'!E197</f>
        <v>IVF Embryo transfer</v>
      </c>
      <c r="F442" s="5" t="str">
        <f>'TFC Details'!F197</f>
        <v>Me</v>
      </c>
      <c r="G442" s="5">
        <f>'TFC Details'!L197</f>
        <v>1999.2</v>
      </c>
      <c r="H442" s="5">
        <f>'TFC Details'!I197</f>
        <v>0</v>
      </c>
      <c r="I442" s="5">
        <f>'TFC Details'!J325</f>
        <v>0</v>
      </c>
    </row>
    <row r="443" spans="1:9">
      <c r="A443" s="1" t="str">
        <f>'TFC Details'!A198</f>
        <v>TFC</v>
      </c>
      <c r="B443" s="2">
        <f>'TFC Details'!B198</f>
        <v>43752</v>
      </c>
      <c r="C443" s="2" t="str">
        <f>'TFC Details'!D198</f>
        <v>Oct</v>
      </c>
      <c r="D443" s="1">
        <f t="shared" si="1"/>
        <v>2019</v>
      </c>
      <c r="E443" s="2" t="str">
        <f>'TFC Details'!E198</f>
        <v>IVF Embryo transfer</v>
      </c>
      <c r="F443" s="5" t="str">
        <f>'TFC Details'!F198</f>
        <v>Me</v>
      </c>
      <c r="G443" s="5">
        <f>'TFC Details'!L198</f>
        <v>5518.2</v>
      </c>
      <c r="H443" s="5" t="str">
        <f>'TFC Details'!I198</f>
        <v>ER catheter, 23cm, 1816N</v>
      </c>
      <c r="I443" s="5">
        <f>'TFC Details'!J326</f>
        <v>0</v>
      </c>
    </row>
    <row r="444" spans="1:9">
      <c r="A444" s="1" t="str">
        <f>'TFC Details'!A199</f>
        <v>TFC</v>
      </c>
      <c r="B444" s="2">
        <f>'TFC Details'!B199</f>
        <v>43752</v>
      </c>
      <c r="C444" s="2" t="str">
        <f>'TFC Details'!D199</f>
        <v>Oct</v>
      </c>
      <c r="D444" s="1">
        <f t="shared" si="1"/>
        <v>2019</v>
      </c>
      <c r="E444" s="2" t="str">
        <f>'TFC Details'!E199</f>
        <v>IVF Embryo transfer</v>
      </c>
      <c r="F444" s="5" t="str">
        <f>'TFC Details'!F199</f>
        <v>Me</v>
      </c>
      <c r="G444" s="5">
        <f>'TFC Details'!L199</f>
        <v>1071</v>
      </c>
      <c r="H444" s="5" t="str">
        <f>'TFC Details'!I199</f>
        <v>OT patient disposable set</v>
      </c>
      <c r="I444" s="5">
        <f>'TFC Details'!J327</f>
        <v>0</v>
      </c>
    </row>
    <row r="445" spans="1:9">
      <c r="A445" s="1" t="str">
        <f>'TFC Details'!A200</f>
        <v>TFC</v>
      </c>
      <c r="B445" s="2">
        <f>'TFC Details'!B200</f>
        <v>43752</v>
      </c>
      <c r="C445" s="2" t="str">
        <f>'TFC Details'!D200</f>
        <v>Oct</v>
      </c>
      <c r="D445" s="1">
        <f t="shared" si="1"/>
        <v>2019</v>
      </c>
      <c r="E445" s="2" t="str">
        <f>'TFC Details'!E200</f>
        <v>IVF Embryo transfer</v>
      </c>
      <c r="F445" s="5" t="str">
        <f>'TFC Details'!F200</f>
        <v>Me</v>
      </c>
      <c r="G445" s="5">
        <f>'TFC Details'!L200</f>
        <v>1989</v>
      </c>
      <c r="H445" s="5" t="str">
        <f>'TFC Details'!I200</f>
        <v>Progesterone blood test</v>
      </c>
      <c r="I445" s="5">
        <f>'TFC Details'!J328</f>
        <v>0</v>
      </c>
    </row>
    <row r="446" spans="1:9">
      <c r="A446" s="1" t="str">
        <f>'TFC Details'!A201</f>
        <v>TFC</v>
      </c>
      <c r="B446" s="2">
        <f>'TFC Details'!B201</f>
        <v>43752</v>
      </c>
      <c r="C446" s="2" t="str">
        <f>'TFC Details'!D201</f>
        <v>Oct</v>
      </c>
      <c r="D446" s="1">
        <f t="shared" si="1"/>
        <v>2019</v>
      </c>
      <c r="E446" s="2" t="str">
        <f>'TFC Details'!E201</f>
        <v>IVF Embryo transfer</v>
      </c>
      <c r="F446" s="5" t="str">
        <f>'TFC Details'!F201</f>
        <v>Me</v>
      </c>
      <c r="G446" s="5">
        <f>'TFC Details'!L201</f>
        <v>1989</v>
      </c>
      <c r="H446" s="5" t="str">
        <f>'TFC Details'!I201</f>
        <v>HCG Blood test</v>
      </c>
      <c r="I446" s="5">
        <f>'TFC Details'!J329</f>
        <v>0</v>
      </c>
    </row>
    <row r="447" spans="1:9">
      <c r="A447" s="1" t="str">
        <f>'TFC Details'!A202</f>
        <v>TFC</v>
      </c>
      <c r="B447" s="2">
        <f>'TFC Details'!B202</f>
        <v>43752</v>
      </c>
      <c r="C447" s="2" t="str">
        <f>'TFC Details'!D202</f>
        <v>Oct</v>
      </c>
      <c r="D447" s="1">
        <f t="shared" si="1"/>
        <v>2019</v>
      </c>
      <c r="E447" s="2" t="str">
        <f>'TFC Details'!E202</f>
        <v>IVF Embryo transfer</v>
      </c>
      <c r="F447" s="5" t="str">
        <f>'TFC Details'!F202</f>
        <v>Me</v>
      </c>
      <c r="G447" s="5">
        <f>'TFC Details'!L202</f>
        <v>40800</v>
      </c>
      <c r="H447" s="5" t="str">
        <f>'TFC Details'!I202</f>
        <v>Embryo transfer professional fee</v>
      </c>
      <c r="I447" s="5">
        <f>'TFC Details'!J330</f>
        <v>0</v>
      </c>
    </row>
    <row r="448" spans="1:9">
      <c r="A448" s="1" t="str">
        <f>'TFC Details'!A203</f>
        <v>TFC</v>
      </c>
      <c r="B448" s="2">
        <f>'TFC Details'!B203</f>
        <v>43752</v>
      </c>
      <c r="C448" s="2" t="str">
        <f>'TFC Details'!D203</f>
        <v>Oct</v>
      </c>
      <c r="D448" s="1">
        <f t="shared" si="1"/>
        <v>2019</v>
      </c>
      <c r="E448" s="2" t="str">
        <f>'TFC Details'!E203</f>
        <v>IVF Embryo transfer</v>
      </c>
      <c r="F448" s="5" t="str">
        <f>'TFC Details'!F203</f>
        <v>Me</v>
      </c>
      <c r="G448" s="5">
        <f>'TFC Details'!L203</f>
        <v>6120</v>
      </c>
      <c r="H448" s="5" t="str">
        <f>'TFC Details'!I203</f>
        <v>Facilities (OT &amp; recovery)</v>
      </c>
      <c r="I448" s="5">
        <f>'TFC Details'!J331</f>
        <v>0</v>
      </c>
    </row>
    <row r="449" spans="1:9">
      <c r="A449" s="1" t="str">
        <f>'TFC Details'!A204</f>
        <v>TFC</v>
      </c>
      <c r="B449" s="2">
        <f>'TFC Details'!B204</f>
        <v>43752</v>
      </c>
      <c r="C449" s="2" t="str">
        <f>'TFC Details'!D204</f>
        <v>Oct</v>
      </c>
      <c r="D449" s="1">
        <f t="shared" si="1"/>
        <v>2019</v>
      </c>
      <c r="E449" s="2" t="str">
        <f>'TFC Details'!E204</f>
        <v>IVF Embryo transfer</v>
      </c>
      <c r="F449" s="5" t="str">
        <f>'TFC Details'!F204</f>
        <v>Me</v>
      </c>
      <c r="G449" s="5">
        <f>'TFC Details'!L204</f>
        <v>45900</v>
      </c>
      <c r="H449" s="5">
        <f>'TFC Details'!I204</f>
        <v>0</v>
      </c>
      <c r="I449" s="5">
        <f>'TFC Details'!J332</f>
        <v>0</v>
      </c>
    </row>
    <row r="450" spans="1:9">
      <c r="A450" s="1" t="str">
        <f>'TFC Details'!A205</f>
        <v>TFC</v>
      </c>
      <c r="B450" s="2">
        <f>'TFC Details'!B205</f>
        <v>43752</v>
      </c>
      <c r="C450" s="2" t="str">
        <f>'TFC Details'!D205</f>
        <v>Oct</v>
      </c>
      <c r="D450" s="1">
        <f t="shared" ref="D450:D455" si="2">YEAR(B450)</f>
        <v>2019</v>
      </c>
      <c r="E450" s="2" t="str">
        <f>'TFC Details'!E205</f>
        <v>IVF Embryo transfer</v>
      </c>
      <c r="F450" s="5" t="str">
        <f>'TFC Details'!F205</f>
        <v>Me</v>
      </c>
      <c r="G450" s="5">
        <f>'TFC Details'!L205</f>
        <v>60690</v>
      </c>
      <c r="H450" s="5" t="str">
        <f>'TFC Details'!I205</f>
        <v>TFC Embryo lab - embryo transfer lab work</v>
      </c>
      <c r="I450" s="5">
        <f>'TFC Details'!J333</f>
        <v>0</v>
      </c>
    </row>
    <row r="451" spans="1:9">
      <c r="A451" s="1" t="str">
        <f>'TFC Details'!A206</f>
        <v>TFC</v>
      </c>
      <c r="B451" s="2">
        <f>'TFC Details'!B206</f>
        <v>43752</v>
      </c>
      <c r="C451" s="2" t="str">
        <f>'TFC Details'!D206</f>
        <v>Oct</v>
      </c>
      <c r="D451" s="1">
        <f t="shared" si="2"/>
        <v>2019</v>
      </c>
      <c r="E451" s="2" t="str">
        <f>'TFC Details'!E206</f>
        <v>IVF Embryo transfer</v>
      </c>
      <c r="F451" s="5" t="str">
        <f>'TFC Details'!F206</f>
        <v>Me</v>
      </c>
      <c r="G451" s="5">
        <f>'TFC Details'!L206</f>
        <v>51000</v>
      </c>
      <c r="H451" s="5" t="str">
        <f>'TFC Details'!I206</f>
        <v>TFC Embryo lab - ICSI (4-15 eggs)</v>
      </c>
      <c r="I451" s="5">
        <f>'TFC Details'!J334</f>
        <v>0</v>
      </c>
    </row>
    <row r="452" spans="1:9">
      <c r="A452" s="1" t="str">
        <f>'TFC Details'!A207</f>
        <v>TFC</v>
      </c>
      <c r="B452" s="2">
        <f>'TFC Details'!B207</f>
        <v>43752</v>
      </c>
      <c r="C452" s="2" t="str">
        <f>'TFC Details'!D207</f>
        <v>Oct</v>
      </c>
      <c r="D452" s="1">
        <f t="shared" si="2"/>
        <v>2019</v>
      </c>
      <c r="E452" s="2" t="str">
        <f>'TFC Details'!E207</f>
        <v>GST @ 7%</v>
      </c>
      <c r="F452" s="5" t="str">
        <f>'TFC Details'!F207</f>
        <v>Me</v>
      </c>
      <c r="G452" s="5">
        <f>'TFC Details'!L207</f>
        <v>15723.300000000001</v>
      </c>
      <c r="H452" s="5">
        <f>'TFC Details'!I207</f>
        <v>0</v>
      </c>
      <c r="I452" s="5">
        <f>'TFC Details'!J335</f>
        <v>0</v>
      </c>
    </row>
    <row r="453" spans="1:9">
      <c r="A453" s="1" t="str">
        <f>'TFC Details'!A208</f>
        <v>TMC</v>
      </c>
      <c r="B453" s="2">
        <f>'TFC Details'!B208</f>
        <v>43752</v>
      </c>
      <c r="C453" s="2" t="str">
        <f>'TFC Details'!D208</f>
        <v>Oct</v>
      </c>
      <c r="D453" s="1">
        <f t="shared" si="2"/>
        <v>2019</v>
      </c>
      <c r="E453" s="2" t="str">
        <f>'TFC Details'!E208</f>
        <v>IVF Medicine</v>
      </c>
      <c r="F453" s="5" t="str">
        <f>'TFC Details'!F208</f>
        <v>Me</v>
      </c>
      <c r="G453" s="5">
        <f>'TFC Details'!L208</f>
        <v>10200</v>
      </c>
      <c r="H453" s="5" t="str">
        <f>'TFC Details'!I208</f>
        <v>Intralipid</v>
      </c>
      <c r="I453" s="5">
        <f>'TFC Details'!J336</f>
        <v>0</v>
      </c>
    </row>
    <row r="454" spans="1:9">
      <c r="A454" s="1" t="str">
        <f>'TFC Details'!A209</f>
        <v>TMC</v>
      </c>
      <c r="B454" s="2">
        <f>'TFC Details'!B209</f>
        <v>43752</v>
      </c>
      <c r="C454" s="2" t="str">
        <f>'TFC Details'!D209</f>
        <v>Oct</v>
      </c>
      <c r="D454" s="1">
        <f t="shared" si="2"/>
        <v>2019</v>
      </c>
      <c r="E454" s="2" t="str">
        <f>'TFC Details'!E209</f>
        <v>IVF Medicine</v>
      </c>
      <c r="F454" s="5" t="str">
        <f>'TFC Details'!F209</f>
        <v>Me</v>
      </c>
      <c r="G454" s="5">
        <f>'TFC Details'!L209</f>
        <v>1020</v>
      </c>
      <c r="H454" s="5" t="str">
        <f>'TFC Details'!I209</f>
        <v>IV drip</v>
      </c>
      <c r="I454" s="5">
        <f>'TFC Details'!J337</f>
        <v>0</v>
      </c>
    </row>
    <row r="455" spans="1:9">
      <c r="A455" s="1" t="str">
        <f>'TFC Details'!A210</f>
        <v>TMC</v>
      </c>
      <c r="B455" s="2">
        <f>'TFC Details'!B210</f>
        <v>43752</v>
      </c>
      <c r="C455" s="2" t="str">
        <f>'TFC Details'!D210</f>
        <v>Oct</v>
      </c>
      <c r="D455" s="1">
        <f t="shared" si="2"/>
        <v>2019</v>
      </c>
      <c r="E455" s="2" t="str">
        <f>'TFC Details'!E210</f>
        <v>GST @ 7%</v>
      </c>
      <c r="F455" s="5" t="str">
        <f>'TFC Details'!F210</f>
        <v>Me</v>
      </c>
      <c r="G455" s="5">
        <f>'TFC Details'!L210</f>
        <v>785.4</v>
      </c>
      <c r="H455" s="5">
        <f>'TFC Details'!I210</f>
        <v>0</v>
      </c>
      <c r="I455" s="5">
        <f>'TFC Details'!J338</f>
        <v>0</v>
      </c>
    </row>
    <row r="456" spans="1:9">
      <c r="C456" s="2"/>
      <c r="E456" s="2"/>
      <c r="F456" s="5"/>
      <c r="G456" s="5"/>
      <c r="H456" s="5"/>
      <c r="I456" s="5"/>
    </row>
    <row r="457" spans="1:9">
      <c r="C457" s="2"/>
      <c r="E457" s="2"/>
      <c r="F457" s="5"/>
      <c r="G457" s="5"/>
      <c r="H457" s="5"/>
      <c r="I457" s="5"/>
    </row>
    <row r="458" spans="1:9">
      <c r="C458" s="2"/>
      <c r="E458" s="2"/>
      <c r="F458" s="5"/>
      <c r="G458" s="5"/>
      <c r="H458" s="5"/>
      <c r="I458" s="5"/>
    </row>
    <row r="459" spans="1:9">
      <c r="C459" s="2"/>
      <c r="E459" s="2"/>
      <c r="F459" s="5"/>
      <c r="G459" s="5"/>
      <c r="H459" s="5"/>
      <c r="I459" s="5"/>
    </row>
    <row r="460" spans="1:9">
      <c r="C460" s="2"/>
      <c r="E460" s="2"/>
      <c r="F460" s="5"/>
      <c r="G460" s="5"/>
      <c r="H460" s="5"/>
      <c r="I460" s="5"/>
    </row>
    <row r="461" spans="1:9">
      <c r="C461" s="2"/>
      <c r="E461" s="2"/>
      <c r="F461" s="5"/>
      <c r="G461" s="5"/>
      <c r="H461" s="5"/>
      <c r="I461" s="5"/>
    </row>
  </sheetData>
  <autoFilter ref="A1:H455" xr:uid="{00000000-0009-0000-0000-000006000000}"/>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3"/>
  <sheetViews>
    <sheetView workbookViewId="0">
      <selection activeCell="B16" sqref="B16"/>
    </sheetView>
  </sheetViews>
  <sheetFormatPr defaultColWidth="9.140625" defaultRowHeight="12.75"/>
  <cols>
    <col min="1" max="1" width="44.7109375" style="1" bestFit="1" customWidth="1"/>
    <col min="2" max="2" width="66.42578125" style="1" customWidth="1"/>
    <col min="3" max="16384" width="9.140625" style="1"/>
  </cols>
  <sheetData>
    <row r="1" spans="1:2">
      <c r="A1" s="1" t="s">
        <v>135</v>
      </c>
      <c r="B1" s="44"/>
    </row>
    <row r="2" spans="1:2" ht="25.5">
      <c r="A2" s="19" t="s">
        <v>136</v>
      </c>
      <c r="B2" s="23" t="s">
        <v>146</v>
      </c>
    </row>
    <row r="3" spans="1:2">
      <c r="A3" s="19" t="s">
        <v>137</v>
      </c>
      <c r="B3" s="20" t="s">
        <v>138</v>
      </c>
    </row>
    <row r="4" spans="1:2">
      <c r="A4" s="21"/>
    </row>
    <row r="5" spans="1:2">
      <c r="A5" s="1" t="s">
        <v>139</v>
      </c>
      <c r="B5" s="44"/>
    </row>
    <row r="6" spans="1:2">
      <c r="A6" s="22" t="s">
        <v>145</v>
      </c>
      <c r="B6" s="20" t="s">
        <v>140</v>
      </c>
    </row>
    <row r="7" spans="1:2">
      <c r="A7" s="19" t="s">
        <v>141</v>
      </c>
      <c r="B7" s="20" t="s">
        <v>142</v>
      </c>
    </row>
    <row r="8" spans="1:2">
      <c r="A8" s="19" t="s">
        <v>143</v>
      </c>
      <c r="B8" s="20" t="s">
        <v>144</v>
      </c>
    </row>
    <row r="12" spans="1:2">
      <c r="A12" s="17" t="s">
        <v>859</v>
      </c>
    </row>
    <row r="13" spans="1:2">
      <c r="A13" s="45"/>
    </row>
    <row r="14" spans="1:2">
      <c r="A14" s="45" t="s">
        <v>847</v>
      </c>
      <c r="B14" s="1">
        <v>21</v>
      </c>
    </row>
    <row r="15" spans="1:2">
      <c r="A15" s="45" t="s">
        <v>848</v>
      </c>
      <c r="B15" s="1">
        <v>28</v>
      </c>
    </row>
    <row r="16" spans="1:2">
      <c r="A16" s="45" t="s">
        <v>849</v>
      </c>
      <c r="B16" s="1">
        <v>35</v>
      </c>
    </row>
    <row r="17" spans="1:2">
      <c r="A17" s="45" t="s">
        <v>850</v>
      </c>
      <c r="B17" s="1">
        <v>42</v>
      </c>
    </row>
    <row r="18" spans="1:2">
      <c r="A18" s="45" t="s">
        <v>851</v>
      </c>
      <c r="B18" s="1">
        <v>49</v>
      </c>
    </row>
    <row r="19" spans="1:2">
      <c r="A19" s="45" t="s">
        <v>852</v>
      </c>
      <c r="B19" s="1">
        <v>56</v>
      </c>
    </row>
    <row r="20" spans="1:2">
      <c r="A20" s="45" t="s">
        <v>853</v>
      </c>
      <c r="B20" s="1">
        <v>63</v>
      </c>
    </row>
    <row r="21" spans="1:2">
      <c r="A21" s="45" t="s">
        <v>854</v>
      </c>
      <c r="B21" s="1">
        <v>70</v>
      </c>
    </row>
    <row r="22" spans="1:2">
      <c r="A22" s="45" t="s">
        <v>855</v>
      </c>
      <c r="B22" s="1">
        <v>77</v>
      </c>
    </row>
    <row r="23" spans="1:2">
      <c r="A23" s="45" t="s">
        <v>856</v>
      </c>
      <c r="B23" s="1">
        <v>84</v>
      </c>
    </row>
    <row r="24" spans="1:2">
      <c r="A24" s="45" t="s">
        <v>857</v>
      </c>
      <c r="B24" s="1">
        <v>91</v>
      </c>
    </row>
    <row r="26" spans="1:2">
      <c r="A26" s="46"/>
    </row>
    <row r="27" spans="1:2">
      <c r="A27" s="46"/>
    </row>
    <row r="28" spans="1:2">
      <c r="A28" s="46"/>
    </row>
    <row r="29" spans="1:2">
      <c r="A29" s="46"/>
    </row>
    <row r="30" spans="1:2">
      <c r="A30" s="46"/>
    </row>
    <row r="31" spans="1:2">
      <c r="A31" s="46"/>
    </row>
    <row r="32" spans="1:2">
      <c r="A32" s="46"/>
    </row>
    <row r="33" spans="1:1">
      <c r="A33" s="46"/>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Q65"/>
  <sheetViews>
    <sheetView zoomScale="85" zoomScaleNormal="85" workbookViewId="0">
      <selection activeCell="G27" sqref="G27"/>
    </sheetView>
  </sheetViews>
  <sheetFormatPr defaultColWidth="9.140625" defaultRowHeight="12.75"/>
  <cols>
    <col min="1" max="1" width="15.140625" style="1" customWidth="1"/>
    <col min="2" max="2" width="12.42578125" style="1" customWidth="1"/>
    <col min="3" max="14" width="9.7109375" style="1" bestFit="1" customWidth="1"/>
    <col min="15" max="15" width="11.7109375" style="1" customWidth="1"/>
    <col min="16" max="16" width="10.140625" style="1" bestFit="1" customWidth="1"/>
    <col min="17" max="17" width="11.7109375" style="1" bestFit="1" customWidth="1"/>
    <col min="18" max="16384" width="9.140625" style="1"/>
  </cols>
  <sheetData>
    <row r="3" spans="1:17" ht="15">
      <c r="A3" s="48" t="s">
        <v>17</v>
      </c>
      <c r="C3" s="48" t="s">
        <v>19</v>
      </c>
      <c r="P3"/>
      <c r="Q3"/>
    </row>
    <row r="4" spans="1:17" ht="15">
      <c r="A4" s="48" t="s">
        <v>44</v>
      </c>
      <c r="B4" s="48" t="s">
        <v>1</v>
      </c>
      <c r="C4" s="1" t="s">
        <v>20</v>
      </c>
      <c r="D4" s="1" t="s">
        <v>21</v>
      </c>
      <c r="E4" s="1" t="s">
        <v>22</v>
      </c>
      <c r="F4" s="1" t="s">
        <v>23</v>
      </c>
      <c r="G4" s="1" t="s">
        <v>24</v>
      </c>
      <c r="H4" s="1" t="s">
        <v>25</v>
      </c>
      <c r="I4" s="1" t="s">
        <v>26</v>
      </c>
      <c r="J4" s="1" t="s">
        <v>27</v>
      </c>
      <c r="K4" s="1" t="s">
        <v>28</v>
      </c>
      <c r="L4" s="1" t="s">
        <v>29</v>
      </c>
      <c r="M4" s="1" t="s">
        <v>30</v>
      </c>
      <c r="N4" s="1" t="s">
        <v>31</v>
      </c>
      <c r="O4" s="1" t="s">
        <v>18</v>
      </c>
      <c r="P4"/>
      <c r="Q4"/>
    </row>
    <row r="5" spans="1:17" ht="15">
      <c r="A5" s="1">
        <v>2011</v>
      </c>
      <c r="B5" s="1" t="s">
        <v>11</v>
      </c>
      <c r="C5" s="4"/>
      <c r="D5" s="4"/>
      <c r="E5" s="4"/>
      <c r="F5" s="4"/>
      <c r="G5" s="4"/>
      <c r="H5" s="4"/>
      <c r="I5" s="4">
        <v>500</v>
      </c>
      <c r="J5" s="4"/>
      <c r="K5" s="4">
        <v>300</v>
      </c>
      <c r="L5" s="4">
        <v>300</v>
      </c>
      <c r="M5" s="4"/>
      <c r="N5" s="4"/>
      <c r="O5" s="4">
        <v>1100</v>
      </c>
      <c r="P5"/>
      <c r="Q5"/>
    </row>
    <row r="6" spans="1:17" ht="15">
      <c r="B6" s="1" t="s">
        <v>33</v>
      </c>
      <c r="C6" s="4"/>
      <c r="D6" s="4"/>
      <c r="E6" s="4"/>
      <c r="F6" s="4"/>
      <c r="G6" s="4"/>
      <c r="H6" s="4"/>
      <c r="I6" s="4"/>
      <c r="J6" s="4">
        <v>1596</v>
      </c>
      <c r="K6" s="4">
        <v>1204</v>
      </c>
      <c r="L6" s="4">
        <v>2408</v>
      </c>
      <c r="M6" s="4">
        <v>1806</v>
      </c>
      <c r="N6" s="4">
        <v>1679</v>
      </c>
      <c r="O6" s="4">
        <v>8693</v>
      </c>
      <c r="P6"/>
      <c r="Q6"/>
    </row>
    <row r="7" spans="1:17" ht="15">
      <c r="B7" s="1" t="s">
        <v>37</v>
      </c>
      <c r="C7" s="4"/>
      <c r="D7" s="4"/>
      <c r="E7" s="4"/>
      <c r="F7" s="4"/>
      <c r="G7" s="4"/>
      <c r="H7" s="4"/>
      <c r="I7" s="4"/>
      <c r="J7" s="4"/>
      <c r="K7" s="4">
        <v>16000</v>
      </c>
      <c r="L7" s="4"/>
      <c r="M7" s="4"/>
      <c r="N7" s="4"/>
      <c r="O7" s="4">
        <v>16000</v>
      </c>
      <c r="P7"/>
      <c r="Q7"/>
    </row>
    <row r="8" spans="1:17" ht="15">
      <c r="B8" s="1" t="s">
        <v>4</v>
      </c>
      <c r="C8" s="4"/>
      <c r="D8" s="4"/>
      <c r="E8" s="4"/>
      <c r="F8" s="4"/>
      <c r="G8" s="4"/>
      <c r="H8" s="4">
        <v>215</v>
      </c>
      <c r="I8" s="4"/>
      <c r="J8" s="4">
        <v>440</v>
      </c>
      <c r="K8" s="4">
        <v>1229</v>
      </c>
      <c r="L8" s="4">
        <v>2215</v>
      </c>
      <c r="M8" s="4">
        <v>1571</v>
      </c>
      <c r="N8" s="4">
        <v>1094</v>
      </c>
      <c r="O8" s="4">
        <v>6764</v>
      </c>
      <c r="P8"/>
      <c r="Q8"/>
    </row>
    <row r="9" spans="1:17" ht="15">
      <c r="B9" s="1" t="s">
        <v>14</v>
      </c>
      <c r="C9" s="4"/>
      <c r="D9" s="4"/>
      <c r="E9" s="4"/>
      <c r="F9" s="4"/>
      <c r="G9" s="4"/>
      <c r="H9" s="4"/>
      <c r="I9" s="4"/>
      <c r="J9" s="4"/>
      <c r="K9" s="4">
        <v>360</v>
      </c>
      <c r="L9" s="4"/>
      <c r="M9" s="4"/>
      <c r="N9" s="4"/>
      <c r="O9" s="4">
        <v>360</v>
      </c>
      <c r="P9"/>
      <c r="Q9"/>
    </row>
    <row r="10" spans="1:17" ht="15">
      <c r="B10" s="1" t="s">
        <v>15</v>
      </c>
      <c r="C10" s="4"/>
      <c r="D10" s="4"/>
      <c r="E10" s="4"/>
      <c r="F10" s="4"/>
      <c r="G10" s="4"/>
      <c r="H10" s="4"/>
      <c r="I10" s="4"/>
      <c r="J10" s="4">
        <v>250</v>
      </c>
      <c r="K10" s="4"/>
      <c r="L10" s="4"/>
      <c r="M10" s="4"/>
      <c r="N10" s="4">
        <v>250</v>
      </c>
      <c r="O10" s="4">
        <v>500</v>
      </c>
      <c r="P10"/>
      <c r="Q10"/>
    </row>
    <row r="11" spans="1:17" ht="15">
      <c r="B11" s="1" t="s">
        <v>42</v>
      </c>
      <c r="C11" s="4"/>
      <c r="D11" s="4"/>
      <c r="E11" s="4"/>
      <c r="F11" s="4"/>
      <c r="G11" s="4"/>
      <c r="H11" s="4"/>
      <c r="I11" s="4"/>
      <c r="J11" s="4"/>
      <c r="K11" s="4">
        <v>100</v>
      </c>
      <c r="L11" s="4"/>
      <c r="M11" s="4"/>
      <c r="N11" s="4"/>
      <c r="O11" s="4">
        <v>100</v>
      </c>
      <c r="P11"/>
      <c r="Q11"/>
    </row>
    <row r="12" spans="1:17" ht="15">
      <c r="B12" s="1" t="s">
        <v>34</v>
      </c>
      <c r="C12" s="4"/>
      <c r="D12" s="4"/>
      <c r="E12" s="4"/>
      <c r="F12" s="4"/>
      <c r="G12" s="4"/>
      <c r="H12" s="4"/>
      <c r="I12" s="4"/>
      <c r="J12" s="4"/>
      <c r="K12" s="4">
        <v>100</v>
      </c>
      <c r="L12" s="4"/>
      <c r="M12" s="4"/>
      <c r="N12" s="4"/>
      <c r="O12" s="4">
        <v>100</v>
      </c>
      <c r="P12"/>
      <c r="Q12"/>
    </row>
    <row r="13" spans="1:17" ht="15">
      <c r="A13" s="27" t="s">
        <v>45</v>
      </c>
      <c r="B13" s="27"/>
      <c r="C13" s="213"/>
      <c r="D13" s="213"/>
      <c r="E13" s="213"/>
      <c r="F13" s="213"/>
      <c r="G13" s="213"/>
      <c r="H13" s="213">
        <v>215</v>
      </c>
      <c r="I13" s="213">
        <v>500</v>
      </c>
      <c r="J13" s="213">
        <v>2286</v>
      </c>
      <c r="K13" s="213">
        <v>19293</v>
      </c>
      <c r="L13" s="213">
        <v>4923</v>
      </c>
      <c r="M13" s="213">
        <v>3377</v>
      </c>
      <c r="N13" s="213">
        <v>3023</v>
      </c>
      <c r="O13" s="213">
        <v>33617</v>
      </c>
      <c r="P13"/>
      <c r="Q13"/>
    </row>
    <row r="14" spans="1:17" ht="15">
      <c r="A14" s="1">
        <v>2012</v>
      </c>
      <c r="B14" s="1" t="s">
        <v>35</v>
      </c>
      <c r="C14" s="4"/>
      <c r="D14" s="4"/>
      <c r="E14" s="4"/>
      <c r="F14" s="4"/>
      <c r="G14" s="4"/>
      <c r="H14" s="4">
        <v>5000</v>
      </c>
      <c r="I14" s="4"/>
      <c r="J14" s="4"/>
      <c r="K14" s="4"/>
      <c r="L14" s="4"/>
      <c r="M14" s="4"/>
      <c r="N14" s="4"/>
      <c r="O14" s="4">
        <v>5000</v>
      </c>
      <c r="P14"/>
      <c r="Q14"/>
    </row>
    <row r="15" spans="1:17" ht="15">
      <c r="B15" s="1" t="s">
        <v>36</v>
      </c>
      <c r="C15" s="4"/>
      <c r="D15" s="4"/>
      <c r="E15" s="4"/>
      <c r="F15" s="4"/>
      <c r="G15" s="4"/>
      <c r="H15" s="4">
        <v>2499</v>
      </c>
      <c r="I15" s="4"/>
      <c r="J15" s="4"/>
      <c r="K15" s="4"/>
      <c r="L15" s="4"/>
      <c r="M15" s="4"/>
      <c r="N15" s="4"/>
      <c r="O15" s="4">
        <v>2499</v>
      </c>
      <c r="P15"/>
      <c r="Q15"/>
    </row>
    <row r="16" spans="1:17" ht="15">
      <c r="B16" s="1" t="s">
        <v>33</v>
      </c>
      <c r="C16" s="4">
        <v>3010</v>
      </c>
      <c r="D16" s="4">
        <v>3010</v>
      </c>
      <c r="E16" s="4">
        <v>3308</v>
      </c>
      <c r="F16" s="4">
        <v>2408</v>
      </c>
      <c r="G16" s="4">
        <v>1810</v>
      </c>
      <c r="H16" s="4"/>
      <c r="I16" s="4"/>
      <c r="J16" s="4"/>
      <c r="K16" s="4"/>
      <c r="L16" s="4"/>
      <c r="M16" s="4"/>
      <c r="N16" s="4"/>
      <c r="O16" s="4">
        <v>13546</v>
      </c>
      <c r="P16"/>
      <c r="Q16"/>
    </row>
    <row r="17" spans="1:17" ht="15">
      <c r="B17" s="1" t="s">
        <v>37</v>
      </c>
      <c r="C17" s="4"/>
      <c r="D17" s="4">
        <v>10000</v>
      </c>
      <c r="E17" s="4">
        <v>10000</v>
      </c>
      <c r="F17" s="4">
        <v>5000</v>
      </c>
      <c r="G17" s="4"/>
      <c r="H17" s="4"/>
      <c r="I17" s="4"/>
      <c r="J17" s="4"/>
      <c r="K17" s="4"/>
      <c r="L17" s="4"/>
      <c r="M17" s="4"/>
      <c r="N17" s="4"/>
      <c r="O17" s="4">
        <v>25000</v>
      </c>
      <c r="P17"/>
      <c r="Q17"/>
    </row>
    <row r="18" spans="1:17">
      <c r="B18" s="1" t="s">
        <v>47</v>
      </c>
      <c r="C18" s="4"/>
      <c r="D18" s="4"/>
      <c r="E18" s="4"/>
      <c r="F18" s="4"/>
      <c r="G18" s="4">
        <v>180000</v>
      </c>
      <c r="H18" s="4"/>
      <c r="I18" s="4"/>
      <c r="J18" s="4"/>
      <c r="K18" s="4"/>
      <c r="L18" s="4"/>
      <c r="M18" s="4"/>
      <c r="N18" s="4"/>
      <c r="O18" s="4">
        <v>180000</v>
      </c>
    </row>
    <row r="19" spans="1:17">
      <c r="B19" s="1" t="s">
        <v>4</v>
      </c>
      <c r="C19" s="4">
        <v>975</v>
      </c>
      <c r="D19" s="4">
        <v>285</v>
      </c>
      <c r="E19" s="4">
        <v>1383</v>
      </c>
      <c r="F19" s="4">
        <v>1021</v>
      </c>
      <c r="G19" s="4">
        <v>3672</v>
      </c>
      <c r="H19" s="4">
        <v>523</v>
      </c>
      <c r="I19" s="4"/>
      <c r="J19" s="4"/>
      <c r="K19" s="4"/>
      <c r="L19" s="4"/>
      <c r="M19" s="4"/>
      <c r="N19" s="4"/>
      <c r="O19" s="4">
        <v>7859</v>
      </c>
    </row>
    <row r="20" spans="1:17">
      <c r="B20" s="1" t="s">
        <v>15</v>
      </c>
      <c r="C20" s="4"/>
      <c r="D20" s="4">
        <v>500</v>
      </c>
      <c r="E20" s="4">
        <v>250</v>
      </c>
      <c r="F20" s="4">
        <v>250</v>
      </c>
      <c r="G20" s="4">
        <v>250</v>
      </c>
      <c r="H20" s="4">
        <v>250</v>
      </c>
      <c r="I20" s="4"/>
      <c r="J20" s="4"/>
      <c r="K20" s="4"/>
      <c r="L20" s="4"/>
      <c r="M20" s="4"/>
      <c r="N20" s="4"/>
      <c r="O20" s="4">
        <v>1500</v>
      </c>
    </row>
    <row r="21" spans="1:17">
      <c r="B21" s="1" t="s">
        <v>34</v>
      </c>
      <c r="C21" s="4"/>
      <c r="D21" s="4">
        <v>55</v>
      </c>
      <c r="E21" s="4">
        <v>110</v>
      </c>
      <c r="F21" s="4"/>
      <c r="G21" s="4"/>
      <c r="H21" s="4">
        <v>110</v>
      </c>
      <c r="I21" s="4"/>
      <c r="J21" s="4"/>
      <c r="K21" s="4"/>
      <c r="L21" s="4"/>
      <c r="M21" s="4"/>
      <c r="N21" s="4"/>
      <c r="O21" s="4">
        <v>275</v>
      </c>
    </row>
    <row r="22" spans="1:17">
      <c r="A22" s="27" t="s">
        <v>46</v>
      </c>
      <c r="B22" s="27"/>
      <c r="C22" s="213">
        <v>3985</v>
      </c>
      <c r="D22" s="213">
        <v>13850</v>
      </c>
      <c r="E22" s="213">
        <v>15051</v>
      </c>
      <c r="F22" s="213">
        <v>8679</v>
      </c>
      <c r="G22" s="213">
        <v>185732</v>
      </c>
      <c r="H22" s="213">
        <v>8382</v>
      </c>
      <c r="I22" s="213"/>
      <c r="J22" s="213"/>
      <c r="K22" s="213"/>
      <c r="L22" s="213"/>
      <c r="M22" s="213"/>
      <c r="N22" s="213"/>
      <c r="O22" s="213">
        <v>235679</v>
      </c>
    </row>
    <row r="23" spans="1:17">
      <c r="A23" s="1" t="s">
        <v>18</v>
      </c>
      <c r="C23" s="4">
        <v>3985</v>
      </c>
      <c r="D23" s="4">
        <v>13850</v>
      </c>
      <c r="E23" s="4">
        <v>15051</v>
      </c>
      <c r="F23" s="4">
        <v>8679</v>
      </c>
      <c r="G23" s="4">
        <v>185732</v>
      </c>
      <c r="H23" s="4">
        <v>8597</v>
      </c>
      <c r="I23" s="4">
        <v>500</v>
      </c>
      <c r="J23" s="4">
        <v>2286</v>
      </c>
      <c r="K23" s="4">
        <v>19293</v>
      </c>
      <c r="L23" s="4">
        <v>4923</v>
      </c>
      <c r="M23" s="4">
        <v>3377</v>
      </c>
      <c r="N23" s="4">
        <v>3023</v>
      </c>
      <c r="O23" s="4">
        <v>269296</v>
      </c>
    </row>
    <row r="24" spans="1:17" ht="15">
      <c r="A24"/>
      <c r="B24"/>
      <c r="C24"/>
      <c r="D24"/>
      <c r="E24"/>
    </row>
    <row r="25" spans="1:17" ht="15">
      <c r="A25"/>
      <c r="B25"/>
      <c r="C25"/>
      <c r="D25"/>
      <c r="E25"/>
    </row>
    <row r="26" spans="1:17" ht="15">
      <c r="A26"/>
      <c r="B26"/>
      <c r="C26"/>
      <c r="D26"/>
      <c r="E26"/>
    </row>
    <row r="27" spans="1:17" ht="15">
      <c r="A27"/>
      <c r="B27"/>
      <c r="C27"/>
      <c r="D27"/>
      <c r="E27"/>
    </row>
    <row r="28" spans="1:17" ht="15">
      <c r="A28"/>
      <c r="B28"/>
      <c r="C28"/>
      <c r="D28"/>
      <c r="E28"/>
    </row>
    <row r="29" spans="1:17" ht="15">
      <c r="A29"/>
      <c r="B29"/>
      <c r="C29"/>
      <c r="D29"/>
      <c r="E29"/>
    </row>
    <row r="30" spans="1:17" ht="15">
      <c r="A30"/>
      <c r="B30"/>
      <c r="C30"/>
      <c r="D30"/>
      <c r="E30"/>
    </row>
    <row r="31" spans="1:17" ht="15">
      <c r="A31"/>
      <c r="B31"/>
      <c r="C31"/>
      <c r="D31"/>
      <c r="E31"/>
    </row>
    <row r="32" spans="1:17" ht="15">
      <c r="A32"/>
      <c r="B32"/>
      <c r="C32"/>
      <c r="D32"/>
      <c r="E32"/>
    </row>
    <row r="33" spans="1:5" ht="15">
      <c r="A33"/>
      <c r="B33"/>
      <c r="C33"/>
      <c r="D33"/>
      <c r="E33"/>
    </row>
    <row r="34" spans="1:5" ht="15">
      <c r="A34"/>
      <c r="B34"/>
      <c r="C34"/>
      <c r="D34"/>
      <c r="E34"/>
    </row>
    <row r="35" spans="1:5" ht="15">
      <c r="A35"/>
      <c r="B35"/>
      <c r="C35"/>
      <c r="D35"/>
      <c r="E35"/>
    </row>
    <row r="36" spans="1:5" ht="15">
      <c r="A36"/>
      <c r="B36"/>
      <c r="C36"/>
      <c r="D36"/>
      <c r="E36"/>
    </row>
    <row r="37" spans="1:5" ht="15">
      <c r="A37"/>
      <c r="B37"/>
      <c r="C37"/>
      <c r="D37"/>
      <c r="E37"/>
    </row>
    <row r="38" spans="1:5" ht="15">
      <c r="A38"/>
      <c r="B38"/>
      <c r="C38"/>
      <c r="D38"/>
      <c r="E38"/>
    </row>
    <row r="39" spans="1:5" ht="15">
      <c r="A39"/>
      <c r="B39"/>
      <c r="C39"/>
      <c r="D39"/>
      <c r="E39"/>
    </row>
    <row r="40" spans="1:5" ht="15">
      <c r="A40"/>
      <c r="B40"/>
      <c r="C40"/>
      <c r="D40"/>
      <c r="E40"/>
    </row>
    <row r="41" spans="1:5" ht="15">
      <c r="A41"/>
      <c r="B41"/>
      <c r="C41"/>
      <c r="D41"/>
      <c r="E41"/>
    </row>
    <row r="42" spans="1:5" ht="15">
      <c r="A42"/>
      <c r="B42"/>
      <c r="C42"/>
      <c r="D42"/>
      <c r="E42"/>
    </row>
    <row r="43" spans="1:5" ht="15">
      <c r="A43"/>
      <c r="B43"/>
      <c r="C43"/>
      <c r="D43"/>
      <c r="E43"/>
    </row>
    <row r="44" spans="1:5" ht="15">
      <c r="A44"/>
      <c r="B44"/>
      <c r="C44"/>
      <c r="D44"/>
      <c r="E44"/>
    </row>
    <row r="45" spans="1:5" ht="15">
      <c r="A45"/>
      <c r="B45"/>
      <c r="C45"/>
      <c r="D45"/>
      <c r="E45"/>
    </row>
    <row r="46" spans="1:5" ht="15">
      <c r="A46"/>
      <c r="B46"/>
      <c r="C46"/>
      <c r="D46"/>
      <c r="E46"/>
    </row>
    <row r="47" spans="1:5" ht="15">
      <c r="A47"/>
      <c r="B47"/>
      <c r="C47"/>
      <c r="D47"/>
      <c r="E47"/>
    </row>
    <row r="48" spans="1:5" ht="15">
      <c r="A48"/>
      <c r="B48"/>
      <c r="C48"/>
      <c r="D48"/>
      <c r="E48"/>
    </row>
    <row r="49" spans="1:5" ht="15">
      <c r="A49"/>
      <c r="B49"/>
      <c r="C49"/>
      <c r="D49"/>
      <c r="E49"/>
    </row>
    <row r="50" spans="1:5" ht="15">
      <c r="A50"/>
      <c r="B50"/>
      <c r="C50"/>
      <c r="D50"/>
      <c r="E50"/>
    </row>
    <row r="51" spans="1:5" ht="15">
      <c r="A51"/>
      <c r="B51"/>
      <c r="C51"/>
      <c r="D51"/>
      <c r="E51"/>
    </row>
    <row r="52" spans="1:5" ht="15">
      <c r="A52"/>
      <c r="B52"/>
      <c r="C52"/>
      <c r="D52"/>
      <c r="E52"/>
    </row>
    <row r="53" spans="1:5" ht="15">
      <c r="A53"/>
      <c r="B53"/>
      <c r="C53"/>
      <c r="D53"/>
      <c r="E53"/>
    </row>
    <row r="54" spans="1:5" ht="15">
      <c r="A54"/>
      <c r="B54"/>
      <c r="C54"/>
      <c r="D54"/>
      <c r="E54"/>
    </row>
    <row r="55" spans="1:5" ht="15">
      <c r="A55"/>
      <c r="B55"/>
      <c r="C55"/>
      <c r="D55"/>
      <c r="E55"/>
    </row>
    <row r="56" spans="1:5" ht="15">
      <c r="A56"/>
      <c r="B56"/>
      <c r="C56"/>
      <c r="D56"/>
      <c r="E56"/>
    </row>
    <row r="57" spans="1:5" ht="15">
      <c r="A57"/>
      <c r="B57"/>
      <c r="C57"/>
      <c r="D57"/>
      <c r="E57"/>
    </row>
    <row r="58" spans="1:5" ht="15">
      <c r="A58"/>
      <c r="B58"/>
      <c r="C58"/>
      <c r="D58"/>
      <c r="E58"/>
    </row>
    <row r="59" spans="1:5" ht="15">
      <c r="A59"/>
      <c r="B59"/>
      <c r="C59"/>
      <c r="D59"/>
      <c r="E59"/>
    </row>
    <row r="60" spans="1:5" ht="15">
      <c r="A60"/>
      <c r="B60"/>
      <c r="C60"/>
      <c r="D60"/>
      <c r="E60"/>
    </row>
    <row r="61" spans="1:5" ht="15">
      <c r="A61"/>
      <c r="B61"/>
      <c r="C61"/>
      <c r="D61"/>
      <c r="E61"/>
    </row>
    <row r="62" spans="1:5" ht="15">
      <c r="A62"/>
      <c r="B62"/>
      <c r="C62"/>
      <c r="D62"/>
    </row>
    <row r="63" spans="1:5" ht="15">
      <c r="A63"/>
      <c r="B63"/>
      <c r="C63"/>
      <c r="D63"/>
    </row>
    <row r="64" spans="1:5" ht="15">
      <c r="A64"/>
      <c r="B64"/>
      <c r="C64"/>
      <c r="D64"/>
    </row>
    <row r="65" spans="1:4" ht="15">
      <c r="A65"/>
      <c r="B65"/>
      <c r="C65"/>
      <c r="D65"/>
    </row>
  </sheetData>
  <pageMargins left="0.7" right="0.7" top="0.75" bottom="0.75" header="0.3" footer="0.3"/>
  <pageSetup paperSize="9" orientation="portrait"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O84"/>
  <sheetViews>
    <sheetView workbookViewId="0">
      <pane ySplit="2" topLeftCell="A60" activePane="bottomLeft" state="frozen"/>
      <selection pane="bottomLeft" activeCell="F82" sqref="F82"/>
    </sheetView>
  </sheetViews>
  <sheetFormatPr defaultColWidth="11.42578125" defaultRowHeight="12.75"/>
  <cols>
    <col min="1" max="1" width="9.7109375" style="2" bestFit="1" customWidth="1"/>
    <col min="2" max="2" width="8.85546875" style="1" bestFit="1" customWidth="1"/>
    <col min="3" max="3" width="8.85546875" style="1" customWidth="1"/>
    <col min="4" max="4" width="12.42578125" style="1" bestFit="1" customWidth="1"/>
    <col min="5" max="5" width="7.7109375" style="1" bestFit="1" customWidth="1"/>
    <col min="6" max="6" width="11.85546875" style="5" bestFit="1" customWidth="1"/>
    <col min="7" max="7" width="12.42578125" style="1" bestFit="1" customWidth="1"/>
    <col min="8" max="13" width="11.42578125" style="1"/>
    <col min="14" max="14" width="3" style="1" hidden="1" customWidth="1"/>
    <col min="15" max="15" width="4.5703125" style="1" hidden="1" customWidth="1"/>
    <col min="16" max="16384" width="11.42578125" style="1"/>
  </cols>
  <sheetData>
    <row r="2" spans="1:15">
      <c r="A2" s="9" t="s">
        <v>0</v>
      </c>
      <c r="B2" s="9" t="s">
        <v>19</v>
      </c>
      <c r="C2" s="9" t="s">
        <v>44</v>
      </c>
      <c r="D2" s="7" t="s">
        <v>1</v>
      </c>
      <c r="E2" s="7" t="s">
        <v>3</v>
      </c>
      <c r="F2" s="14" t="s">
        <v>2</v>
      </c>
      <c r="G2" s="7" t="s">
        <v>32</v>
      </c>
    </row>
    <row r="3" spans="1:15">
      <c r="A3" s="2">
        <v>40705</v>
      </c>
      <c r="B3" s="1" t="str">
        <f t="shared" ref="B3:B34" si="0">VLOOKUP(MONTH(A3),$N$3:$O$14,2,0)</f>
        <v>Jun</v>
      </c>
      <c r="C3" s="1">
        <f t="shared" ref="C3:C34" si="1">YEAR(A3)</f>
        <v>2011</v>
      </c>
      <c r="D3" s="1" t="s">
        <v>4</v>
      </c>
      <c r="E3" s="1" t="s">
        <v>13</v>
      </c>
      <c r="F3" s="5">
        <v>215</v>
      </c>
      <c r="N3" s="1">
        <v>1</v>
      </c>
      <c r="O3" s="1" t="s">
        <v>20</v>
      </c>
    </row>
    <row r="4" spans="1:15">
      <c r="A4" s="2">
        <v>40755</v>
      </c>
      <c r="B4" s="1" t="str">
        <f t="shared" si="0"/>
        <v>Jul</v>
      </c>
      <c r="C4" s="1">
        <f t="shared" si="1"/>
        <v>2011</v>
      </c>
      <c r="D4" s="1" t="s">
        <v>11</v>
      </c>
      <c r="F4" s="5">
        <v>500</v>
      </c>
      <c r="N4" s="1">
        <v>2</v>
      </c>
      <c r="O4" s="1" t="s">
        <v>21</v>
      </c>
    </row>
    <row r="5" spans="1:15">
      <c r="A5" s="2">
        <v>40762</v>
      </c>
      <c r="B5" s="1" t="str">
        <f t="shared" si="0"/>
        <v>Aug</v>
      </c>
      <c r="C5" s="1">
        <f t="shared" si="1"/>
        <v>2011</v>
      </c>
      <c r="D5" s="1" t="s">
        <v>33</v>
      </c>
      <c r="F5" s="5">
        <v>532</v>
      </c>
      <c r="G5" s="1" t="s">
        <v>43</v>
      </c>
      <c r="N5" s="1">
        <v>3</v>
      </c>
      <c r="O5" s="1" t="s">
        <v>22</v>
      </c>
    </row>
    <row r="6" spans="1:15">
      <c r="A6" s="2">
        <v>40762</v>
      </c>
      <c r="B6" s="1" t="str">
        <f t="shared" si="0"/>
        <v>Aug</v>
      </c>
      <c r="C6" s="1">
        <f t="shared" si="1"/>
        <v>2011</v>
      </c>
      <c r="D6" s="1" t="s">
        <v>4</v>
      </c>
      <c r="F6" s="5">
        <v>440</v>
      </c>
      <c r="N6" s="1">
        <v>4</v>
      </c>
      <c r="O6" s="1" t="s">
        <v>23</v>
      </c>
    </row>
    <row r="7" spans="1:15">
      <c r="A7" s="2">
        <v>40768</v>
      </c>
      <c r="B7" s="1" t="str">
        <f t="shared" si="0"/>
        <v>Aug</v>
      </c>
      <c r="C7" s="1">
        <f t="shared" si="1"/>
        <v>2011</v>
      </c>
      <c r="D7" s="1" t="s">
        <v>33</v>
      </c>
      <c r="E7" s="1" t="s">
        <v>13</v>
      </c>
      <c r="F7" s="5">
        <v>532</v>
      </c>
      <c r="G7" s="1" t="s">
        <v>39</v>
      </c>
      <c r="N7" s="1">
        <v>5</v>
      </c>
      <c r="O7" s="1" t="s">
        <v>24</v>
      </c>
    </row>
    <row r="8" spans="1:15">
      <c r="A8" s="2">
        <v>40778</v>
      </c>
      <c r="B8" s="1" t="str">
        <f t="shared" si="0"/>
        <v>Aug</v>
      </c>
      <c r="C8" s="1">
        <f t="shared" si="1"/>
        <v>2011</v>
      </c>
      <c r="D8" s="1" t="s">
        <v>15</v>
      </c>
      <c r="F8" s="5">
        <v>250</v>
      </c>
      <c r="N8" s="1">
        <v>6</v>
      </c>
      <c r="O8" s="1" t="s">
        <v>25</v>
      </c>
    </row>
    <row r="9" spans="1:15">
      <c r="A9" s="2">
        <v>40783</v>
      </c>
      <c r="B9" s="1" t="str">
        <f t="shared" si="0"/>
        <v>Aug</v>
      </c>
      <c r="C9" s="1">
        <f t="shared" si="1"/>
        <v>2011</v>
      </c>
      <c r="D9" s="1" t="s">
        <v>33</v>
      </c>
      <c r="F9" s="5">
        <v>532</v>
      </c>
      <c r="G9" s="1" t="s">
        <v>43</v>
      </c>
      <c r="N9" s="1">
        <v>7</v>
      </c>
      <c r="O9" s="1" t="s">
        <v>26</v>
      </c>
    </row>
    <row r="10" spans="1:15">
      <c r="A10" s="2">
        <v>40797</v>
      </c>
      <c r="B10" s="1" t="str">
        <f t="shared" si="0"/>
        <v>Sep</v>
      </c>
      <c r="C10" s="1">
        <f t="shared" si="1"/>
        <v>2011</v>
      </c>
      <c r="D10" s="1" t="s">
        <v>4</v>
      </c>
      <c r="F10" s="5">
        <v>944</v>
      </c>
      <c r="N10" s="1">
        <v>8</v>
      </c>
      <c r="O10" s="1" t="s">
        <v>27</v>
      </c>
    </row>
    <row r="11" spans="1:15">
      <c r="A11" s="2">
        <v>40797</v>
      </c>
      <c r="B11" s="1" t="str">
        <f t="shared" si="0"/>
        <v>Sep</v>
      </c>
      <c r="C11" s="1">
        <f t="shared" si="1"/>
        <v>2011</v>
      </c>
      <c r="D11" s="1" t="s">
        <v>11</v>
      </c>
      <c r="F11" s="5">
        <v>300</v>
      </c>
      <c r="N11" s="1">
        <v>9</v>
      </c>
      <c r="O11" s="1" t="s">
        <v>28</v>
      </c>
    </row>
    <row r="12" spans="1:15">
      <c r="A12" s="2">
        <v>40804</v>
      </c>
      <c r="B12" s="1" t="str">
        <f t="shared" si="0"/>
        <v>Sep</v>
      </c>
      <c r="C12" s="1">
        <f t="shared" si="1"/>
        <v>2011</v>
      </c>
      <c r="D12" s="1" t="s">
        <v>14</v>
      </c>
      <c r="E12" s="1" t="s">
        <v>12</v>
      </c>
      <c r="F12" s="5">
        <v>360</v>
      </c>
      <c r="N12" s="1">
        <v>10</v>
      </c>
      <c r="O12" s="1" t="s">
        <v>29</v>
      </c>
    </row>
    <row r="13" spans="1:15">
      <c r="A13" s="2">
        <v>40804</v>
      </c>
      <c r="B13" s="1" t="str">
        <f t="shared" si="0"/>
        <v>Sep</v>
      </c>
      <c r="C13" s="1">
        <f t="shared" si="1"/>
        <v>2011</v>
      </c>
      <c r="D13" s="1" t="s">
        <v>33</v>
      </c>
      <c r="F13" s="5">
        <v>602</v>
      </c>
      <c r="G13" s="1" t="s">
        <v>38</v>
      </c>
      <c r="N13" s="1">
        <v>11</v>
      </c>
      <c r="O13" s="1" t="s">
        <v>30</v>
      </c>
    </row>
    <row r="14" spans="1:15">
      <c r="A14" s="2">
        <v>40808</v>
      </c>
      <c r="B14" s="1" t="str">
        <f t="shared" si="0"/>
        <v>Sep</v>
      </c>
      <c r="C14" s="1">
        <f t="shared" si="1"/>
        <v>2011</v>
      </c>
      <c r="D14" s="1" t="s">
        <v>37</v>
      </c>
      <c r="F14" s="5">
        <v>8000</v>
      </c>
      <c r="G14" s="1" t="s">
        <v>37</v>
      </c>
      <c r="N14" s="1">
        <v>12</v>
      </c>
      <c r="O14" s="1" t="s">
        <v>31</v>
      </c>
    </row>
    <row r="15" spans="1:15">
      <c r="A15" s="2">
        <v>40808</v>
      </c>
      <c r="B15" s="1" t="str">
        <f t="shared" si="0"/>
        <v>Sep</v>
      </c>
      <c r="C15" s="1">
        <f t="shared" si="1"/>
        <v>2011</v>
      </c>
      <c r="D15" s="1" t="s">
        <v>42</v>
      </c>
      <c r="F15" s="5">
        <v>100</v>
      </c>
    </row>
    <row r="16" spans="1:15">
      <c r="A16" s="2">
        <v>40809</v>
      </c>
      <c r="B16" s="1" t="str">
        <f t="shared" si="0"/>
        <v>Sep</v>
      </c>
      <c r="C16" s="1">
        <f t="shared" si="1"/>
        <v>2011</v>
      </c>
      <c r="D16" s="1" t="s">
        <v>37</v>
      </c>
      <c r="F16" s="5">
        <v>8000</v>
      </c>
      <c r="G16" s="1" t="s">
        <v>37</v>
      </c>
    </row>
    <row r="17" spans="1:7">
      <c r="A17" s="2">
        <v>40809</v>
      </c>
      <c r="B17" s="1" t="str">
        <f t="shared" si="0"/>
        <v>Sep</v>
      </c>
      <c r="C17" s="1">
        <f t="shared" si="1"/>
        <v>2011</v>
      </c>
      <c r="D17" s="1" t="s">
        <v>34</v>
      </c>
      <c r="F17" s="5">
        <v>100</v>
      </c>
      <c r="G17" s="1">
        <v>2</v>
      </c>
    </row>
    <row r="18" spans="1:7">
      <c r="A18" s="2">
        <v>40809</v>
      </c>
      <c r="B18" s="1" t="str">
        <f t="shared" si="0"/>
        <v>Sep</v>
      </c>
      <c r="C18" s="1">
        <f t="shared" si="1"/>
        <v>2011</v>
      </c>
      <c r="D18" s="1" t="s">
        <v>4</v>
      </c>
      <c r="F18" s="5">
        <v>285</v>
      </c>
    </row>
    <row r="19" spans="1:7">
      <c r="A19" s="2">
        <v>40811</v>
      </c>
      <c r="B19" s="1" t="str">
        <f t="shared" si="0"/>
        <v>Sep</v>
      </c>
      <c r="C19" s="1">
        <f t="shared" si="1"/>
        <v>2011</v>
      </c>
      <c r="D19" s="1" t="s">
        <v>33</v>
      </c>
      <c r="E19" s="1" t="s">
        <v>13</v>
      </c>
      <c r="F19" s="5">
        <v>602</v>
      </c>
      <c r="G19" s="1" t="s">
        <v>38</v>
      </c>
    </row>
    <row r="20" spans="1:7">
      <c r="A20" s="2">
        <v>40818</v>
      </c>
      <c r="B20" s="1" t="str">
        <f t="shared" si="0"/>
        <v>Oct</v>
      </c>
      <c r="C20" s="1">
        <f t="shared" si="1"/>
        <v>2011</v>
      </c>
      <c r="D20" s="1" t="s">
        <v>33</v>
      </c>
      <c r="F20" s="5">
        <v>602</v>
      </c>
      <c r="G20" s="1" t="s">
        <v>38</v>
      </c>
    </row>
    <row r="21" spans="1:7">
      <c r="A21" s="2">
        <v>40818</v>
      </c>
      <c r="B21" s="1" t="str">
        <f t="shared" si="0"/>
        <v>Oct</v>
      </c>
      <c r="C21" s="1">
        <f t="shared" si="1"/>
        <v>2011</v>
      </c>
      <c r="D21" s="1" t="s">
        <v>4</v>
      </c>
      <c r="F21" s="5">
        <v>1346</v>
      </c>
    </row>
    <row r="22" spans="1:7">
      <c r="A22" s="2">
        <v>40826</v>
      </c>
      <c r="B22" s="1" t="str">
        <f t="shared" si="0"/>
        <v>Oct</v>
      </c>
      <c r="C22" s="1">
        <f t="shared" si="1"/>
        <v>2011</v>
      </c>
      <c r="D22" s="1" t="s">
        <v>33</v>
      </c>
      <c r="F22" s="5">
        <v>602</v>
      </c>
      <c r="G22" s="1" t="s">
        <v>38</v>
      </c>
    </row>
    <row r="23" spans="1:7">
      <c r="A23" s="2">
        <v>40832</v>
      </c>
      <c r="B23" s="1" t="str">
        <f t="shared" si="0"/>
        <v>Oct</v>
      </c>
      <c r="C23" s="1">
        <f t="shared" si="1"/>
        <v>2011</v>
      </c>
      <c r="D23" s="1" t="s">
        <v>4</v>
      </c>
      <c r="F23" s="5">
        <v>44</v>
      </c>
    </row>
    <row r="24" spans="1:7">
      <c r="A24" s="2">
        <v>40832</v>
      </c>
      <c r="B24" s="1" t="str">
        <f t="shared" si="0"/>
        <v>Oct</v>
      </c>
      <c r="C24" s="1">
        <f t="shared" si="1"/>
        <v>2011</v>
      </c>
      <c r="D24" s="1" t="s">
        <v>33</v>
      </c>
      <c r="F24" s="5">
        <v>602</v>
      </c>
      <c r="G24" s="1" t="s">
        <v>38</v>
      </c>
    </row>
    <row r="25" spans="1:7">
      <c r="A25" s="2">
        <v>40847</v>
      </c>
      <c r="B25" s="1" t="str">
        <f t="shared" si="0"/>
        <v>Oct</v>
      </c>
      <c r="C25" s="1">
        <f t="shared" si="1"/>
        <v>2011</v>
      </c>
      <c r="D25" s="1" t="s">
        <v>33</v>
      </c>
      <c r="F25" s="5">
        <v>602</v>
      </c>
      <c r="G25" s="1" t="s">
        <v>38</v>
      </c>
    </row>
    <row r="26" spans="1:7">
      <c r="A26" s="2">
        <v>40847</v>
      </c>
      <c r="B26" s="1" t="str">
        <f t="shared" si="0"/>
        <v>Oct</v>
      </c>
      <c r="C26" s="1">
        <f t="shared" si="1"/>
        <v>2011</v>
      </c>
      <c r="D26" s="1" t="s">
        <v>4</v>
      </c>
      <c r="F26" s="5">
        <v>825</v>
      </c>
    </row>
    <row r="27" spans="1:7">
      <c r="A27" s="2">
        <v>40847</v>
      </c>
      <c r="B27" s="1" t="str">
        <f t="shared" si="0"/>
        <v>Oct</v>
      </c>
      <c r="C27" s="1">
        <f t="shared" si="1"/>
        <v>2011</v>
      </c>
      <c r="D27" s="1" t="s">
        <v>11</v>
      </c>
      <c r="F27" s="5">
        <v>300</v>
      </c>
    </row>
    <row r="28" spans="1:7">
      <c r="A28" s="2">
        <v>40856</v>
      </c>
      <c r="B28" s="1" t="str">
        <f t="shared" si="0"/>
        <v>Nov</v>
      </c>
      <c r="C28" s="1">
        <f t="shared" si="1"/>
        <v>2011</v>
      </c>
      <c r="D28" s="1" t="s">
        <v>33</v>
      </c>
      <c r="F28" s="5">
        <v>602</v>
      </c>
      <c r="G28" s="1" t="s">
        <v>38</v>
      </c>
    </row>
    <row r="29" spans="1:7">
      <c r="A29" s="2">
        <v>40856</v>
      </c>
      <c r="B29" s="1" t="str">
        <f t="shared" si="0"/>
        <v>Nov</v>
      </c>
      <c r="C29" s="1">
        <f t="shared" si="1"/>
        <v>2011</v>
      </c>
      <c r="D29" s="1" t="s">
        <v>4</v>
      </c>
      <c r="F29" s="5">
        <v>1346</v>
      </c>
    </row>
    <row r="30" spans="1:7">
      <c r="A30" s="2">
        <v>40860</v>
      </c>
      <c r="B30" s="1" t="str">
        <f t="shared" si="0"/>
        <v>Nov</v>
      </c>
      <c r="C30" s="1">
        <f t="shared" si="1"/>
        <v>2011</v>
      </c>
      <c r="D30" s="1" t="s">
        <v>33</v>
      </c>
      <c r="F30" s="5">
        <v>602</v>
      </c>
      <c r="G30" s="1" t="s">
        <v>38</v>
      </c>
    </row>
    <row r="31" spans="1:7">
      <c r="A31" s="2">
        <v>40860</v>
      </c>
      <c r="B31" s="1" t="str">
        <f t="shared" si="0"/>
        <v>Nov</v>
      </c>
      <c r="C31" s="1">
        <f t="shared" si="1"/>
        <v>2011</v>
      </c>
      <c r="D31" s="1" t="s">
        <v>4</v>
      </c>
      <c r="F31" s="5">
        <v>225</v>
      </c>
    </row>
    <row r="32" spans="1:7">
      <c r="A32" s="2">
        <v>40868</v>
      </c>
      <c r="B32" s="1" t="str">
        <f t="shared" si="0"/>
        <v>Nov</v>
      </c>
      <c r="C32" s="1">
        <f t="shared" si="1"/>
        <v>2011</v>
      </c>
      <c r="D32" s="1" t="s">
        <v>33</v>
      </c>
      <c r="F32" s="5">
        <v>602</v>
      </c>
      <c r="G32" s="1" t="s">
        <v>38</v>
      </c>
    </row>
    <row r="33" spans="1:7">
      <c r="A33" s="2">
        <v>40889</v>
      </c>
      <c r="B33" s="1" t="str">
        <f t="shared" si="0"/>
        <v>Dec</v>
      </c>
      <c r="C33" s="1">
        <f t="shared" si="1"/>
        <v>2011</v>
      </c>
      <c r="D33" s="1" t="s">
        <v>33</v>
      </c>
      <c r="F33" s="5">
        <v>602</v>
      </c>
      <c r="G33" s="1" t="s">
        <v>38</v>
      </c>
    </row>
    <row r="34" spans="1:7">
      <c r="A34" s="2">
        <v>40889</v>
      </c>
      <c r="B34" s="1" t="str">
        <f t="shared" si="0"/>
        <v>Dec</v>
      </c>
      <c r="C34" s="1">
        <f t="shared" si="1"/>
        <v>2011</v>
      </c>
      <c r="D34" s="1" t="s">
        <v>4</v>
      </c>
      <c r="F34" s="5">
        <v>1094</v>
      </c>
    </row>
    <row r="35" spans="1:7">
      <c r="A35" s="2">
        <v>40896</v>
      </c>
      <c r="B35" s="1" t="str">
        <f t="shared" ref="B35:B66" si="2">VLOOKUP(MONTH(A35),$N$3:$O$14,2,0)</f>
        <v>Dec</v>
      </c>
      <c r="C35" s="1">
        <f t="shared" ref="C35:C66" si="3">YEAR(A35)</f>
        <v>2011</v>
      </c>
      <c r="D35" s="1" t="s">
        <v>33</v>
      </c>
      <c r="F35" s="5">
        <v>602</v>
      </c>
      <c r="G35" s="1" t="s">
        <v>38</v>
      </c>
    </row>
    <row r="36" spans="1:7">
      <c r="A36" s="2">
        <v>40901</v>
      </c>
      <c r="B36" s="4" t="str">
        <f t="shared" si="2"/>
        <v>Dec</v>
      </c>
      <c r="C36" s="1">
        <f t="shared" si="3"/>
        <v>2011</v>
      </c>
      <c r="D36" s="1" t="s">
        <v>15</v>
      </c>
      <c r="E36" s="1" t="s">
        <v>13</v>
      </c>
      <c r="F36" s="5">
        <v>250</v>
      </c>
    </row>
    <row r="37" spans="1:7">
      <c r="A37" s="2">
        <v>40905</v>
      </c>
      <c r="B37" s="1" t="str">
        <f t="shared" si="2"/>
        <v>Dec</v>
      </c>
      <c r="C37" s="1">
        <f t="shared" si="3"/>
        <v>2011</v>
      </c>
      <c r="D37" s="1" t="s">
        <v>33</v>
      </c>
      <c r="F37" s="5">
        <v>475</v>
      </c>
      <c r="G37" s="1" t="s">
        <v>41</v>
      </c>
    </row>
    <row r="38" spans="1:7">
      <c r="A38" s="2">
        <v>40910</v>
      </c>
      <c r="B38" s="1" t="str">
        <f t="shared" si="2"/>
        <v>Jan</v>
      </c>
      <c r="C38" s="1">
        <f t="shared" si="3"/>
        <v>2012</v>
      </c>
      <c r="D38" s="1" t="s">
        <v>33</v>
      </c>
      <c r="F38" s="5">
        <v>602</v>
      </c>
      <c r="G38" s="1" t="s">
        <v>38</v>
      </c>
    </row>
    <row r="39" spans="1:7">
      <c r="A39" s="2">
        <v>40917</v>
      </c>
      <c r="B39" s="1" t="str">
        <f t="shared" si="2"/>
        <v>Jan</v>
      </c>
      <c r="C39" s="1">
        <f t="shared" si="3"/>
        <v>2012</v>
      </c>
      <c r="D39" s="1" t="s">
        <v>33</v>
      </c>
      <c r="F39" s="5">
        <v>602</v>
      </c>
      <c r="G39" s="1" t="s">
        <v>38</v>
      </c>
    </row>
    <row r="40" spans="1:7">
      <c r="A40" s="2">
        <v>40924</v>
      </c>
      <c r="B40" s="1" t="str">
        <f t="shared" si="2"/>
        <v>Jan</v>
      </c>
      <c r="C40" s="1">
        <f t="shared" si="3"/>
        <v>2012</v>
      </c>
      <c r="D40" s="1" t="s">
        <v>33</v>
      </c>
      <c r="F40" s="5">
        <v>602</v>
      </c>
      <c r="G40" s="1" t="s">
        <v>38</v>
      </c>
    </row>
    <row r="41" spans="1:7">
      <c r="A41" s="2">
        <v>40931</v>
      </c>
      <c r="B41" s="1" t="str">
        <f t="shared" si="2"/>
        <v>Jan</v>
      </c>
      <c r="C41" s="1">
        <f t="shared" si="3"/>
        <v>2012</v>
      </c>
      <c r="D41" s="1" t="s">
        <v>33</v>
      </c>
      <c r="F41" s="5">
        <v>602</v>
      </c>
      <c r="G41" s="1" t="s">
        <v>38</v>
      </c>
    </row>
    <row r="42" spans="1:7">
      <c r="A42" s="2">
        <v>40931</v>
      </c>
      <c r="B42" s="1" t="str">
        <f t="shared" si="2"/>
        <v>Jan</v>
      </c>
      <c r="C42" s="1">
        <f t="shared" si="3"/>
        <v>2012</v>
      </c>
      <c r="D42" s="1" t="s">
        <v>4</v>
      </c>
      <c r="F42" s="5">
        <v>975</v>
      </c>
    </row>
    <row r="43" spans="1:7">
      <c r="A43" s="2">
        <v>40938</v>
      </c>
      <c r="B43" s="1" t="str">
        <f t="shared" si="2"/>
        <v>Jan</v>
      </c>
      <c r="C43" s="1">
        <f t="shared" si="3"/>
        <v>2012</v>
      </c>
      <c r="D43" s="1" t="s">
        <v>33</v>
      </c>
      <c r="F43" s="5">
        <v>602</v>
      </c>
      <c r="G43" s="1" t="s">
        <v>38</v>
      </c>
    </row>
    <row r="44" spans="1:7">
      <c r="A44" s="2">
        <v>40945</v>
      </c>
      <c r="B44" s="1" t="str">
        <f t="shared" si="2"/>
        <v>Feb</v>
      </c>
      <c r="C44" s="1">
        <f t="shared" si="3"/>
        <v>2012</v>
      </c>
      <c r="D44" s="1" t="s">
        <v>33</v>
      </c>
      <c r="F44" s="5">
        <v>602</v>
      </c>
      <c r="G44" s="1" t="s">
        <v>38</v>
      </c>
    </row>
    <row r="45" spans="1:7">
      <c r="A45" s="2">
        <v>40949</v>
      </c>
      <c r="B45" s="1" t="str">
        <f t="shared" si="2"/>
        <v>Feb</v>
      </c>
      <c r="C45" s="1">
        <f t="shared" si="3"/>
        <v>2012</v>
      </c>
      <c r="D45" s="1" t="s">
        <v>15</v>
      </c>
      <c r="F45" s="5">
        <v>250</v>
      </c>
    </row>
    <row r="46" spans="1:7">
      <c r="A46" s="2">
        <v>40950</v>
      </c>
      <c r="B46" s="1" t="str">
        <f t="shared" si="2"/>
        <v>Feb</v>
      </c>
      <c r="C46" s="1">
        <f t="shared" si="3"/>
        <v>2012</v>
      </c>
      <c r="D46" s="1" t="s">
        <v>37</v>
      </c>
      <c r="F46" s="5">
        <v>5000</v>
      </c>
      <c r="G46" s="1" t="s">
        <v>37</v>
      </c>
    </row>
    <row r="47" spans="1:7">
      <c r="A47" s="2">
        <v>40950</v>
      </c>
      <c r="B47" s="1" t="str">
        <f t="shared" si="2"/>
        <v>Feb</v>
      </c>
      <c r="C47" s="1">
        <f t="shared" si="3"/>
        <v>2012</v>
      </c>
      <c r="D47" s="1" t="s">
        <v>15</v>
      </c>
      <c r="F47" s="5">
        <v>250</v>
      </c>
    </row>
    <row r="48" spans="1:7">
      <c r="A48" s="2">
        <v>40950</v>
      </c>
      <c r="B48" s="1" t="str">
        <f t="shared" si="2"/>
        <v>Feb</v>
      </c>
      <c r="C48" s="1">
        <f t="shared" si="3"/>
        <v>2012</v>
      </c>
      <c r="D48" s="1" t="s">
        <v>33</v>
      </c>
      <c r="F48" s="5">
        <v>602</v>
      </c>
      <c r="G48" s="1" t="s">
        <v>38</v>
      </c>
    </row>
    <row r="49" spans="1:7">
      <c r="A49" s="2">
        <v>40951</v>
      </c>
      <c r="B49" s="1" t="str">
        <f t="shared" si="2"/>
        <v>Feb</v>
      </c>
      <c r="C49" s="1">
        <f t="shared" si="3"/>
        <v>2012</v>
      </c>
      <c r="D49" s="1" t="s">
        <v>33</v>
      </c>
      <c r="F49" s="5">
        <v>602</v>
      </c>
      <c r="G49" s="1" t="s">
        <v>38</v>
      </c>
    </row>
    <row r="50" spans="1:7">
      <c r="A50" s="2">
        <v>40951</v>
      </c>
      <c r="B50" s="1" t="str">
        <f t="shared" si="2"/>
        <v>Feb</v>
      </c>
      <c r="C50" s="1">
        <f t="shared" si="3"/>
        <v>2012</v>
      </c>
      <c r="D50" s="1" t="s">
        <v>4</v>
      </c>
      <c r="F50" s="5">
        <v>285</v>
      </c>
    </row>
    <row r="51" spans="1:7">
      <c r="A51" s="2">
        <v>40951</v>
      </c>
      <c r="B51" s="1" t="str">
        <f t="shared" si="2"/>
        <v>Feb</v>
      </c>
      <c r="C51" s="1">
        <f t="shared" si="3"/>
        <v>2012</v>
      </c>
      <c r="D51" s="1" t="s">
        <v>34</v>
      </c>
      <c r="F51" s="5">
        <v>55</v>
      </c>
      <c r="G51" s="1">
        <v>1</v>
      </c>
    </row>
    <row r="52" spans="1:7">
      <c r="A52" s="2">
        <v>40951</v>
      </c>
      <c r="B52" s="1" t="str">
        <f t="shared" si="2"/>
        <v>Feb</v>
      </c>
      <c r="C52" s="1">
        <f t="shared" si="3"/>
        <v>2012</v>
      </c>
      <c r="D52" s="1" t="s">
        <v>37</v>
      </c>
      <c r="F52" s="5">
        <v>5000</v>
      </c>
      <c r="G52" s="1" t="s">
        <v>37</v>
      </c>
    </row>
    <row r="53" spans="1:7">
      <c r="A53" s="2">
        <v>40960</v>
      </c>
      <c r="B53" s="1" t="str">
        <f t="shared" si="2"/>
        <v>Feb</v>
      </c>
      <c r="C53" s="1">
        <f t="shared" si="3"/>
        <v>2012</v>
      </c>
      <c r="D53" s="1" t="s">
        <v>33</v>
      </c>
      <c r="F53" s="5">
        <v>602</v>
      </c>
      <c r="G53" s="1" t="s">
        <v>38</v>
      </c>
    </row>
    <row r="54" spans="1:7">
      <c r="A54" s="2">
        <v>40967</v>
      </c>
      <c r="B54" s="1" t="str">
        <f t="shared" si="2"/>
        <v>Feb</v>
      </c>
      <c r="C54" s="1">
        <f t="shared" si="3"/>
        <v>2012</v>
      </c>
      <c r="D54" s="1" t="s">
        <v>33</v>
      </c>
      <c r="E54" s="1" t="s">
        <v>13</v>
      </c>
      <c r="F54" s="5">
        <v>602</v>
      </c>
      <c r="G54" s="1" t="s">
        <v>38</v>
      </c>
    </row>
    <row r="55" spans="1:7">
      <c r="A55" s="2">
        <v>40971</v>
      </c>
      <c r="B55" s="1" t="str">
        <f t="shared" si="2"/>
        <v>Mar</v>
      </c>
      <c r="C55" s="1">
        <f t="shared" si="3"/>
        <v>2012</v>
      </c>
      <c r="D55" s="1" t="s">
        <v>4</v>
      </c>
      <c r="F55" s="5">
        <v>1050</v>
      </c>
    </row>
    <row r="56" spans="1:7">
      <c r="A56" s="2">
        <v>40974</v>
      </c>
      <c r="B56" s="1" t="str">
        <f t="shared" si="2"/>
        <v>Mar</v>
      </c>
      <c r="C56" s="1">
        <f t="shared" si="3"/>
        <v>2012</v>
      </c>
      <c r="D56" s="1" t="s">
        <v>33</v>
      </c>
      <c r="E56" s="1" t="s">
        <v>13</v>
      </c>
      <c r="F56" s="5">
        <v>602</v>
      </c>
      <c r="G56" s="1" t="s">
        <v>38</v>
      </c>
    </row>
    <row r="57" spans="1:7">
      <c r="A57" s="2">
        <v>40980</v>
      </c>
      <c r="B57" s="1" t="str">
        <f t="shared" si="2"/>
        <v>Mar</v>
      </c>
      <c r="C57" s="1">
        <f t="shared" si="3"/>
        <v>2012</v>
      </c>
      <c r="D57" s="1" t="s">
        <v>33</v>
      </c>
      <c r="F57" s="5">
        <v>602</v>
      </c>
      <c r="G57" s="1" t="s">
        <v>38</v>
      </c>
    </row>
    <row r="58" spans="1:7">
      <c r="A58" s="2">
        <v>40980</v>
      </c>
      <c r="B58" s="1" t="str">
        <f t="shared" si="2"/>
        <v>Mar</v>
      </c>
      <c r="C58" s="1">
        <f t="shared" si="3"/>
        <v>2012</v>
      </c>
      <c r="D58" s="1" t="s">
        <v>4</v>
      </c>
      <c r="F58" s="5">
        <v>46</v>
      </c>
    </row>
    <row r="59" spans="1:7">
      <c r="A59" s="2">
        <v>40981</v>
      </c>
      <c r="B59" s="1" t="str">
        <f t="shared" si="2"/>
        <v>Mar</v>
      </c>
      <c r="C59" s="1">
        <f t="shared" si="3"/>
        <v>2012</v>
      </c>
      <c r="D59" s="1" t="s">
        <v>15</v>
      </c>
      <c r="E59" s="1" t="s">
        <v>13</v>
      </c>
      <c r="F59" s="5">
        <v>250</v>
      </c>
    </row>
    <row r="60" spans="1:7">
      <c r="A60" s="2">
        <v>40981</v>
      </c>
      <c r="B60" s="1" t="str">
        <f t="shared" si="2"/>
        <v>Mar</v>
      </c>
      <c r="C60" s="1">
        <f t="shared" si="3"/>
        <v>2012</v>
      </c>
      <c r="D60" s="1" t="s">
        <v>33</v>
      </c>
      <c r="E60" s="1" t="s">
        <v>13</v>
      </c>
      <c r="F60" s="5">
        <v>900</v>
      </c>
      <c r="G60" s="1" t="s">
        <v>40</v>
      </c>
    </row>
    <row r="61" spans="1:7">
      <c r="A61" s="2">
        <v>40982</v>
      </c>
      <c r="B61" s="1" t="str">
        <f t="shared" si="2"/>
        <v>Mar</v>
      </c>
      <c r="C61" s="1">
        <f t="shared" si="3"/>
        <v>2012</v>
      </c>
      <c r="D61" s="1" t="s">
        <v>37</v>
      </c>
      <c r="E61" s="1" t="s">
        <v>13</v>
      </c>
      <c r="F61" s="5">
        <v>5000</v>
      </c>
      <c r="G61" s="1" t="s">
        <v>37</v>
      </c>
    </row>
    <row r="62" spans="1:7">
      <c r="A62" s="2">
        <v>40983</v>
      </c>
      <c r="B62" s="1" t="str">
        <f t="shared" si="2"/>
        <v>Mar</v>
      </c>
      <c r="C62" s="1">
        <f t="shared" si="3"/>
        <v>2012</v>
      </c>
      <c r="D62" s="1" t="s">
        <v>37</v>
      </c>
      <c r="F62" s="5">
        <v>5000</v>
      </c>
      <c r="G62" s="1" t="s">
        <v>37</v>
      </c>
    </row>
    <row r="63" spans="1:7">
      <c r="A63" s="2">
        <v>40983</v>
      </c>
      <c r="B63" s="1" t="str">
        <f t="shared" si="2"/>
        <v>Mar</v>
      </c>
      <c r="C63" s="1">
        <f t="shared" si="3"/>
        <v>2012</v>
      </c>
      <c r="D63" s="1" t="s">
        <v>4</v>
      </c>
      <c r="F63" s="5">
        <v>287</v>
      </c>
    </row>
    <row r="64" spans="1:7">
      <c r="A64" s="2">
        <v>40983</v>
      </c>
      <c r="B64" s="1" t="str">
        <f t="shared" si="2"/>
        <v>Mar</v>
      </c>
      <c r="C64" s="1">
        <f t="shared" si="3"/>
        <v>2012</v>
      </c>
      <c r="D64" s="1" t="s">
        <v>34</v>
      </c>
      <c r="E64" s="1" t="s">
        <v>13</v>
      </c>
      <c r="F64" s="5">
        <v>110</v>
      </c>
      <c r="G64" s="1">
        <v>2</v>
      </c>
    </row>
    <row r="65" spans="1:7">
      <c r="A65" s="2">
        <v>40988</v>
      </c>
      <c r="B65" s="1" t="str">
        <f t="shared" si="2"/>
        <v>Mar</v>
      </c>
      <c r="C65" s="1">
        <f t="shared" si="3"/>
        <v>2012</v>
      </c>
      <c r="D65" s="1" t="s">
        <v>33</v>
      </c>
      <c r="F65" s="5">
        <v>602</v>
      </c>
      <c r="G65" s="1" t="s">
        <v>38</v>
      </c>
    </row>
    <row r="66" spans="1:7">
      <c r="A66" s="2">
        <v>40994</v>
      </c>
      <c r="B66" s="1" t="str">
        <f t="shared" si="2"/>
        <v>Mar</v>
      </c>
      <c r="C66" s="1">
        <f t="shared" si="3"/>
        <v>2012</v>
      </c>
      <c r="D66" s="1" t="s">
        <v>33</v>
      </c>
      <c r="F66" s="5">
        <v>602</v>
      </c>
      <c r="G66" s="1" t="s">
        <v>38</v>
      </c>
    </row>
    <row r="67" spans="1:7">
      <c r="A67" s="2">
        <v>41008</v>
      </c>
      <c r="B67" s="1" t="str">
        <f t="shared" ref="B67:B84" si="4">VLOOKUP(MONTH(A67),$N$3:$O$14,2,0)</f>
        <v>Apr</v>
      </c>
      <c r="C67" s="1">
        <f t="shared" ref="C67:C84" si="5">YEAR(A67)</f>
        <v>2012</v>
      </c>
      <c r="D67" s="1" t="s">
        <v>33</v>
      </c>
      <c r="E67" s="1" t="s">
        <v>13</v>
      </c>
      <c r="F67" s="5">
        <v>602</v>
      </c>
      <c r="G67" s="1" t="s">
        <v>38</v>
      </c>
    </row>
    <row r="68" spans="1:7">
      <c r="A68" s="2">
        <v>41008</v>
      </c>
      <c r="B68" s="1" t="str">
        <f t="shared" si="4"/>
        <v>Apr</v>
      </c>
      <c r="C68" s="1">
        <f t="shared" si="5"/>
        <v>2012</v>
      </c>
      <c r="D68" s="1" t="s">
        <v>4</v>
      </c>
      <c r="E68" s="1" t="s">
        <v>13</v>
      </c>
      <c r="F68" s="5">
        <f>225+46+750</f>
        <v>1021</v>
      </c>
    </row>
    <row r="69" spans="1:7">
      <c r="A69" s="2">
        <v>41012</v>
      </c>
      <c r="B69" s="1" t="str">
        <f t="shared" si="4"/>
        <v>Apr</v>
      </c>
      <c r="C69" s="1">
        <f t="shared" si="5"/>
        <v>2012</v>
      </c>
      <c r="D69" s="1" t="s">
        <v>33</v>
      </c>
      <c r="E69" s="1" t="s">
        <v>13</v>
      </c>
      <c r="F69" s="5">
        <v>602</v>
      </c>
      <c r="G69" s="1" t="s">
        <v>38</v>
      </c>
    </row>
    <row r="70" spans="1:7">
      <c r="A70" s="2">
        <v>41012</v>
      </c>
      <c r="B70" s="1" t="str">
        <f t="shared" si="4"/>
        <v>Apr</v>
      </c>
      <c r="C70" s="1">
        <f t="shared" si="5"/>
        <v>2012</v>
      </c>
      <c r="D70" s="1" t="s">
        <v>15</v>
      </c>
      <c r="E70" s="1" t="s">
        <v>13</v>
      </c>
      <c r="F70" s="5">
        <v>250</v>
      </c>
    </row>
    <row r="71" spans="1:7">
      <c r="A71" s="2">
        <v>41014</v>
      </c>
      <c r="B71" s="1" t="str">
        <f t="shared" si="4"/>
        <v>Apr</v>
      </c>
      <c r="C71" s="1">
        <f t="shared" si="5"/>
        <v>2012</v>
      </c>
      <c r="D71" s="1" t="s">
        <v>37</v>
      </c>
      <c r="F71" s="5">
        <v>5000</v>
      </c>
      <c r="G71" s="1" t="s">
        <v>37</v>
      </c>
    </row>
    <row r="72" spans="1:7">
      <c r="A72" s="2">
        <v>41015</v>
      </c>
      <c r="B72" s="1" t="str">
        <f t="shared" si="4"/>
        <v>Apr</v>
      </c>
      <c r="C72" s="1">
        <f t="shared" si="5"/>
        <v>2012</v>
      </c>
      <c r="D72" s="1" t="s">
        <v>33</v>
      </c>
      <c r="E72" s="1" t="s">
        <v>13</v>
      </c>
      <c r="F72" s="5">
        <v>602</v>
      </c>
      <c r="G72" s="1" t="s">
        <v>38</v>
      </c>
    </row>
    <row r="73" spans="1:7">
      <c r="A73" s="2">
        <v>41029</v>
      </c>
      <c r="B73" s="1" t="str">
        <f t="shared" si="4"/>
        <v>Apr</v>
      </c>
      <c r="C73" s="1">
        <f t="shared" si="5"/>
        <v>2012</v>
      </c>
      <c r="D73" s="1" t="s">
        <v>33</v>
      </c>
      <c r="F73" s="5">
        <v>602</v>
      </c>
      <c r="G73" s="1" t="s">
        <v>38</v>
      </c>
    </row>
    <row r="74" spans="1:7">
      <c r="A74" s="2">
        <v>41031</v>
      </c>
      <c r="B74" s="1" t="str">
        <f t="shared" si="4"/>
        <v>May</v>
      </c>
      <c r="C74" s="1">
        <f t="shared" si="5"/>
        <v>2012</v>
      </c>
      <c r="D74" s="1" t="s">
        <v>33</v>
      </c>
      <c r="E74" s="1" t="s">
        <v>13</v>
      </c>
      <c r="F74" s="5">
        <v>910</v>
      </c>
      <c r="G74" s="1" t="s">
        <v>40</v>
      </c>
    </row>
    <row r="75" spans="1:7">
      <c r="A75" s="2">
        <v>41036</v>
      </c>
      <c r="B75" s="1" t="str">
        <f t="shared" si="4"/>
        <v>May</v>
      </c>
      <c r="C75" s="1">
        <f t="shared" si="5"/>
        <v>2012</v>
      </c>
      <c r="D75" s="1" t="s">
        <v>15</v>
      </c>
      <c r="E75" s="1" t="s">
        <v>13</v>
      </c>
      <c r="F75" s="5">
        <v>250</v>
      </c>
    </row>
    <row r="76" spans="1:7">
      <c r="A76" s="2">
        <v>41036</v>
      </c>
      <c r="B76" s="1" t="str">
        <f t="shared" si="4"/>
        <v>May</v>
      </c>
      <c r="C76" s="1">
        <f t="shared" si="5"/>
        <v>2012</v>
      </c>
      <c r="D76" s="1" t="s">
        <v>4</v>
      </c>
      <c r="E76" s="1" t="s">
        <v>13</v>
      </c>
      <c r="F76" s="5">
        <v>852</v>
      </c>
    </row>
    <row r="77" spans="1:7">
      <c r="A77" s="2">
        <v>41047</v>
      </c>
      <c r="B77" s="4" t="str">
        <f t="shared" si="4"/>
        <v>May</v>
      </c>
      <c r="C77" s="1">
        <f t="shared" si="5"/>
        <v>2012</v>
      </c>
      <c r="D77" s="1" t="s">
        <v>4</v>
      </c>
      <c r="E77" s="1" t="s">
        <v>13</v>
      </c>
      <c r="F77" s="5">
        <v>2820</v>
      </c>
    </row>
    <row r="78" spans="1:7">
      <c r="A78" s="2">
        <v>41049</v>
      </c>
      <c r="B78" s="4" t="str">
        <f t="shared" si="4"/>
        <v>May</v>
      </c>
      <c r="C78" s="1">
        <f t="shared" si="5"/>
        <v>2012</v>
      </c>
      <c r="D78" s="1" t="s">
        <v>47</v>
      </c>
      <c r="E78" s="1" t="s">
        <v>13</v>
      </c>
      <c r="F78" s="5">
        <v>180000</v>
      </c>
      <c r="G78" s="1" t="s">
        <v>47</v>
      </c>
    </row>
    <row r="79" spans="1:7">
      <c r="A79" s="2">
        <v>41056</v>
      </c>
      <c r="B79" s="4" t="str">
        <f t="shared" si="4"/>
        <v>May</v>
      </c>
      <c r="C79" s="1">
        <f t="shared" si="5"/>
        <v>2012</v>
      </c>
      <c r="D79" s="1" t="s">
        <v>33</v>
      </c>
      <c r="E79" s="1" t="s">
        <v>13</v>
      </c>
      <c r="F79" s="5">
        <v>900</v>
      </c>
      <c r="G79" s="1" t="s">
        <v>40</v>
      </c>
    </row>
    <row r="80" spans="1:7">
      <c r="A80" s="2">
        <v>41070</v>
      </c>
      <c r="B80" s="1" t="str">
        <f t="shared" si="4"/>
        <v>Jun</v>
      </c>
      <c r="C80" s="1">
        <f t="shared" si="5"/>
        <v>2012</v>
      </c>
      <c r="D80" s="1" t="s">
        <v>4</v>
      </c>
      <c r="E80" s="1" t="s">
        <v>13</v>
      </c>
      <c r="F80" s="5">
        <v>523</v>
      </c>
    </row>
    <row r="81" spans="1:7">
      <c r="A81" s="2">
        <v>41081</v>
      </c>
      <c r="B81" s="4" t="str">
        <f t="shared" si="4"/>
        <v>Jun</v>
      </c>
      <c r="C81" s="1">
        <f t="shared" si="5"/>
        <v>2012</v>
      </c>
      <c r="D81" s="1" t="s">
        <v>15</v>
      </c>
      <c r="E81" s="1" t="s">
        <v>13</v>
      </c>
      <c r="F81" s="5">
        <v>250</v>
      </c>
    </row>
    <row r="82" spans="1:7">
      <c r="A82" s="2">
        <v>41085</v>
      </c>
      <c r="B82" s="1" t="str">
        <f t="shared" si="4"/>
        <v>Jun</v>
      </c>
      <c r="C82" s="1">
        <f t="shared" si="5"/>
        <v>2012</v>
      </c>
      <c r="D82" s="1" t="s">
        <v>34</v>
      </c>
      <c r="E82" s="1" t="s">
        <v>13</v>
      </c>
      <c r="F82" s="5">
        <v>110</v>
      </c>
      <c r="G82" s="1">
        <v>2</v>
      </c>
    </row>
    <row r="83" spans="1:7">
      <c r="A83" s="2">
        <v>41085</v>
      </c>
      <c r="B83" s="1" t="str">
        <f t="shared" si="4"/>
        <v>Jun</v>
      </c>
      <c r="C83" s="1">
        <f t="shared" si="5"/>
        <v>2012</v>
      </c>
      <c r="D83" s="1" t="s">
        <v>35</v>
      </c>
      <c r="E83" s="1" t="s">
        <v>13</v>
      </c>
      <c r="F83" s="5">
        <v>5000</v>
      </c>
      <c r="G83" s="1" t="s">
        <v>35</v>
      </c>
    </row>
    <row r="84" spans="1:7">
      <c r="A84" s="2">
        <v>41085</v>
      </c>
      <c r="B84" s="1" t="str">
        <f t="shared" si="4"/>
        <v>Jun</v>
      </c>
      <c r="C84" s="1">
        <f t="shared" si="5"/>
        <v>2012</v>
      </c>
      <c r="D84" s="1" t="s">
        <v>36</v>
      </c>
      <c r="E84" s="1" t="s">
        <v>13</v>
      </c>
      <c r="F84" s="5">
        <v>2499</v>
      </c>
    </row>
  </sheetData>
  <autoFilter ref="A2:O84" xr:uid="{00000000-0009-0000-0000-00000A000000}"/>
  <sortState xmlns:xlrd2="http://schemas.microsoft.com/office/spreadsheetml/2017/richdata2" ref="A3:G82">
    <sortCondition ref="A77"/>
  </sortState>
  <pageMargins left="0.7" right="0.7" top="0.75" bottom="0.75" header="0.3" footer="0.3"/>
  <pageSetup orientation="portrait" horizontalDpi="4294967294"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39"/>
  <sheetViews>
    <sheetView topLeftCell="A207" zoomScale="85" zoomScaleNormal="85" workbookViewId="0">
      <selection activeCell="I156" sqref="I156"/>
    </sheetView>
  </sheetViews>
  <sheetFormatPr defaultColWidth="9.140625" defaultRowHeight="12.75"/>
  <cols>
    <col min="1" max="1" width="11.85546875" style="2" bestFit="1" customWidth="1"/>
    <col min="2" max="2" width="50.140625" style="1" bestFit="1" customWidth="1"/>
    <col min="3" max="3" width="18" style="1" bestFit="1" customWidth="1"/>
    <col min="4" max="4" width="11.85546875" style="2" bestFit="1" customWidth="1"/>
    <col min="5" max="5" width="47.140625" style="3" bestFit="1" customWidth="1"/>
    <col min="6" max="6" width="14" style="3" bestFit="1" customWidth="1"/>
    <col min="7" max="7" width="14.5703125" style="3" bestFit="1" customWidth="1"/>
    <col min="8" max="16384" width="9.140625" style="1"/>
  </cols>
  <sheetData>
    <row r="1" spans="1:5">
      <c r="A1" s="2" t="s">
        <v>927</v>
      </c>
    </row>
    <row r="5" spans="1:5">
      <c r="E5" s="3" t="s">
        <v>258</v>
      </c>
    </row>
    <row r="6" spans="1:5">
      <c r="A6" s="2" t="s">
        <v>259</v>
      </c>
      <c r="E6" s="3" t="s">
        <v>260</v>
      </c>
    </row>
    <row r="7" spans="1:5">
      <c r="A7" s="2" t="s">
        <v>261</v>
      </c>
      <c r="E7" s="3" t="s">
        <v>262</v>
      </c>
    </row>
    <row r="8" spans="1:5">
      <c r="A8" s="2" t="s">
        <v>263</v>
      </c>
      <c r="E8" s="3" t="s">
        <v>264</v>
      </c>
    </row>
    <row r="9" spans="1:5">
      <c r="A9" s="2" t="s">
        <v>265</v>
      </c>
      <c r="E9" s="3" t="s">
        <v>266</v>
      </c>
    </row>
    <row r="10" spans="1:5">
      <c r="A10" s="2" t="s">
        <v>267</v>
      </c>
      <c r="E10" s="3" t="s">
        <v>268</v>
      </c>
    </row>
    <row r="11" spans="1:5">
      <c r="A11" s="2" t="s">
        <v>269</v>
      </c>
      <c r="E11" s="3" t="s">
        <v>928</v>
      </c>
    </row>
    <row r="12" spans="1:5">
      <c r="E12" s="3" t="s">
        <v>271</v>
      </c>
    </row>
    <row r="13" spans="1:5">
      <c r="A13" s="2" t="s">
        <v>272</v>
      </c>
      <c r="E13" s="3" t="s">
        <v>273</v>
      </c>
    </row>
    <row r="14" spans="1:5">
      <c r="E14" s="3" t="s">
        <v>274</v>
      </c>
    </row>
    <row r="15" spans="1:5">
      <c r="A15" s="2" t="s">
        <v>275</v>
      </c>
      <c r="E15" s="3" t="s">
        <v>276</v>
      </c>
    </row>
    <row r="16" spans="1:5">
      <c r="A16" s="2" t="s">
        <v>277</v>
      </c>
      <c r="E16" s="3" t="s">
        <v>929</v>
      </c>
    </row>
    <row r="17" spans="1:7">
      <c r="E17" s="3" t="s">
        <v>279</v>
      </c>
    </row>
    <row r="18" spans="1:7">
      <c r="E18" s="3" t="s">
        <v>280</v>
      </c>
    </row>
    <row r="20" spans="1:7">
      <c r="A20" s="2" t="s">
        <v>930</v>
      </c>
    </row>
    <row r="21" spans="1:7">
      <c r="A21" s="2" t="s">
        <v>0</v>
      </c>
      <c r="B21" s="1" t="s">
        <v>281</v>
      </c>
      <c r="C21" s="1" t="s">
        <v>282</v>
      </c>
      <c r="D21" s="2" t="s">
        <v>283</v>
      </c>
      <c r="E21" s="3" t="s">
        <v>284</v>
      </c>
      <c r="F21" s="3" t="s">
        <v>285</v>
      </c>
      <c r="G21" s="3" t="s">
        <v>286</v>
      </c>
    </row>
    <row r="22" spans="1:7">
      <c r="A22" s="2">
        <v>41008</v>
      </c>
      <c r="B22" s="1" t="s">
        <v>287</v>
      </c>
      <c r="C22" s="1" t="s">
        <v>288</v>
      </c>
      <c r="D22" s="2">
        <v>41009</v>
      </c>
      <c r="E22" s="3">
        <v>500</v>
      </c>
      <c r="G22" s="3">
        <v>61424.84</v>
      </c>
    </row>
    <row r="23" spans="1:7">
      <c r="A23" s="2">
        <v>41008</v>
      </c>
      <c r="B23" s="1" t="s">
        <v>289</v>
      </c>
      <c r="C23" s="1" t="s">
        <v>290</v>
      </c>
      <c r="D23" s="2">
        <v>41009</v>
      </c>
      <c r="E23" s="3">
        <v>1000</v>
      </c>
      <c r="G23" s="3">
        <v>60424.84</v>
      </c>
    </row>
    <row r="24" spans="1:7">
      <c r="A24" s="2">
        <v>41011</v>
      </c>
      <c r="B24" s="1" t="s">
        <v>931</v>
      </c>
      <c r="C24" s="1" t="s">
        <v>292</v>
      </c>
      <c r="D24" s="2">
        <v>41011</v>
      </c>
      <c r="E24" s="3">
        <v>750</v>
      </c>
      <c r="G24" s="3">
        <v>59674.84</v>
      </c>
    </row>
    <row r="25" spans="1:7">
      <c r="A25" s="2">
        <v>41011</v>
      </c>
      <c r="B25" s="1" t="s">
        <v>932</v>
      </c>
      <c r="C25" s="1" t="s">
        <v>294</v>
      </c>
      <c r="D25" s="2">
        <v>41011</v>
      </c>
      <c r="E25" s="3">
        <v>7200</v>
      </c>
      <c r="G25" s="3">
        <v>52474.84</v>
      </c>
    </row>
    <row r="26" spans="1:7">
      <c r="A26" s="2">
        <v>41012</v>
      </c>
      <c r="B26" s="1" t="s">
        <v>295</v>
      </c>
      <c r="C26" s="1" t="s">
        <v>296</v>
      </c>
      <c r="D26" s="2">
        <v>41013</v>
      </c>
      <c r="E26" s="3">
        <v>852</v>
      </c>
      <c r="G26" s="3">
        <v>51622.84</v>
      </c>
    </row>
    <row r="27" spans="1:7">
      <c r="A27" s="2">
        <v>41012</v>
      </c>
      <c r="B27" s="1" t="s">
        <v>289</v>
      </c>
      <c r="C27" s="1" t="s">
        <v>297</v>
      </c>
      <c r="D27" s="2">
        <v>41012</v>
      </c>
      <c r="E27" s="3">
        <v>3000</v>
      </c>
      <c r="G27" s="3">
        <v>48622.84</v>
      </c>
    </row>
    <row r="28" spans="1:7">
      <c r="A28" s="2">
        <v>41014</v>
      </c>
      <c r="B28" s="1" t="s">
        <v>295</v>
      </c>
      <c r="C28" s="1" t="s">
        <v>298</v>
      </c>
      <c r="D28" s="2">
        <v>41014</v>
      </c>
      <c r="E28" s="3">
        <v>8000</v>
      </c>
      <c r="G28" s="3">
        <v>40622.839999999997</v>
      </c>
    </row>
    <row r="29" spans="1:7">
      <c r="A29" s="2">
        <v>41020</v>
      </c>
      <c r="B29" s="1" t="s">
        <v>299</v>
      </c>
      <c r="C29" s="1" t="s">
        <v>300</v>
      </c>
      <c r="D29" s="2">
        <v>41020</v>
      </c>
      <c r="E29" s="3">
        <v>1000</v>
      </c>
      <c r="G29" s="3">
        <v>39622.839999999997</v>
      </c>
    </row>
    <row r="30" spans="1:7">
      <c r="A30" s="2">
        <v>41027</v>
      </c>
      <c r="B30" s="1" t="s">
        <v>301</v>
      </c>
      <c r="C30" s="1" t="s">
        <v>302</v>
      </c>
      <c r="D30" s="2">
        <v>41027</v>
      </c>
      <c r="F30" s="3">
        <v>29191</v>
      </c>
      <c r="G30" s="3">
        <v>68813.84</v>
      </c>
    </row>
    <row r="31" spans="1:7">
      <c r="A31" s="2">
        <v>41027</v>
      </c>
      <c r="B31" s="1" t="s">
        <v>303</v>
      </c>
      <c r="C31" s="1" t="s">
        <v>304</v>
      </c>
      <c r="D31" s="2">
        <v>41027</v>
      </c>
      <c r="E31" s="3">
        <v>6000</v>
      </c>
      <c r="G31" s="3">
        <v>62813.84</v>
      </c>
    </row>
    <row r="32" spans="1:7">
      <c r="A32" s="2">
        <v>41027</v>
      </c>
      <c r="B32" s="1" t="s">
        <v>305</v>
      </c>
      <c r="C32" s="1" t="s">
        <v>306</v>
      </c>
      <c r="D32" s="2">
        <v>41027</v>
      </c>
      <c r="E32" s="3">
        <v>1655</v>
      </c>
      <c r="G32" s="3">
        <v>61158.84</v>
      </c>
    </row>
    <row r="33" spans="1:7">
      <c r="A33" s="2">
        <v>41035</v>
      </c>
      <c r="B33" s="1" t="s">
        <v>289</v>
      </c>
      <c r="C33" s="1" t="s">
        <v>307</v>
      </c>
      <c r="D33" s="2">
        <v>41035</v>
      </c>
      <c r="E33" s="3">
        <v>5000</v>
      </c>
      <c r="G33" s="3">
        <v>56158.84</v>
      </c>
    </row>
    <row r="34" spans="1:7">
      <c r="A34" s="2">
        <v>41036</v>
      </c>
      <c r="B34" s="1" t="s">
        <v>295</v>
      </c>
      <c r="C34" s="1" t="s">
        <v>308</v>
      </c>
      <c r="D34" s="2">
        <v>41037</v>
      </c>
      <c r="E34" s="3">
        <v>1077</v>
      </c>
      <c r="G34" s="3">
        <v>55081.84</v>
      </c>
    </row>
    <row r="35" spans="1:7">
      <c r="A35" s="2">
        <v>41041</v>
      </c>
      <c r="B35" s="1" t="s">
        <v>309</v>
      </c>
      <c r="C35" s="1" t="s">
        <v>310</v>
      </c>
      <c r="D35" s="2">
        <v>41041</v>
      </c>
      <c r="E35" s="3">
        <v>1400</v>
      </c>
      <c r="G35" s="3">
        <v>53681.84</v>
      </c>
    </row>
    <row r="36" spans="1:7">
      <c r="A36" s="2">
        <v>41041</v>
      </c>
      <c r="B36" s="1" t="s">
        <v>311</v>
      </c>
      <c r="C36" s="1" t="s">
        <v>312</v>
      </c>
      <c r="D36" s="2">
        <v>41041</v>
      </c>
      <c r="E36" s="3">
        <v>5622</v>
      </c>
      <c r="G36" s="3">
        <v>48059.839999999997</v>
      </c>
    </row>
    <row r="37" spans="1:7">
      <c r="A37" s="2">
        <v>41043</v>
      </c>
      <c r="B37" s="1" t="s">
        <v>933</v>
      </c>
      <c r="C37" s="1" t="s">
        <v>314</v>
      </c>
      <c r="D37" s="2">
        <v>41043</v>
      </c>
      <c r="E37" s="3">
        <v>35000</v>
      </c>
      <c r="G37" s="3">
        <v>13059.84</v>
      </c>
    </row>
    <row r="38" spans="1:7">
      <c r="A38" s="2">
        <v>41053</v>
      </c>
      <c r="B38" s="1" t="s">
        <v>303</v>
      </c>
      <c r="C38" s="1" t="s">
        <v>315</v>
      </c>
      <c r="D38" s="2">
        <v>41053</v>
      </c>
      <c r="E38" s="3">
        <v>5000</v>
      </c>
      <c r="G38" s="3">
        <v>8059.84</v>
      </c>
    </row>
    <row r="39" spans="1:7">
      <c r="A39" s="2">
        <v>41053</v>
      </c>
      <c r="B39" s="1" t="s">
        <v>933</v>
      </c>
      <c r="C39" s="1" t="s">
        <v>316</v>
      </c>
      <c r="D39" s="2">
        <v>41053</v>
      </c>
      <c r="F39" s="3">
        <v>35000</v>
      </c>
      <c r="G39" s="3">
        <v>43059.839999999997</v>
      </c>
    </row>
    <row r="40" spans="1:7">
      <c r="A40" s="2">
        <v>41055</v>
      </c>
      <c r="B40" s="1" t="s">
        <v>934</v>
      </c>
      <c r="C40" s="1" t="s">
        <v>318</v>
      </c>
      <c r="D40" s="2">
        <v>41055</v>
      </c>
      <c r="E40" s="3">
        <v>14800</v>
      </c>
      <c r="G40" s="3">
        <v>28259.84</v>
      </c>
    </row>
    <row r="41" spans="1:7">
      <c r="A41" s="2">
        <v>41056</v>
      </c>
      <c r="B41" s="1" t="s">
        <v>295</v>
      </c>
      <c r="C41" s="1" t="s">
        <v>319</v>
      </c>
      <c r="D41" s="2">
        <v>41056</v>
      </c>
      <c r="E41" s="3">
        <v>900</v>
      </c>
      <c r="G41" s="3">
        <v>27359.84</v>
      </c>
    </row>
    <row r="42" spans="1:7">
      <c r="A42" s="2">
        <v>41058</v>
      </c>
      <c r="B42" s="1" t="s">
        <v>320</v>
      </c>
      <c r="C42" s="1" t="s">
        <v>321</v>
      </c>
      <c r="D42" s="2">
        <v>41058</v>
      </c>
      <c r="F42" s="3">
        <v>29192</v>
      </c>
      <c r="G42" s="3">
        <v>56551.839999999997</v>
      </c>
    </row>
    <row r="43" spans="1:7">
      <c r="A43" s="2">
        <v>41063</v>
      </c>
      <c r="B43" s="1" t="s">
        <v>289</v>
      </c>
      <c r="C43" s="1" t="s">
        <v>322</v>
      </c>
      <c r="D43" s="2">
        <v>41064</v>
      </c>
      <c r="E43" s="3">
        <v>10000</v>
      </c>
      <c r="G43" s="3">
        <v>46551.839999999997</v>
      </c>
    </row>
    <row r="44" spans="1:7">
      <c r="A44" s="2">
        <v>41069</v>
      </c>
      <c r="B44" s="1" t="s">
        <v>289</v>
      </c>
      <c r="C44" s="1" t="s">
        <v>323</v>
      </c>
      <c r="D44" s="2">
        <v>41069</v>
      </c>
      <c r="E44" s="3">
        <v>2000</v>
      </c>
      <c r="G44" s="3">
        <v>44551.839999999997</v>
      </c>
    </row>
    <row r="45" spans="1:7">
      <c r="A45" s="2">
        <v>41070</v>
      </c>
      <c r="B45" s="1" t="s">
        <v>295</v>
      </c>
      <c r="C45" s="1" t="s">
        <v>324</v>
      </c>
      <c r="D45" s="2">
        <v>41070</v>
      </c>
      <c r="E45" s="3">
        <v>523</v>
      </c>
      <c r="G45" s="3">
        <v>44028.84</v>
      </c>
    </row>
    <row r="46" spans="1:7">
      <c r="A46" s="2">
        <v>41070</v>
      </c>
      <c r="B46" s="1" t="s">
        <v>325</v>
      </c>
      <c r="C46" s="1" t="s">
        <v>326</v>
      </c>
      <c r="D46" s="2">
        <v>41070</v>
      </c>
      <c r="E46" s="3">
        <v>1301</v>
      </c>
      <c r="G46" s="3">
        <v>42727.839999999997</v>
      </c>
    </row>
    <row r="47" spans="1:7">
      <c r="A47" s="2">
        <v>41070</v>
      </c>
      <c r="B47" s="1" t="s">
        <v>327</v>
      </c>
      <c r="C47" s="1" t="s">
        <v>328</v>
      </c>
      <c r="D47" s="2">
        <v>41070</v>
      </c>
      <c r="E47" s="3">
        <v>1787</v>
      </c>
      <c r="G47" s="3">
        <v>40940.839999999997</v>
      </c>
    </row>
    <row r="48" spans="1:7">
      <c r="A48" s="2">
        <v>41070</v>
      </c>
      <c r="B48" s="1" t="s">
        <v>329</v>
      </c>
      <c r="C48" s="1" t="s">
        <v>330</v>
      </c>
      <c r="D48" s="2">
        <v>41070</v>
      </c>
      <c r="E48" s="3">
        <v>453.92</v>
      </c>
      <c r="G48" s="3">
        <v>40486.92</v>
      </c>
    </row>
    <row r="49" spans="1:7">
      <c r="A49" s="2">
        <v>41071</v>
      </c>
      <c r="B49" s="1" t="s">
        <v>935</v>
      </c>
      <c r="C49" s="1" t="s">
        <v>332</v>
      </c>
      <c r="D49" s="2">
        <v>41071</v>
      </c>
      <c r="E49" s="3">
        <v>8000</v>
      </c>
      <c r="G49" s="3">
        <v>32486.92</v>
      </c>
    </row>
    <row r="50" spans="1:7">
      <c r="A50" s="2">
        <v>41071</v>
      </c>
      <c r="B50" s="1" t="s">
        <v>333</v>
      </c>
      <c r="C50" s="1" t="s">
        <v>334</v>
      </c>
      <c r="D50" s="2">
        <v>41071</v>
      </c>
      <c r="E50" s="3">
        <v>200</v>
      </c>
      <c r="G50" s="3">
        <v>32286.92</v>
      </c>
    </row>
    <row r="51" spans="1:7">
      <c r="A51" s="2">
        <v>41075</v>
      </c>
      <c r="B51" s="1" t="s">
        <v>936</v>
      </c>
      <c r="C51" s="1" t="s">
        <v>332</v>
      </c>
      <c r="D51" s="2">
        <v>41075</v>
      </c>
      <c r="E51" s="3">
        <v>10000</v>
      </c>
      <c r="G51" s="3">
        <v>22286.92</v>
      </c>
    </row>
    <row r="52" spans="1:7">
      <c r="A52" s="2">
        <v>41075</v>
      </c>
      <c r="B52" s="1" t="s">
        <v>336</v>
      </c>
      <c r="C52" s="1" t="s">
        <v>337</v>
      </c>
      <c r="D52" s="2">
        <v>41075</v>
      </c>
      <c r="E52" s="3">
        <v>644.94000000000005</v>
      </c>
      <c r="G52" s="3">
        <v>21641.98</v>
      </c>
    </row>
    <row r="53" spans="1:7">
      <c r="A53" s="2">
        <v>41076</v>
      </c>
      <c r="B53" s="1" t="s">
        <v>338</v>
      </c>
      <c r="C53" s="1" t="s">
        <v>339</v>
      </c>
      <c r="D53" s="2">
        <v>41076</v>
      </c>
      <c r="E53" s="3">
        <v>602</v>
      </c>
      <c r="G53" s="3">
        <v>21039.98</v>
      </c>
    </row>
    <row r="54" spans="1:7">
      <c r="A54" s="2">
        <v>41076</v>
      </c>
      <c r="B54" s="1" t="s">
        <v>299</v>
      </c>
      <c r="C54" s="1" t="s">
        <v>340</v>
      </c>
      <c r="D54" s="2">
        <v>41076</v>
      </c>
      <c r="E54" s="3">
        <v>2000</v>
      </c>
      <c r="G54" s="3">
        <v>19039.98</v>
      </c>
    </row>
    <row r="55" spans="1:7">
      <c r="A55" s="2">
        <v>41076</v>
      </c>
      <c r="B55" s="1" t="s">
        <v>287</v>
      </c>
      <c r="C55" s="1" t="s">
        <v>341</v>
      </c>
      <c r="D55" s="2">
        <v>41076</v>
      </c>
      <c r="E55" s="3">
        <v>500</v>
      </c>
      <c r="G55" s="3">
        <v>18539.98</v>
      </c>
    </row>
    <row r="56" spans="1:7">
      <c r="A56" s="2">
        <v>41077</v>
      </c>
      <c r="B56" s="1" t="s">
        <v>342</v>
      </c>
      <c r="C56" s="1" t="s">
        <v>343</v>
      </c>
      <c r="D56" s="2">
        <v>41077</v>
      </c>
      <c r="E56" s="3">
        <v>918</v>
      </c>
      <c r="G56" s="3">
        <v>17621.98</v>
      </c>
    </row>
    <row r="57" spans="1:7">
      <c r="A57" s="2">
        <v>41078</v>
      </c>
      <c r="B57" s="1" t="s">
        <v>344</v>
      </c>
      <c r="C57" s="1" t="s">
        <v>345</v>
      </c>
      <c r="D57" s="2">
        <v>41078</v>
      </c>
      <c r="E57" s="3">
        <v>163</v>
      </c>
      <c r="G57" s="3">
        <v>17458.98</v>
      </c>
    </row>
    <row r="58" spans="1:7">
      <c r="A58" s="2">
        <v>41078</v>
      </c>
      <c r="B58" s="1" t="s">
        <v>346</v>
      </c>
      <c r="C58" s="1" t="s">
        <v>347</v>
      </c>
      <c r="D58" s="2">
        <v>41078</v>
      </c>
      <c r="E58" s="3">
        <v>1008.5</v>
      </c>
      <c r="G58" s="3">
        <v>16450.48</v>
      </c>
    </row>
    <row r="59" spans="1:7">
      <c r="A59" s="2">
        <v>41081</v>
      </c>
      <c r="B59" s="1" t="s">
        <v>348</v>
      </c>
      <c r="C59" s="1" t="s">
        <v>349</v>
      </c>
      <c r="D59" s="2">
        <v>41082</v>
      </c>
      <c r="E59" s="3">
        <v>691</v>
      </c>
      <c r="G59" s="3">
        <v>15759.48</v>
      </c>
    </row>
    <row r="60" spans="1:7">
      <c r="A60" s="2">
        <v>41084</v>
      </c>
      <c r="B60" s="1" t="s">
        <v>289</v>
      </c>
      <c r="C60" s="1" t="s">
        <v>350</v>
      </c>
      <c r="D60" s="2">
        <v>41084</v>
      </c>
      <c r="E60" s="3">
        <v>3000</v>
      </c>
      <c r="G60" s="3">
        <v>12759.48</v>
      </c>
    </row>
    <row r="61" spans="1:7">
      <c r="A61" s="2">
        <v>41085</v>
      </c>
      <c r="B61" s="1" t="s">
        <v>295</v>
      </c>
      <c r="C61" s="1" t="s">
        <v>351</v>
      </c>
      <c r="D61" s="2">
        <v>41085</v>
      </c>
      <c r="E61" s="3">
        <v>7499</v>
      </c>
      <c r="G61" s="3">
        <v>5260.48</v>
      </c>
    </row>
    <row r="62" spans="1:7">
      <c r="A62" s="2">
        <v>41087</v>
      </c>
      <c r="B62" s="1" t="s">
        <v>352</v>
      </c>
      <c r="C62" s="1" t="s">
        <v>353</v>
      </c>
      <c r="D62" s="2">
        <v>41087</v>
      </c>
      <c r="E62" s="3">
        <v>4198</v>
      </c>
      <c r="G62" s="3">
        <v>1062.48</v>
      </c>
    </row>
    <row r="63" spans="1:7">
      <c r="A63" s="2">
        <v>41089</v>
      </c>
      <c r="B63" s="1" t="s">
        <v>354</v>
      </c>
      <c r="C63" s="1" t="s">
        <v>355</v>
      </c>
      <c r="D63" s="2">
        <v>41089</v>
      </c>
      <c r="F63" s="3">
        <v>29191</v>
      </c>
      <c r="G63" s="3">
        <v>30253.48</v>
      </c>
    </row>
    <row r="64" spans="1:7">
      <c r="A64" s="2">
        <v>41091</v>
      </c>
      <c r="B64" s="1" t="s">
        <v>289</v>
      </c>
      <c r="C64" s="1" t="s">
        <v>356</v>
      </c>
      <c r="D64" s="2">
        <v>41092</v>
      </c>
      <c r="E64" s="3">
        <v>3000</v>
      </c>
      <c r="G64" s="3">
        <v>27253.48</v>
      </c>
    </row>
    <row r="65" spans="1:7">
      <c r="A65" s="2">
        <v>41093</v>
      </c>
      <c r="B65" s="1" t="s">
        <v>937</v>
      </c>
      <c r="C65" s="1" t="s">
        <v>358</v>
      </c>
      <c r="D65" s="2">
        <v>41093</v>
      </c>
      <c r="E65" s="3">
        <v>10000</v>
      </c>
      <c r="G65" s="3">
        <v>17253.48</v>
      </c>
    </row>
    <row r="66" spans="1:7">
      <c r="A66" s="2">
        <v>41099</v>
      </c>
      <c r="B66" s="1" t="s">
        <v>938</v>
      </c>
      <c r="C66" s="1" t="s">
        <v>360</v>
      </c>
      <c r="D66" s="2">
        <v>41099</v>
      </c>
      <c r="E66" s="3">
        <v>360</v>
      </c>
      <c r="G66" s="3">
        <v>16893.48</v>
      </c>
    </row>
    <row r="67" spans="1:7">
      <c r="A67" s="2">
        <v>41101</v>
      </c>
      <c r="B67" s="1" t="s">
        <v>939</v>
      </c>
      <c r="C67" s="1" t="s">
        <v>362</v>
      </c>
      <c r="D67" s="2">
        <v>41101</v>
      </c>
      <c r="E67" s="3">
        <v>7200</v>
      </c>
      <c r="G67" s="3">
        <v>9693.48</v>
      </c>
    </row>
    <row r="68" spans="1:7">
      <c r="A68" s="2">
        <v>41109</v>
      </c>
      <c r="B68" s="1" t="s">
        <v>363</v>
      </c>
      <c r="C68" s="1" t="s">
        <v>364</v>
      </c>
      <c r="D68" s="2">
        <v>41109</v>
      </c>
      <c r="E68" s="3">
        <v>220</v>
      </c>
      <c r="G68" s="3">
        <v>9473.48</v>
      </c>
    </row>
    <row r="69" spans="1:7">
      <c r="A69" s="2">
        <v>41111</v>
      </c>
      <c r="B69" s="1" t="s">
        <v>940</v>
      </c>
      <c r="C69" s="1" t="s">
        <v>366</v>
      </c>
      <c r="D69" s="2">
        <v>41111</v>
      </c>
      <c r="E69" s="3">
        <v>6160</v>
      </c>
      <c r="G69" s="3">
        <v>3313.48</v>
      </c>
    </row>
    <row r="70" spans="1:7">
      <c r="A70" s="2">
        <v>41116</v>
      </c>
      <c r="B70" s="1" t="s">
        <v>941</v>
      </c>
      <c r="C70" s="1" t="s">
        <v>368</v>
      </c>
      <c r="D70" s="2">
        <v>41116</v>
      </c>
      <c r="E70" s="3">
        <v>364.94</v>
      </c>
      <c r="G70" s="3">
        <v>2948.54</v>
      </c>
    </row>
    <row r="71" spans="1:7">
      <c r="A71" s="2">
        <v>41118</v>
      </c>
      <c r="B71" s="1" t="s">
        <v>369</v>
      </c>
      <c r="C71" s="1" t="s">
        <v>370</v>
      </c>
      <c r="D71" s="2">
        <v>41118</v>
      </c>
      <c r="F71" s="3">
        <v>29192</v>
      </c>
      <c r="G71" s="3">
        <v>32140.54</v>
      </c>
    </row>
    <row r="72" spans="1:7">
      <c r="A72" s="2">
        <v>41121</v>
      </c>
      <c r="B72" s="1" t="s">
        <v>942</v>
      </c>
      <c r="C72" s="1" t="s">
        <v>372</v>
      </c>
      <c r="D72" s="2">
        <v>41121</v>
      </c>
      <c r="E72" s="3">
        <v>444.94</v>
      </c>
      <c r="G72" s="3">
        <v>31695.599999999999</v>
      </c>
    </row>
    <row r="73" spans="1:7">
      <c r="A73" s="2">
        <v>41122</v>
      </c>
      <c r="B73" s="1" t="s">
        <v>373</v>
      </c>
      <c r="C73" s="1" t="s">
        <v>374</v>
      </c>
      <c r="D73" s="2">
        <v>41122</v>
      </c>
      <c r="E73" s="3">
        <v>5000</v>
      </c>
      <c r="G73" s="3">
        <v>26695.599999999999</v>
      </c>
    </row>
    <row r="74" spans="1:7">
      <c r="A74" s="2">
        <v>41123</v>
      </c>
      <c r="B74" s="1" t="s">
        <v>943</v>
      </c>
      <c r="C74" s="1" t="s">
        <v>376</v>
      </c>
      <c r="D74" s="2">
        <v>41123</v>
      </c>
      <c r="E74" s="3">
        <v>6000</v>
      </c>
      <c r="G74" s="3">
        <v>20695.599999999999</v>
      </c>
    </row>
    <row r="75" spans="1:7">
      <c r="A75" s="2">
        <v>41125</v>
      </c>
      <c r="B75" s="1" t="s">
        <v>377</v>
      </c>
      <c r="C75" s="1" t="s">
        <v>378</v>
      </c>
      <c r="D75" s="2">
        <v>41125</v>
      </c>
      <c r="E75" s="3">
        <v>3000</v>
      </c>
      <c r="G75" s="3">
        <v>17695.599999999999</v>
      </c>
    </row>
    <row r="76" spans="1:7">
      <c r="A76" s="2">
        <v>41126</v>
      </c>
      <c r="B76" s="1" t="s">
        <v>379</v>
      </c>
      <c r="C76" s="1" t="s">
        <v>380</v>
      </c>
      <c r="D76" s="2">
        <v>41126</v>
      </c>
      <c r="E76" s="3">
        <v>907.41</v>
      </c>
      <c r="G76" s="3">
        <v>16788.189999999999</v>
      </c>
    </row>
    <row r="77" spans="1:7">
      <c r="A77" s="2">
        <v>41128</v>
      </c>
      <c r="B77" s="1" t="s">
        <v>381</v>
      </c>
      <c r="C77" s="1" t="s">
        <v>382</v>
      </c>
      <c r="D77" s="2">
        <v>41128</v>
      </c>
      <c r="E77" s="3">
        <v>160</v>
      </c>
      <c r="G77" s="3">
        <v>16628.189999999999</v>
      </c>
    </row>
    <row r="78" spans="1:7">
      <c r="A78" s="2">
        <v>41129</v>
      </c>
      <c r="B78" s="1" t="s">
        <v>383</v>
      </c>
      <c r="C78" s="1" t="s">
        <v>384</v>
      </c>
      <c r="D78" s="2">
        <v>41129</v>
      </c>
      <c r="E78" s="3">
        <v>549</v>
      </c>
      <c r="G78" s="3">
        <v>16079.19</v>
      </c>
    </row>
    <row r="79" spans="1:7">
      <c r="A79" s="2">
        <v>41134</v>
      </c>
      <c r="B79" s="1" t="s">
        <v>944</v>
      </c>
      <c r="C79" s="1" t="s">
        <v>386</v>
      </c>
      <c r="D79" s="2">
        <v>41134</v>
      </c>
      <c r="E79" s="3">
        <v>5000</v>
      </c>
      <c r="G79" s="3">
        <v>11079.19</v>
      </c>
    </row>
    <row r="80" spans="1:7">
      <c r="A80" s="2">
        <v>41150</v>
      </c>
      <c r="B80" s="1" t="s">
        <v>387</v>
      </c>
      <c r="C80" s="1" t="s">
        <v>388</v>
      </c>
      <c r="D80" s="2">
        <v>41150</v>
      </c>
      <c r="F80" s="3">
        <v>42207</v>
      </c>
      <c r="G80" s="3">
        <v>53286.19</v>
      </c>
    </row>
    <row r="81" spans="1:7">
      <c r="A81" s="2">
        <v>41151</v>
      </c>
      <c r="B81" s="1" t="s">
        <v>389</v>
      </c>
      <c r="C81" s="1" t="s">
        <v>390</v>
      </c>
      <c r="D81" s="2">
        <v>41151</v>
      </c>
      <c r="E81" s="3">
        <v>361</v>
      </c>
      <c r="G81" s="3">
        <v>52925.19</v>
      </c>
    </row>
    <row r="82" spans="1:7">
      <c r="A82" s="2">
        <v>41153</v>
      </c>
      <c r="B82" s="1" t="s">
        <v>391</v>
      </c>
      <c r="C82" s="1" t="s">
        <v>392</v>
      </c>
      <c r="D82" s="2">
        <v>41153</v>
      </c>
      <c r="E82" s="3">
        <v>1458</v>
      </c>
      <c r="G82" s="3">
        <v>51467.19</v>
      </c>
    </row>
    <row r="83" spans="1:7">
      <c r="A83" s="2">
        <v>41157</v>
      </c>
      <c r="B83" s="1" t="s">
        <v>346</v>
      </c>
      <c r="C83" s="1" t="s">
        <v>393</v>
      </c>
      <c r="D83" s="2">
        <v>41157</v>
      </c>
      <c r="E83" s="3">
        <v>1281</v>
      </c>
      <c r="G83" s="3">
        <v>50186.19</v>
      </c>
    </row>
    <row r="84" spans="1:7">
      <c r="A84" s="2">
        <v>41164</v>
      </c>
      <c r="B84" s="1" t="s">
        <v>348</v>
      </c>
      <c r="C84" s="1" t="s">
        <v>394</v>
      </c>
      <c r="D84" s="2">
        <v>41165</v>
      </c>
      <c r="E84" s="3">
        <v>2153</v>
      </c>
      <c r="G84" s="3">
        <v>48033.19</v>
      </c>
    </row>
    <row r="85" spans="1:7">
      <c r="A85" s="2">
        <v>41164</v>
      </c>
      <c r="B85" s="1" t="s">
        <v>348</v>
      </c>
      <c r="C85" s="1" t="s">
        <v>395</v>
      </c>
      <c r="D85" s="2">
        <v>41165</v>
      </c>
      <c r="E85" s="3">
        <v>225</v>
      </c>
      <c r="G85" s="3">
        <v>47808.19</v>
      </c>
    </row>
    <row r="86" spans="1:7">
      <c r="A86" s="2">
        <v>41164</v>
      </c>
      <c r="B86" s="1" t="s">
        <v>381</v>
      </c>
      <c r="C86" s="1" t="s">
        <v>396</v>
      </c>
      <c r="D86" s="2">
        <v>41164</v>
      </c>
      <c r="E86" s="3">
        <v>260</v>
      </c>
      <c r="G86" s="3">
        <v>47548.19</v>
      </c>
    </row>
    <row r="87" spans="1:7">
      <c r="A87" s="2">
        <v>41165</v>
      </c>
      <c r="B87" s="1" t="s">
        <v>397</v>
      </c>
      <c r="C87" s="1" t="s">
        <v>398</v>
      </c>
      <c r="D87" s="2">
        <v>41165</v>
      </c>
      <c r="E87" s="3">
        <v>1160</v>
      </c>
      <c r="G87" s="3">
        <v>46388.19</v>
      </c>
    </row>
    <row r="88" spans="1:7">
      <c r="A88" s="2">
        <v>41168</v>
      </c>
      <c r="B88" s="1" t="s">
        <v>399</v>
      </c>
      <c r="C88" s="1" t="s">
        <v>400</v>
      </c>
      <c r="D88" s="2">
        <v>41169</v>
      </c>
      <c r="E88" s="3">
        <v>1395</v>
      </c>
      <c r="G88" s="3">
        <v>44993.19</v>
      </c>
    </row>
    <row r="89" spans="1:7">
      <c r="A89" s="2">
        <v>41176</v>
      </c>
      <c r="B89" s="1" t="s">
        <v>346</v>
      </c>
      <c r="C89" s="1" t="s">
        <v>401</v>
      </c>
      <c r="D89" s="2">
        <v>41176</v>
      </c>
      <c r="E89" s="3">
        <v>1078</v>
      </c>
      <c r="G89" s="3">
        <v>43915.19</v>
      </c>
    </row>
    <row r="90" spans="1:7">
      <c r="A90" s="2">
        <v>41178</v>
      </c>
      <c r="B90" s="1" t="s">
        <v>402</v>
      </c>
      <c r="C90" s="1" t="s">
        <v>403</v>
      </c>
      <c r="D90" s="2">
        <v>41178</v>
      </c>
      <c r="E90" s="3">
        <v>775</v>
      </c>
      <c r="G90" s="3">
        <v>43140.19</v>
      </c>
    </row>
    <row r="91" spans="1:7">
      <c r="A91" s="2">
        <v>41182</v>
      </c>
      <c r="B91" s="1" t="s">
        <v>402</v>
      </c>
      <c r="C91" s="1" t="s">
        <v>404</v>
      </c>
      <c r="D91" s="2">
        <v>41182</v>
      </c>
      <c r="E91" s="3">
        <v>2050</v>
      </c>
      <c r="G91" s="3">
        <v>41090.19</v>
      </c>
    </row>
    <row r="92" spans="1:7">
      <c r="A92" s="2">
        <v>41182</v>
      </c>
      <c r="B92" s="1" t="s">
        <v>303</v>
      </c>
      <c r="C92" s="1" t="s">
        <v>405</v>
      </c>
      <c r="D92" s="2">
        <v>41182</v>
      </c>
      <c r="E92" s="3">
        <v>6000</v>
      </c>
      <c r="G92" s="3">
        <v>35090.19</v>
      </c>
    </row>
    <row r="93" spans="1:7">
      <c r="A93" s="2">
        <v>41182</v>
      </c>
      <c r="B93" s="1" t="s">
        <v>945</v>
      </c>
      <c r="C93" s="1" t="s">
        <v>407</v>
      </c>
      <c r="D93" s="2">
        <v>41182</v>
      </c>
      <c r="F93" s="3">
        <v>654.92999999999995</v>
      </c>
      <c r="G93" s="3">
        <v>35745.120000000003</v>
      </c>
    </row>
    <row r="94" spans="1:7">
      <c r="A94" s="2">
        <v>41183</v>
      </c>
      <c r="B94" s="1" t="s">
        <v>408</v>
      </c>
      <c r="C94" s="1" t="s">
        <v>409</v>
      </c>
      <c r="D94" s="2">
        <v>41183</v>
      </c>
      <c r="E94" s="3">
        <v>500</v>
      </c>
      <c r="G94" s="3">
        <v>35245.120000000003</v>
      </c>
    </row>
    <row r="95" spans="1:7">
      <c r="A95" s="2">
        <v>41185</v>
      </c>
      <c r="B95" s="1" t="s">
        <v>410</v>
      </c>
      <c r="C95" s="1" t="s">
        <v>411</v>
      </c>
      <c r="D95" s="2">
        <v>41185</v>
      </c>
      <c r="E95" s="3">
        <v>6895</v>
      </c>
      <c r="G95" s="3">
        <v>28350.12</v>
      </c>
    </row>
    <row r="96" spans="1:7">
      <c r="A96" s="2">
        <v>41185</v>
      </c>
      <c r="B96" s="1" t="s">
        <v>410</v>
      </c>
      <c r="C96" s="1" t="s">
        <v>412</v>
      </c>
      <c r="D96" s="2">
        <v>41185</v>
      </c>
      <c r="E96" s="3">
        <v>3850</v>
      </c>
      <c r="G96" s="3">
        <v>24500.12</v>
      </c>
    </row>
    <row r="97" spans="1:7">
      <c r="A97" s="2">
        <v>41194</v>
      </c>
      <c r="B97" s="1" t="s">
        <v>299</v>
      </c>
      <c r="C97" s="1" t="s">
        <v>413</v>
      </c>
      <c r="D97" s="2">
        <v>41194</v>
      </c>
      <c r="E97" s="3">
        <v>2000</v>
      </c>
      <c r="G97" s="3">
        <v>22500.12</v>
      </c>
    </row>
    <row r="98" spans="1:7">
      <c r="A98" s="2">
        <v>41194</v>
      </c>
      <c r="B98" s="1" t="s">
        <v>348</v>
      </c>
      <c r="C98" s="1" t="s">
        <v>414</v>
      </c>
      <c r="D98" s="2">
        <v>41195</v>
      </c>
      <c r="E98" s="3">
        <v>1761</v>
      </c>
      <c r="G98" s="3">
        <v>20739.12</v>
      </c>
    </row>
    <row r="99" spans="1:7">
      <c r="A99" s="2">
        <v>41198</v>
      </c>
      <c r="B99" s="1" t="s">
        <v>346</v>
      </c>
      <c r="C99" s="1" t="s">
        <v>415</v>
      </c>
      <c r="D99" s="2">
        <v>41198</v>
      </c>
      <c r="E99" s="3">
        <v>1076</v>
      </c>
      <c r="G99" s="3">
        <v>19663.12</v>
      </c>
    </row>
    <row r="100" spans="1:7">
      <c r="A100" s="2">
        <v>41214</v>
      </c>
      <c r="B100" s="1" t="s">
        <v>946</v>
      </c>
      <c r="C100" s="1" t="s">
        <v>417</v>
      </c>
      <c r="D100" s="2">
        <v>41214</v>
      </c>
      <c r="E100" s="3">
        <v>7200</v>
      </c>
      <c r="G100" s="3">
        <v>12463.12</v>
      </c>
    </row>
    <row r="101" spans="1:7">
      <c r="A101" s="2">
        <v>41214</v>
      </c>
      <c r="B101" s="1" t="s">
        <v>418</v>
      </c>
      <c r="C101" s="1" t="s">
        <v>419</v>
      </c>
      <c r="D101" s="2">
        <v>41215</v>
      </c>
      <c r="E101" s="3">
        <v>3000</v>
      </c>
      <c r="G101" s="3">
        <v>9463.1200000000008</v>
      </c>
    </row>
    <row r="102" spans="1:7">
      <c r="A102" s="2">
        <v>41234</v>
      </c>
      <c r="B102" s="1" t="s">
        <v>947</v>
      </c>
      <c r="C102" s="1" t="s">
        <v>407</v>
      </c>
      <c r="D102" s="2">
        <v>41234</v>
      </c>
      <c r="F102" s="3">
        <v>125408</v>
      </c>
      <c r="G102" s="3">
        <v>134871.12</v>
      </c>
    </row>
    <row r="103" spans="1:7">
      <c r="A103" s="2">
        <v>41241</v>
      </c>
      <c r="B103" s="1" t="s">
        <v>344</v>
      </c>
      <c r="C103" s="1" t="s">
        <v>421</v>
      </c>
      <c r="D103" s="2">
        <v>41241</v>
      </c>
      <c r="E103" s="3">
        <v>703</v>
      </c>
      <c r="G103" s="3">
        <v>134168.12</v>
      </c>
    </row>
    <row r="104" spans="1:7">
      <c r="A104" s="2">
        <v>41242</v>
      </c>
      <c r="B104" s="1" t="s">
        <v>348</v>
      </c>
      <c r="C104" s="1" t="s">
        <v>422</v>
      </c>
      <c r="D104" s="2">
        <v>41242</v>
      </c>
      <c r="E104" s="3">
        <v>367</v>
      </c>
      <c r="G104" s="3">
        <v>133801.12</v>
      </c>
    </row>
    <row r="105" spans="1:7">
      <c r="A105" s="2">
        <v>41246</v>
      </c>
      <c r="B105" s="1" t="s">
        <v>348</v>
      </c>
      <c r="C105" s="1" t="s">
        <v>423</v>
      </c>
      <c r="D105" s="2">
        <v>41247</v>
      </c>
      <c r="E105" s="3">
        <v>2579</v>
      </c>
      <c r="G105" s="3">
        <v>131222.12</v>
      </c>
    </row>
    <row r="106" spans="1:7">
      <c r="A106" s="2">
        <v>41246</v>
      </c>
      <c r="B106" s="1" t="s">
        <v>303</v>
      </c>
      <c r="C106" s="1" t="s">
        <v>424</v>
      </c>
      <c r="D106" s="2">
        <v>41246</v>
      </c>
      <c r="E106" s="3">
        <v>5000</v>
      </c>
      <c r="G106" s="3">
        <v>126222.12</v>
      </c>
    </row>
    <row r="107" spans="1:7">
      <c r="A107" s="2">
        <v>41249</v>
      </c>
      <c r="B107" s="1" t="s">
        <v>425</v>
      </c>
      <c r="C107" s="1" t="s">
        <v>426</v>
      </c>
      <c r="D107" s="2">
        <v>41249</v>
      </c>
      <c r="E107" s="3">
        <v>1229</v>
      </c>
      <c r="G107" s="3">
        <v>124993.12</v>
      </c>
    </row>
    <row r="108" spans="1:7">
      <c r="A108" s="2">
        <v>41253</v>
      </c>
      <c r="B108" s="1" t="s">
        <v>948</v>
      </c>
      <c r="C108" s="1" t="s">
        <v>407</v>
      </c>
      <c r="D108" s="2">
        <v>41253</v>
      </c>
      <c r="E108" s="3">
        <v>100000</v>
      </c>
      <c r="G108" s="3">
        <v>24993.119999999999</v>
      </c>
    </row>
    <row r="109" spans="1:7">
      <c r="A109" s="2">
        <v>41255</v>
      </c>
      <c r="B109" s="1" t="s">
        <v>949</v>
      </c>
      <c r="C109" s="1" t="s">
        <v>332</v>
      </c>
      <c r="D109" s="2">
        <v>41255</v>
      </c>
      <c r="E109" s="3">
        <v>12000</v>
      </c>
      <c r="G109" s="3">
        <v>12993.12</v>
      </c>
    </row>
    <row r="110" spans="1:7">
      <c r="A110" s="2">
        <v>41255</v>
      </c>
      <c r="B110" s="1" t="s">
        <v>289</v>
      </c>
      <c r="C110" s="1" t="s">
        <v>429</v>
      </c>
      <c r="D110" s="2">
        <v>41256</v>
      </c>
      <c r="E110" s="3">
        <v>2000</v>
      </c>
      <c r="G110" s="3">
        <v>10993.12</v>
      </c>
    </row>
    <row r="111" spans="1:7">
      <c r="A111" s="2">
        <v>41270</v>
      </c>
      <c r="B111" s="1" t="s">
        <v>950</v>
      </c>
      <c r="C111" s="1" t="s">
        <v>431</v>
      </c>
      <c r="D111" s="2">
        <v>41270</v>
      </c>
      <c r="F111" s="3">
        <v>21000</v>
      </c>
      <c r="G111" s="3">
        <v>31993.119999999999</v>
      </c>
    </row>
    <row r="112" spans="1:7">
      <c r="B112" s="1" t="s">
        <v>951</v>
      </c>
    </row>
    <row r="113" spans="1:7">
      <c r="A113" s="2">
        <v>41270</v>
      </c>
      <c r="B113" s="1" t="s">
        <v>952</v>
      </c>
      <c r="C113" s="1" t="s">
        <v>434</v>
      </c>
      <c r="D113" s="2">
        <v>41270</v>
      </c>
      <c r="E113" s="3">
        <v>21000</v>
      </c>
      <c r="G113" s="3">
        <v>10993.12</v>
      </c>
    </row>
    <row r="114" spans="1:7">
      <c r="A114" s="2">
        <v>41278</v>
      </c>
      <c r="B114" s="1" t="s">
        <v>953</v>
      </c>
      <c r="C114" s="1" t="s">
        <v>436</v>
      </c>
      <c r="D114" s="2">
        <v>41278</v>
      </c>
      <c r="F114" s="3">
        <v>7200</v>
      </c>
      <c r="G114" s="3">
        <v>18193.12</v>
      </c>
    </row>
    <row r="115" spans="1:7">
      <c r="A115" s="2">
        <v>41278</v>
      </c>
      <c r="B115" s="1" t="s">
        <v>437</v>
      </c>
      <c r="C115" s="1" t="s">
        <v>438</v>
      </c>
      <c r="D115" s="2">
        <v>41278</v>
      </c>
      <c r="E115" s="3">
        <v>2000</v>
      </c>
      <c r="G115" s="3">
        <v>16193.12</v>
      </c>
    </row>
    <row r="116" spans="1:7">
      <c r="A116" s="2">
        <v>41279</v>
      </c>
      <c r="B116" s="1" t="s">
        <v>954</v>
      </c>
      <c r="C116" s="1" t="s">
        <v>440</v>
      </c>
      <c r="D116" s="2">
        <v>41279</v>
      </c>
      <c r="F116" s="3">
        <v>2000</v>
      </c>
      <c r="G116" s="3">
        <v>18193.12</v>
      </c>
    </row>
    <row r="117" spans="1:7">
      <c r="A117" s="2">
        <v>41302</v>
      </c>
      <c r="B117" s="1" t="s">
        <v>955</v>
      </c>
      <c r="C117" s="1" t="s">
        <v>442</v>
      </c>
      <c r="D117" s="2">
        <v>41302</v>
      </c>
      <c r="E117" s="3">
        <v>7200</v>
      </c>
      <c r="G117" s="3">
        <v>10993.12</v>
      </c>
    </row>
    <row r="118" spans="1:7">
      <c r="A118" s="2">
        <v>41353</v>
      </c>
      <c r="B118" s="1" t="s">
        <v>956</v>
      </c>
      <c r="C118" s="1" t="s">
        <v>444</v>
      </c>
      <c r="D118" s="2">
        <v>41353</v>
      </c>
      <c r="F118" s="3">
        <v>28544</v>
      </c>
      <c r="G118" s="3">
        <v>39537.120000000003</v>
      </c>
    </row>
    <row r="119" spans="1:7">
      <c r="B119" s="1" t="s">
        <v>445</v>
      </c>
    </row>
    <row r="120" spans="1:7">
      <c r="B120" s="1" t="s">
        <v>444</v>
      </c>
    </row>
    <row r="121" spans="1:7">
      <c r="A121" s="2">
        <v>41365</v>
      </c>
      <c r="B121" s="1" t="s">
        <v>876</v>
      </c>
      <c r="C121" s="1" t="s">
        <v>407</v>
      </c>
      <c r="D121" s="2">
        <v>41364</v>
      </c>
      <c r="F121" s="3">
        <v>563</v>
      </c>
      <c r="G121" s="3">
        <v>40100.120000000003</v>
      </c>
    </row>
    <row r="122" spans="1:7">
      <c r="A122" s="2">
        <v>41367</v>
      </c>
      <c r="B122" s="1" t="s">
        <v>447</v>
      </c>
      <c r="C122" s="1" t="s">
        <v>448</v>
      </c>
      <c r="D122" s="2">
        <v>41367</v>
      </c>
      <c r="E122" s="3">
        <v>650</v>
      </c>
      <c r="G122" s="3">
        <v>39450.120000000003</v>
      </c>
    </row>
    <row r="123" spans="1:7">
      <c r="B123" s="1" t="s">
        <v>449</v>
      </c>
    </row>
    <row r="124" spans="1:7">
      <c r="A124" s="2">
        <v>41367</v>
      </c>
      <c r="B124" s="1" t="s">
        <v>450</v>
      </c>
      <c r="C124" s="1" t="s">
        <v>451</v>
      </c>
      <c r="D124" s="2">
        <v>41367</v>
      </c>
      <c r="E124" s="3">
        <v>430</v>
      </c>
      <c r="G124" s="3">
        <v>39020.120000000003</v>
      </c>
    </row>
    <row r="125" spans="1:7">
      <c r="B125" s="1" t="s">
        <v>449</v>
      </c>
    </row>
    <row r="126" spans="1:7">
      <c r="A126" s="2">
        <v>41367</v>
      </c>
      <c r="B126" s="1" t="s">
        <v>452</v>
      </c>
      <c r="C126" s="1" t="s">
        <v>453</v>
      </c>
      <c r="D126" s="2">
        <v>41368</v>
      </c>
      <c r="E126" s="3">
        <v>1500</v>
      </c>
      <c r="G126" s="3">
        <v>37520.120000000003</v>
      </c>
    </row>
    <row r="127" spans="1:7">
      <c r="B127" s="1" t="s">
        <v>449</v>
      </c>
    </row>
    <row r="128" spans="1:7">
      <c r="A128" s="2">
        <v>41383</v>
      </c>
      <c r="B128" s="1" t="s">
        <v>454</v>
      </c>
      <c r="C128" s="1" t="s">
        <v>407</v>
      </c>
      <c r="D128" s="2">
        <v>41383</v>
      </c>
      <c r="F128" s="3">
        <v>7100</v>
      </c>
      <c r="G128" s="3">
        <v>44620.12</v>
      </c>
    </row>
    <row r="129" spans="1:7">
      <c r="A129" s="2">
        <v>41383</v>
      </c>
      <c r="B129" s="1" t="s">
        <v>957</v>
      </c>
      <c r="C129" s="1" t="s">
        <v>407</v>
      </c>
      <c r="D129" s="2">
        <v>41384</v>
      </c>
      <c r="E129" s="3">
        <v>7100</v>
      </c>
      <c r="G129" s="3">
        <v>37520.120000000003</v>
      </c>
    </row>
    <row r="130" spans="1:7">
      <c r="B130" s="1" t="s">
        <v>456</v>
      </c>
    </row>
    <row r="131" spans="1:7">
      <c r="A131" s="2">
        <v>41389</v>
      </c>
      <c r="B131" s="1" t="s">
        <v>958</v>
      </c>
      <c r="C131" s="1" t="s">
        <v>458</v>
      </c>
      <c r="D131" s="2">
        <v>41389</v>
      </c>
      <c r="E131" s="3">
        <v>7200</v>
      </c>
      <c r="G131" s="3">
        <v>30320.12</v>
      </c>
    </row>
    <row r="132" spans="1:7">
      <c r="A132" s="2">
        <v>41389</v>
      </c>
      <c r="B132" s="1" t="s">
        <v>959</v>
      </c>
      <c r="C132" s="1" t="s">
        <v>458</v>
      </c>
      <c r="D132" s="2">
        <v>41389</v>
      </c>
      <c r="F132" s="3">
        <v>7200</v>
      </c>
      <c r="G132" s="3">
        <v>37520.120000000003</v>
      </c>
    </row>
    <row r="133" spans="1:7">
      <c r="A133" s="2">
        <v>41429</v>
      </c>
      <c r="B133" s="1" t="s">
        <v>955</v>
      </c>
      <c r="C133" s="1" t="s">
        <v>460</v>
      </c>
      <c r="D133" s="2">
        <v>41429</v>
      </c>
      <c r="E133" s="3">
        <v>7200</v>
      </c>
      <c r="G133" s="3">
        <v>30320.12</v>
      </c>
    </row>
    <row r="134" spans="1:7">
      <c r="A134" s="2">
        <v>41434</v>
      </c>
      <c r="B134" s="1" t="s">
        <v>461</v>
      </c>
      <c r="C134" s="1" t="s">
        <v>407</v>
      </c>
      <c r="D134" s="2">
        <v>41434</v>
      </c>
      <c r="F134" s="3">
        <v>200000</v>
      </c>
      <c r="G134" s="3">
        <v>230320.12</v>
      </c>
    </row>
    <row r="135" spans="1:7">
      <c r="A135" s="2">
        <v>41441</v>
      </c>
      <c r="B135" s="1" t="s">
        <v>462</v>
      </c>
      <c r="C135" s="1" t="s">
        <v>463</v>
      </c>
      <c r="D135" s="2">
        <v>41442</v>
      </c>
      <c r="E135" s="3">
        <v>1785</v>
      </c>
      <c r="G135" s="3">
        <v>228535.12</v>
      </c>
    </row>
    <row r="136" spans="1:7">
      <c r="B136" s="1" t="s">
        <v>449</v>
      </c>
    </row>
    <row r="137" spans="1:7">
      <c r="A137" s="2">
        <v>41442</v>
      </c>
      <c r="B137" s="1" t="s">
        <v>960</v>
      </c>
      <c r="C137" s="1" t="s">
        <v>465</v>
      </c>
      <c r="D137" s="2">
        <v>41442</v>
      </c>
      <c r="E137" s="3">
        <v>376.18</v>
      </c>
      <c r="G137" s="3">
        <v>228158.94</v>
      </c>
    </row>
    <row r="138" spans="1:7">
      <c r="A138" s="2">
        <v>41443</v>
      </c>
      <c r="B138" s="1" t="s">
        <v>961</v>
      </c>
      <c r="C138" s="1" t="s">
        <v>467</v>
      </c>
      <c r="D138" s="2">
        <v>41443</v>
      </c>
      <c r="F138" s="3">
        <v>16490</v>
      </c>
      <c r="G138" s="3">
        <v>244648.94</v>
      </c>
    </row>
    <row r="139" spans="1:7">
      <c r="B139" s="1" t="s">
        <v>468</v>
      </c>
    </row>
    <row r="140" spans="1:7">
      <c r="B140" s="1" t="s">
        <v>469</v>
      </c>
    </row>
    <row r="141" spans="1:7">
      <c r="A141" s="2">
        <v>41448</v>
      </c>
      <c r="B141" s="1" t="s">
        <v>962</v>
      </c>
      <c r="C141" s="1" t="s">
        <v>471</v>
      </c>
      <c r="D141" s="2">
        <v>41448</v>
      </c>
      <c r="E141" s="3">
        <v>333.7</v>
      </c>
      <c r="G141" s="3">
        <v>244315.24</v>
      </c>
    </row>
    <row r="142" spans="1:7">
      <c r="A142" s="2">
        <v>41449</v>
      </c>
      <c r="B142" s="1" t="s">
        <v>963</v>
      </c>
      <c r="C142" s="1" t="s">
        <v>407</v>
      </c>
      <c r="D142" s="2">
        <v>41449</v>
      </c>
      <c r="E142" s="3">
        <v>50000</v>
      </c>
      <c r="G142" s="3">
        <v>194315.24</v>
      </c>
    </row>
    <row r="143" spans="1:7">
      <c r="B143" s="1" t="s">
        <v>473</v>
      </c>
    </row>
    <row r="144" spans="1:7">
      <c r="A144" s="2">
        <v>41450</v>
      </c>
      <c r="B144" s="1" t="s">
        <v>963</v>
      </c>
      <c r="C144" s="1" t="s">
        <v>407</v>
      </c>
      <c r="D144" s="2">
        <v>41451</v>
      </c>
      <c r="E144" s="3">
        <v>50000</v>
      </c>
      <c r="G144" s="3">
        <v>144315.24</v>
      </c>
    </row>
    <row r="145" spans="1:7">
      <c r="B145" s="1" t="s">
        <v>474</v>
      </c>
    </row>
    <row r="146" spans="1:7">
      <c r="A146" s="2">
        <v>41453</v>
      </c>
      <c r="B146" s="1" t="s">
        <v>964</v>
      </c>
      <c r="C146" s="1" t="s">
        <v>476</v>
      </c>
      <c r="D146" s="2">
        <v>41453</v>
      </c>
      <c r="E146" s="3">
        <v>636.17999999999995</v>
      </c>
      <c r="G146" s="3">
        <v>143679.06</v>
      </c>
    </row>
    <row r="147" spans="1:7">
      <c r="A147" s="2">
        <v>41456</v>
      </c>
      <c r="B147" s="1" t="s">
        <v>477</v>
      </c>
      <c r="C147" s="1" t="s">
        <v>478</v>
      </c>
      <c r="D147" s="2">
        <v>41457</v>
      </c>
      <c r="E147" s="3">
        <v>686</v>
      </c>
      <c r="G147" s="3">
        <v>142993.06</v>
      </c>
    </row>
    <row r="148" spans="1:7">
      <c r="B148" s="1" t="s">
        <v>479</v>
      </c>
    </row>
    <row r="149" spans="1:7">
      <c r="A149" s="2">
        <v>41461</v>
      </c>
      <c r="B149" s="1" t="s">
        <v>480</v>
      </c>
      <c r="C149" s="1" t="s">
        <v>481</v>
      </c>
      <c r="D149" s="2">
        <v>41461</v>
      </c>
      <c r="E149" s="3">
        <v>376</v>
      </c>
      <c r="G149" s="3">
        <v>142617.06</v>
      </c>
    </row>
    <row r="150" spans="1:7">
      <c r="B150" s="1" t="s">
        <v>482</v>
      </c>
    </row>
    <row r="151" spans="1:7">
      <c r="A151" s="2">
        <v>41464</v>
      </c>
      <c r="B151" s="1" t="s">
        <v>483</v>
      </c>
      <c r="C151" s="1" t="s">
        <v>484</v>
      </c>
      <c r="D151" s="2">
        <v>41464</v>
      </c>
      <c r="E151" s="3">
        <v>2950</v>
      </c>
      <c r="G151" s="3">
        <v>139667.06</v>
      </c>
    </row>
    <row r="152" spans="1:7">
      <c r="B152" s="1" t="s">
        <v>485</v>
      </c>
    </row>
    <row r="153" spans="1:7">
      <c r="A153" s="2">
        <v>41468</v>
      </c>
      <c r="B153" s="1" t="s">
        <v>486</v>
      </c>
      <c r="C153" s="1" t="s">
        <v>487</v>
      </c>
      <c r="D153" s="2">
        <v>41468</v>
      </c>
      <c r="E153" s="3">
        <v>2500</v>
      </c>
      <c r="G153" s="3">
        <v>137167.06</v>
      </c>
    </row>
    <row r="154" spans="1:7">
      <c r="B154" s="1" t="s">
        <v>449</v>
      </c>
    </row>
    <row r="155" spans="1:7">
      <c r="A155" s="2">
        <v>41475</v>
      </c>
      <c r="B155" s="1" t="s">
        <v>488</v>
      </c>
      <c r="C155" s="1" t="s">
        <v>489</v>
      </c>
      <c r="D155" s="2">
        <v>41475</v>
      </c>
      <c r="E155" s="3">
        <v>1575</v>
      </c>
      <c r="G155" s="3">
        <v>135592.06</v>
      </c>
    </row>
    <row r="156" spans="1:7">
      <c r="B156" s="1" t="s">
        <v>449</v>
      </c>
    </row>
    <row r="157" spans="1:7">
      <c r="A157" s="2">
        <v>41478</v>
      </c>
      <c r="B157" s="1" t="s">
        <v>965</v>
      </c>
      <c r="C157" s="1" t="s">
        <v>966</v>
      </c>
      <c r="D157" s="2">
        <v>41478</v>
      </c>
      <c r="E157" s="3">
        <v>1573</v>
      </c>
      <c r="G157" s="3">
        <v>134019.06</v>
      </c>
    </row>
    <row r="158" spans="1:7">
      <c r="B158" s="1" t="s">
        <v>449</v>
      </c>
    </row>
    <row r="159" spans="1:7">
      <c r="A159" s="2">
        <v>41478</v>
      </c>
      <c r="B159" s="1" t="s">
        <v>967</v>
      </c>
      <c r="C159" s="1" t="s">
        <v>968</v>
      </c>
      <c r="D159" s="2">
        <v>41478</v>
      </c>
      <c r="E159" s="3">
        <v>1183</v>
      </c>
      <c r="G159" s="3">
        <v>132836.06</v>
      </c>
    </row>
    <row r="160" spans="1:7">
      <c r="A160" s="2">
        <v>41479</v>
      </c>
      <c r="B160" s="1" t="s">
        <v>965</v>
      </c>
      <c r="C160" s="1" t="s">
        <v>969</v>
      </c>
      <c r="D160" s="2">
        <v>41479</v>
      </c>
      <c r="E160" s="3">
        <v>548</v>
      </c>
      <c r="G160" s="3">
        <v>132288.06</v>
      </c>
    </row>
    <row r="161" spans="1:7">
      <c r="B161" s="1" t="s">
        <v>449</v>
      </c>
    </row>
    <row r="162" spans="1:7">
      <c r="A162" s="2">
        <v>41480</v>
      </c>
      <c r="B162" s="1" t="s">
        <v>970</v>
      </c>
      <c r="C162" s="1" t="s">
        <v>971</v>
      </c>
      <c r="D162" s="2">
        <v>41480</v>
      </c>
      <c r="E162" s="3">
        <v>333.7</v>
      </c>
      <c r="G162" s="3">
        <v>131954.35999999999</v>
      </c>
    </row>
    <row r="163" spans="1:7">
      <c r="A163" s="2">
        <v>41487</v>
      </c>
      <c r="B163" s="1" t="s">
        <v>972</v>
      </c>
      <c r="C163" s="1" t="s">
        <v>973</v>
      </c>
      <c r="D163" s="2">
        <v>41487</v>
      </c>
      <c r="E163" s="3">
        <v>7200</v>
      </c>
      <c r="G163" s="3">
        <v>124754.36</v>
      </c>
    </row>
    <row r="164" spans="1:7">
      <c r="A164" s="2">
        <v>41487</v>
      </c>
      <c r="B164" s="1" t="s">
        <v>961</v>
      </c>
      <c r="C164" s="1" t="s">
        <v>974</v>
      </c>
      <c r="D164" s="2">
        <v>41487</v>
      </c>
      <c r="F164" s="3">
        <v>2425</v>
      </c>
      <c r="G164" s="3">
        <v>127179.36</v>
      </c>
    </row>
    <row r="165" spans="1:7">
      <c r="B165" s="1" t="s">
        <v>975</v>
      </c>
    </row>
    <row r="166" spans="1:7">
      <c r="B166" s="1" t="s">
        <v>976</v>
      </c>
    </row>
    <row r="167" spans="1:7">
      <c r="A167" s="2">
        <v>41487</v>
      </c>
      <c r="B167" s="1" t="s">
        <v>977</v>
      </c>
      <c r="C167" s="1" t="s">
        <v>407</v>
      </c>
      <c r="D167" s="2">
        <v>41487</v>
      </c>
      <c r="E167" s="3">
        <v>100000</v>
      </c>
      <c r="G167" s="3">
        <v>27179.360000000001</v>
      </c>
    </row>
    <row r="168" spans="1:7">
      <c r="A168" s="2">
        <v>41496</v>
      </c>
      <c r="B168" s="1" t="s">
        <v>978</v>
      </c>
      <c r="C168" s="1" t="s">
        <v>979</v>
      </c>
      <c r="D168" s="2">
        <v>41496</v>
      </c>
      <c r="E168" s="3">
        <v>5200</v>
      </c>
      <c r="G168" s="3">
        <v>21979.360000000001</v>
      </c>
    </row>
    <row r="169" spans="1:7">
      <c r="A169" s="2">
        <v>41510</v>
      </c>
      <c r="B169" s="1" t="s">
        <v>980</v>
      </c>
      <c r="C169" s="1" t="s">
        <v>981</v>
      </c>
      <c r="D169" s="2">
        <v>41510</v>
      </c>
      <c r="E169" s="3">
        <v>3000</v>
      </c>
      <c r="G169" s="3">
        <v>18979.36</v>
      </c>
    </row>
    <row r="170" spans="1:7">
      <c r="A170" s="2">
        <v>41510</v>
      </c>
      <c r="B170" s="1" t="s">
        <v>982</v>
      </c>
      <c r="C170" s="1" t="s">
        <v>981</v>
      </c>
      <c r="D170" s="2">
        <v>41510</v>
      </c>
      <c r="F170" s="3">
        <v>3000</v>
      </c>
      <c r="G170" s="3">
        <v>21979.360000000001</v>
      </c>
    </row>
    <row r="171" spans="1:7">
      <c r="A171" s="2">
        <v>41529</v>
      </c>
      <c r="B171" s="1" t="s">
        <v>965</v>
      </c>
      <c r="C171" s="1" t="s">
        <v>983</v>
      </c>
      <c r="D171" s="2">
        <v>41530</v>
      </c>
      <c r="E171" s="3">
        <v>2160</v>
      </c>
      <c r="G171" s="3">
        <v>19819.36</v>
      </c>
    </row>
    <row r="172" spans="1:7">
      <c r="B172" s="1" t="s">
        <v>449</v>
      </c>
    </row>
    <row r="173" spans="1:7">
      <c r="A173" s="2">
        <v>41538</v>
      </c>
      <c r="B173" s="1" t="s">
        <v>984</v>
      </c>
      <c r="C173" s="1" t="s">
        <v>407</v>
      </c>
      <c r="D173" s="2">
        <v>41540</v>
      </c>
      <c r="E173" s="3">
        <v>750</v>
      </c>
      <c r="G173" s="3">
        <v>19069.36</v>
      </c>
    </row>
    <row r="174" spans="1:7">
      <c r="B174" s="1" t="s">
        <v>985</v>
      </c>
    </row>
    <row r="175" spans="1:7">
      <c r="A175" s="2">
        <v>41539</v>
      </c>
      <c r="B175" s="1" t="s">
        <v>447</v>
      </c>
      <c r="C175" s="1" t="s">
        <v>986</v>
      </c>
      <c r="D175" s="2">
        <v>41539</v>
      </c>
      <c r="E175" s="3">
        <v>650</v>
      </c>
      <c r="G175" s="3">
        <v>18419.36</v>
      </c>
    </row>
    <row r="176" spans="1:7">
      <c r="B176" s="1" t="s">
        <v>449</v>
      </c>
    </row>
    <row r="177" spans="1:7">
      <c r="A177" s="2">
        <v>41539</v>
      </c>
      <c r="B177" s="1" t="s">
        <v>987</v>
      </c>
      <c r="C177" s="1" t="s">
        <v>988</v>
      </c>
      <c r="D177" s="2">
        <v>41539</v>
      </c>
      <c r="E177" s="3">
        <v>5000</v>
      </c>
      <c r="G177" s="3">
        <v>13419.36</v>
      </c>
    </row>
    <row r="178" spans="1:7">
      <c r="A178" s="2">
        <v>41540</v>
      </c>
      <c r="B178" s="1" t="s">
        <v>452</v>
      </c>
      <c r="C178" s="1" t="s">
        <v>989</v>
      </c>
      <c r="D178" s="2">
        <v>41540</v>
      </c>
      <c r="E178" s="3">
        <v>1108</v>
      </c>
      <c r="G178" s="3">
        <v>12311.36</v>
      </c>
    </row>
    <row r="179" spans="1:7">
      <c r="B179" s="1" t="s">
        <v>449</v>
      </c>
    </row>
    <row r="180" spans="1:7">
      <c r="A180" s="2">
        <v>41547</v>
      </c>
      <c r="B180" s="1" t="s">
        <v>961</v>
      </c>
      <c r="C180" s="1" t="s">
        <v>990</v>
      </c>
      <c r="D180" s="2">
        <v>41547</v>
      </c>
      <c r="F180" s="3">
        <v>1900</v>
      </c>
      <c r="G180" s="3">
        <v>14211.36</v>
      </c>
    </row>
    <row r="181" spans="1:7">
      <c r="B181" s="1" t="s">
        <v>991</v>
      </c>
    </row>
    <row r="182" spans="1:7">
      <c r="B182" s="1" t="s">
        <v>992</v>
      </c>
    </row>
    <row r="183" spans="1:7">
      <c r="A183" s="2">
        <v>41547</v>
      </c>
      <c r="B183" s="1" t="s">
        <v>876</v>
      </c>
      <c r="C183" s="1" t="s">
        <v>407</v>
      </c>
      <c r="D183" s="2">
        <v>41547</v>
      </c>
      <c r="F183" s="3">
        <v>1398</v>
      </c>
      <c r="G183" s="3">
        <v>15609.36</v>
      </c>
    </row>
    <row r="184" spans="1:7">
      <c r="A184" s="2">
        <v>41573</v>
      </c>
      <c r="B184" s="1" t="s">
        <v>488</v>
      </c>
      <c r="C184" s="1" t="s">
        <v>993</v>
      </c>
      <c r="D184" s="2">
        <v>41574</v>
      </c>
      <c r="E184" s="3">
        <v>240</v>
      </c>
      <c r="G184" s="3">
        <v>15369.36</v>
      </c>
    </row>
    <row r="185" spans="1:7">
      <c r="B185" s="1" t="s">
        <v>449</v>
      </c>
    </row>
    <row r="186" spans="1:7">
      <c r="A186" s="2">
        <v>41573</v>
      </c>
      <c r="B186" s="1" t="s">
        <v>488</v>
      </c>
      <c r="C186" s="1" t="s">
        <v>994</v>
      </c>
      <c r="D186" s="2">
        <v>41574</v>
      </c>
      <c r="E186" s="3">
        <v>145</v>
      </c>
      <c r="G186" s="3">
        <v>15224.36</v>
      </c>
    </row>
    <row r="187" spans="1:7">
      <c r="B187" s="1" t="s">
        <v>449</v>
      </c>
    </row>
    <row r="188" spans="1:7">
      <c r="A188" s="2">
        <v>41584</v>
      </c>
      <c r="B188" s="1" t="s">
        <v>461</v>
      </c>
      <c r="C188" s="1" t="s">
        <v>407</v>
      </c>
      <c r="D188" s="2">
        <v>41584</v>
      </c>
      <c r="F188" s="3">
        <v>3000</v>
      </c>
      <c r="G188" s="3">
        <v>18224.36</v>
      </c>
    </row>
    <row r="189" spans="1:7">
      <c r="A189" s="2">
        <v>41585</v>
      </c>
      <c r="B189" s="1" t="s">
        <v>995</v>
      </c>
      <c r="C189" s="1" t="s">
        <v>996</v>
      </c>
      <c r="D189" s="2">
        <v>41585</v>
      </c>
      <c r="E189" s="3">
        <v>7350</v>
      </c>
      <c r="G189" s="3">
        <v>10874.36</v>
      </c>
    </row>
    <row r="190" spans="1:7">
      <c r="A190" s="2">
        <v>41585</v>
      </c>
      <c r="B190" s="1" t="s">
        <v>959</v>
      </c>
      <c r="C190" s="1" t="s">
        <v>996</v>
      </c>
      <c r="D190" s="2">
        <v>41585</v>
      </c>
      <c r="F190" s="3">
        <v>7350</v>
      </c>
      <c r="G190" s="3">
        <v>18224.36</v>
      </c>
    </row>
    <row r="191" spans="1:7">
      <c r="A191" s="2">
        <v>41585</v>
      </c>
      <c r="B191" s="1" t="s">
        <v>961</v>
      </c>
      <c r="C191" s="1" t="s">
        <v>997</v>
      </c>
      <c r="D191" s="2">
        <v>41585</v>
      </c>
      <c r="F191" s="3">
        <v>5180</v>
      </c>
      <c r="G191" s="3">
        <v>23404.36</v>
      </c>
    </row>
    <row r="192" spans="1:7">
      <c r="B192" s="1" t="s">
        <v>991</v>
      </c>
    </row>
    <row r="193" spans="1:8">
      <c r="B193" s="1" t="s">
        <v>998</v>
      </c>
    </row>
    <row r="194" spans="1:8">
      <c r="A194" s="2">
        <v>41587</v>
      </c>
      <c r="B194" s="1" t="s">
        <v>999</v>
      </c>
      <c r="C194" s="1" t="s">
        <v>407</v>
      </c>
      <c r="D194" s="2">
        <v>41589</v>
      </c>
      <c r="E194" s="3">
        <v>7500</v>
      </c>
      <c r="G194" s="3">
        <v>15904.36</v>
      </c>
    </row>
    <row r="195" spans="1:8">
      <c r="B195" s="1" t="s">
        <v>1000</v>
      </c>
    </row>
    <row r="196" spans="1:8">
      <c r="B196" s="1" t="s">
        <v>1001</v>
      </c>
    </row>
    <row r="197" spans="1:8">
      <c r="A197" s="2">
        <v>41597</v>
      </c>
      <c r="B197" s="1" t="s">
        <v>437</v>
      </c>
      <c r="C197" s="1" t="s">
        <v>1002</v>
      </c>
      <c r="D197" s="2">
        <v>41597</v>
      </c>
      <c r="E197" s="3">
        <v>2000</v>
      </c>
      <c r="G197" s="3">
        <v>13904.36</v>
      </c>
    </row>
    <row r="198" spans="1:8">
      <c r="A198" s="2">
        <v>41632</v>
      </c>
      <c r="B198" s="1" t="s">
        <v>1003</v>
      </c>
      <c r="C198" s="1" t="s">
        <v>1004</v>
      </c>
      <c r="D198" s="2">
        <v>41632</v>
      </c>
      <c r="F198" s="3">
        <v>9406</v>
      </c>
      <c r="G198" s="3">
        <v>23310.36</v>
      </c>
    </row>
    <row r="199" spans="1:8">
      <c r="A199" s="2">
        <v>41638</v>
      </c>
      <c r="B199" s="1" t="s">
        <v>1005</v>
      </c>
      <c r="C199" s="1" t="s">
        <v>1006</v>
      </c>
      <c r="D199" s="2">
        <v>41638</v>
      </c>
      <c r="F199" s="3">
        <v>22000</v>
      </c>
      <c r="G199" s="3">
        <v>45310.36</v>
      </c>
    </row>
    <row r="200" spans="1:8">
      <c r="A200" s="2">
        <v>41638</v>
      </c>
      <c r="B200" s="1" t="s">
        <v>1007</v>
      </c>
      <c r="C200" s="1" t="s">
        <v>1008</v>
      </c>
      <c r="D200" s="2">
        <v>41638</v>
      </c>
      <c r="E200" s="3">
        <v>22000</v>
      </c>
      <c r="G200" s="3">
        <v>23310.36</v>
      </c>
    </row>
    <row r="201" spans="1:8">
      <c r="A201" s="2">
        <v>41638</v>
      </c>
      <c r="B201" s="1" t="s">
        <v>1009</v>
      </c>
      <c r="C201" s="1" t="s">
        <v>407</v>
      </c>
      <c r="D201" s="2">
        <v>41638</v>
      </c>
      <c r="E201" s="3">
        <v>5000</v>
      </c>
      <c r="G201" s="3">
        <v>18310.36</v>
      </c>
    </row>
    <row r="202" spans="1:8">
      <c r="B202" s="1" t="s">
        <v>1010</v>
      </c>
    </row>
    <row r="203" spans="1:8">
      <c r="A203" s="2">
        <v>41640</v>
      </c>
      <c r="B203" s="1" t="s">
        <v>1011</v>
      </c>
      <c r="C203" s="1" t="s">
        <v>1012</v>
      </c>
      <c r="D203" s="2">
        <v>41641</v>
      </c>
      <c r="F203" s="3">
        <v>20348</v>
      </c>
      <c r="G203" s="3">
        <v>38658.36</v>
      </c>
    </row>
    <row r="204" spans="1:8">
      <c r="A204" s="2">
        <v>41640</v>
      </c>
      <c r="B204" s="1" t="s">
        <v>1013</v>
      </c>
      <c r="C204" s="1" t="s">
        <v>1014</v>
      </c>
      <c r="D204" s="2">
        <v>41640</v>
      </c>
      <c r="F204" s="3">
        <v>20000</v>
      </c>
      <c r="G204" s="3">
        <v>58658.36</v>
      </c>
      <c r="H204" s="1" t="s">
        <v>1061</v>
      </c>
    </row>
    <row r="205" spans="1:8">
      <c r="A205" s="2">
        <v>41642</v>
      </c>
      <c r="B205" s="1" t="s">
        <v>1015</v>
      </c>
      <c r="C205" s="1" t="s">
        <v>1016</v>
      </c>
      <c r="D205" s="2">
        <v>41642</v>
      </c>
      <c r="E205" s="3">
        <v>440</v>
      </c>
      <c r="G205" s="3">
        <v>58218.36</v>
      </c>
    </row>
    <row r="206" spans="1:8">
      <c r="A206" s="2">
        <v>41642</v>
      </c>
      <c r="B206" s="1" t="s">
        <v>1017</v>
      </c>
      <c r="C206" s="1" t="s">
        <v>1018</v>
      </c>
      <c r="D206" s="2">
        <v>41642</v>
      </c>
      <c r="E206" s="3">
        <v>400</v>
      </c>
      <c r="G206" s="3">
        <v>57818.36</v>
      </c>
    </row>
    <row r="207" spans="1:8">
      <c r="A207" s="2">
        <v>41643</v>
      </c>
      <c r="B207" s="1" t="s">
        <v>1019</v>
      </c>
      <c r="C207" s="1" t="s">
        <v>1020</v>
      </c>
      <c r="D207" s="2">
        <v>41643</v>
      </c>
      <c r="E207" s="3">
        <v>18000</v>
      </c>
      <c r="G207" s="3">
        <v>39818.36</v>
      </c>
    </row>
    <row r="208" spans="1:8">
      <c r="A208" s="2">
        <v>41657</v>
      </c>
      <c r="B208" s="1" t="s">
        <v>1158</v>
      </c>
      <c r="C208" s="1" t="s">
        <v>407</v>
      </c>
      <c r="D208" s="2">
        <v>41657</v>
      </c>
      <c r="E208" s="3">
        <v>7200</v>
      </c>
      <c r="G208" s="3">
        <v>32618.36</v>
      </c>
    </row>
    <row r="209" spans="1:8">
      <c r="A209" s="2">
        <v>41663</v>
      </c>
      <c r="B209" s="1" t="s">
        <v>1159</v>
      </c>
      <c r="C209" s="1" t="s">
        <v>1160</v>
      </c>
      <c r="D209" s="2">
        <v>41663</v>
      </c>
      <c r="E209" s="3">
        <v>636.17999999999995</v>
      </c>
      <c r="G209" s="3">
        <v>31982.18</v>
      </c>
    </row>
    <row r="210" spans="1:8">
      <c r="A210" s="2">
        <v>41663</v>
      </c>
      <c r="B210" s="1" t="s">
        <v>1161</v>
      </c>
      <c r="C210" s="1" t="s">
        <v>1162</v>
      </c>
      <c r="D210" s="2">
        <v>41663</v>
      </c>
      <c r="E210" s="3">
        <v>636.17999999999995</v>
      </c>
      <c r="G210" s="3">
        <v>31346</v>
      </c>
    </row>
    <row r="211" spans="1:8">
      <c r="A211" s="2">
        <v>41663</v>
      </c>
      <c r="B211" s="1" t="s">
        <v>1163</v>
      </c>
      <c r="C211" s="1" t="s">
        <v>407</v>
      </c>
      <c r="D211" s="2">
        <v>41663</v>
      </c>
      <c r="E211" s="3">
        <v>750</v>
      </c>
      <c r="G211" s="3">
        <v>30596</v>
      </c>
    </row>
    <row r="212" spans="1:8">
      <c r="A212" s="2">
        <v>41670</v>
      </c>
      <c r="B212" s="1" t="s">
        <v>1164</v>
      </c>
      <c r="C212" s="1" t="s">
        <v>1165</v>
      </c>
      <c r="D212" s="2">
        <v>41670</v>
      </c>
      <c r="E212" s="3">
        <v>7000</v>
      </c>
      <c r="G212" s="3">
        <v>23596</v>
      </c>
    </row>
    <row r="213" spans="1:8">
      <c r="A213" s="2">
        <v>41672</v>
      </c>
      <c r="B213" s="1" t="s">
        <v>1166</v>
      </c>
      <c r="C213" s="1" t="s">
        <v>1167</v>
      </c>
      <c r="D213" s="2">
        <v>41672</v>
      </c>
      <c r="E213" s="3">
        <v>360</v>
      </c>
      <c r="G213" s="3">
        <v>23236</v>
      </c>
    </row>
    <row r="214" spans="1:8">
      <c r="A214" s="2">
        <v>41672</v>
      </c>
      <c r="B214" s="1" t="s">
        <v>1168</v>
      </c>
      <c r="C214" s="1" t="s">
        <v>1169</v>
      </c>
      <c r="D214" s="2">
        <v>41672</v>
      </c>
      <c r="E214" s="3">
        <v>440</v>
      </c>
      <c r="G214" s="3">
        <v>22796</v>
      </c>
    </row>
    <row r="215" spans="1:8">
      <c r="A215" s="2">
        <v>41679</v>
      </c>
      <c r="B215" s="1" t="s">
        <v>1170</v>
      </c>
      <c r="C215" s="1" t="s">
        <v>1171</v>
      </c>
      <c r="D215" s="2">
        <v>41679</v>
      </c>
      <c r="E215" s="3">
        <v>348.09</v>
      </c>
      <c r="G215" s="3">
        <v>22447.91</v>
      </c>
    </row>
    <row r="216" spans="1:8">
      <c r="A216" s="2">
        <v>41679</v>
      </c>
      <c r="B216" s="1" t="s">
        <v>1172</v>
      </c>
      <c r="C216" s="1" t="s">
        <v>1173</v>
      </c>
      <c r="D216" s="2">
        <v>41679</v>
      </c>
      <c r="E216" s="3">
        <v>897</v>
      </c>
      <c r="G216" s="3">
        <v>21550.91</v>
      </c>
    </row>
    <row r="217" spans="1:8">
      <c r="A217" s="2">
        <v>41681</v>
      </c>
      <c r="B217" s="1" t="s">
        <v>1174</v>
      </c>
      <c r="C217" s="1" t="s">
        <v>1175</v>
      </c>
      <c r="D217" s="2">
        <v>41681</v>
      </c>
      <c r="F217" s="3">
        <v>20000</v>
      </c>
      <c r="G217" s="3">
        <v>41550.910000000003</v>
      </c>
      <c r="H217" s="1" t="s">
        <v>1061</v>
      </c>
    </row>
    <row r="218" spans="1:8">
      <c r="A218" s="2">
        <v>41697</v>
      </c>
      <c r="B218" s="1" t="s">
        <v>1176</v>
      </c>
      <c r="C218" s="1" t="s">
        <v>1177</v>
      </c>
      <c r="D218" s="2">
        <v>41697</v>
      </c>
      <c r="E218" s="3">
        <v>440</v>
      </c>
      <c r="G218" s="3">
        <v>41110.910000000003</v>
      </c>
    </row>
    <row r="219" spans="1:8">
      <c r="A219" s="2">
        <v>41700</v>
      </c>
      <c r="B219" s="1" t="s">
        <v>1178</v>
      </c>
      <c r="C219" s="1" t="s">
        <v>1179</v>
      </c>
      <c r="D219" s="2">
        <v>41700</v>
      </c>
      <c r="E219" s="3">
        <v>1694</v>
      </c>
      <c r="G219" s="3">
        <v>39416.910000000003</v>
      </c>
    </row>
    <row r="220" spans="1:8">
      <c r="A220" s="2">
        <v>41702</v>
      </c>
      <c r="B220" s="1" t="s">
        <v>1180</v>
      </c>
      <c r="C220" s="1" t="s">
        <v>1181</v>
      </c>
      <c r="D220" s="2">
        <v>41702</v>
      </c>
      <c r="E220" s="3">
        <v>1220</v>
      </c>
      <c r="G220" s="3">
        <v>38196.910000000003</v>
      </c>
    </row>
    <row r="221" spans="1:8">
      <c r="A221" s="2">
        <v>41702</v>
      </c>
      <c r="B221" s="1" t="s">
        <v>1182</v>
      </c>
      <c r="C221" s="1" t="s">
        <v>1183</v>
      </c>
      <c r="D221" s="2">
        <v>41702</v>
      </c>
      <c r="E221" s="3">
        <v>2100</v>
      </c>
      <c r="G221" s="3">
        <v>36096.910000000003</v>
      </c>
    </row>
    <row r="222" spans="1:8">
      <c r="A222" s="2">
        <v>41702</v>
      </c>
      <c r="B222" s="1" t="s">
        <v>1184</v>
      </c>
      <c r="C222" s="1" t="s">
        <v>1185</v>
      </c>
      <c r="D222" s="2">
        <v>41703</v>
      </c>
      <c r="E222" s="3">
        <v>388</v>
      </c>
      <c r="G222" s="3">
        <v>35708.910000000003</v>
      </c>
    </row>
    <row r="223" spans="1:8">
      <c r="A223" s="2">
        <v>41711</v>
      </c>
      <c r="B223" s="1" t="s">
        <v>1138</v>
      </c>
      <c r="C223" s="1" t="s">
        <v>407</v>
      </c>
      <c r="D223" s="2">
        <v>41711</v>
      </c>
      <c r="F223" s="3">
        <v>48000</v>
      </c>
      <c r="G223" s="3">
        <v>83708.91</v>
      </c>
      <c r="H223" s="1" t="s">
        <v>236</v>
      </c>
    </row>
    <row r="224" spans="1:8">
      <c r="A224" s="2">
        <v>41716</v>
      </c>
      <c r="B224" s="1" t="s">
        <v>1186</v>
      </c>
      <c r="C224" s="1" t="s">
        <v>407</v>
      </c>
      <c r="D224" s="2">
        <v>41716</v>
      </c>
      <c r="E224" s="3">
        <v>27000</v>
      </c>
      <c r="G224" s="3">
        <v>56708.91</v>
      </c>
    </row>
    <row r="225" spans="1:7">
      <c r="A225" s="2">
        <v>41720</v>
      </c>
      <c r="B225" s="1" t="s">
        <v>1187</v>
      </c>
      <c r="C225" s="1" t="s">
        <v>407</v>
      </c>
      <c r="D225" s="2">
        <v>41720</v>
      </c>
      <c r="E225" s="3">
        <v>24000</v>
      </c>
      <c r="G225" s="3">
        <v>32708.91</v>
      </c>
    </row>
    <row r="226" spans="1:7">
      <c r="A226" s="2">
        <v>41722</v>
      </c>
      <c r="B226" s="1" t="s">
        <v>1188</v>
      </c>
      <c r="C226" s="1" t="s">
        <v>407</v>
      </c>
      <c r="D226" s="2">
        <v>41722</v>
      </c>
      <c r="E226" s="3">
        <v>112.36</v>
      </c>
      <c r="G226" s="3">
        <v>32596.55</v>
      </c>
    </row>
    <row r="227" spans="1:7">
      <c r="A227" s="2">
        <v>41723</v>
      </c>
      <c r="B227" s="1" t="s">
        <v>1189</v>
      </c>
      <c r="C227" s="1" t="s">
        <v>1190</v>
      </c>
      <c r="D227" s="2">
        <v>41723</v>
      </c>
      <c r="E227" s="3">
        <v>5000</v>
      </c>
      <c r="G227" s="3">
        <v>27596.55</v>
      </c>
    </row>
    <row r="228" spans="1:7">
      <c r="A228" s="2">
        <v>41725</v>
      </c>
      <c r="B228" s="1" t="s">
        <v>1191</v>
      </c>
      <c r="C228" s="1" t="s">
        <v>1192</v>
      </c>
      <c r="D228" s="2">
        <v>41725</v>
      </c>
      <c r="F228" s="3">
        <v>12970</v>
      </c>
      <c r="G228" s="3">
        <v>40566.550000000003</v>
      </c>
    </row>
    <row r="229" spans="1:7">
      <c r="A229" s="2">
        <v>41729</v>
      </c>
      <c r="B229" s="1" t="s">
        <v>1193</v>
      </c>
      <c r="C229" s="1" t="s">
        <v>1194</v>
      </c>
      <c r="D229" s="2">
        <v>41729</v>
      </c>
      <c r="E229" s="3">
        <v>3423</v>
      </c>
      <c r="G229" s="3">
        <v>37143.550000000003</v>
      </c>
    </row>
    <row r="230" spans="1:7">
      <c r="A230" s="2">
        <v>41729</v>
      </c>
      <c r="B230" s="1" t="s">
        <v>1182</v>
      </c>
      <c r="C230" s="1" t="s">
        <v>1195</v>
      </c>
      <c r="D230" s="2">
        <v>41729</v>
      </c>
      <c r="E230" s="3">
        <v>1457</v>
      </c>
      <c r="G230" s="3">
        <v>35686.550000000003</v>
      </c>
    </row>
    <row r="231" spans="1:7">
      <c r="A231" s="2">
        <v>41730</v>
      </c>
      <c r="B231" s="1" t="s">
        <v>876</v>
      </c>
      <c r="C231" s="1" t="s">
        <v>407</v>
      </c>
      <c r="D231" s="2">
        <v>41729</v>
      </c>
      <c r="F231" s="3">
        <v>550</v>
      </c>
      <c r="G231" s="3">
        <v>36236.550000000003</v>
      </c>
    </row>
    <row r="232" spans="1:7">
      <c r="A232" s="2">
        <v>41734</v>
      </c>
      <c r="B232" s="1" t="s">
        <v>1196</v>
      </c>
      <c r="C232" s="1" t="s">
        <v>1197</v>
      </c>
      <c r="D232" s="2">
        <v>41734</v>
      </c>
      <c r="E232" s="3">
        <v>636.17999999999995</v>
      </c>
      <c r="G232" s="3">
        <v>35600.370000000003</v>
      </c>
    </row>
    <row r="233" spans="1:7">
      <c r="A233" s="2">
        <v>41735</v>
      </c>
      <c r="B233" s="1" t="s">
        <v>1172</v>
      </c>
      <c r="C233" s="1" t="s">
        <v>1198</v>
      </c>
      <c r="D233" s="2">
        <v>41735</v>
      </c>
      <c r="E233" s="3">
        <v>2179</v>
      </c>
      <c r="G233" s="3">
        <v>33421.370000000003</v>
      </c>
    </row>
    <row r="234" spans="1:7">
      <c r="A234" s="2">
        <v>41735</v>
      </c>
      <c r="B234" s="1" t="s">
        <v>1199</v>
      </c>
      <c r="C234" s="1" t="s">
        <v>1200</v>
      </c>
      <c r="D234" s="2">
        <v>41735</v>
      </c>
      <c r="E234" s="3">
        <v>1500</v>
      </c>
      <c r="G234" s="3">
        <v>31921.37</v>
      </c>
    </row>
    <row r="235" spans="1:7">
      <c r="A235" s="2">
        <v>41739</v>
      </c>
      <c r="B235" s="1" t="s">
        <v>1201</v>
      </c>
      <c r="C235" s="1" t="s">
        <v>1202</v>
      </c>
      <c r="D235" s="2">
        <v>41739</v>
      </c>
      <c r="E235" s="3">
        <v>440</v>
      </c>
      <c r="G235" s="3">
        <v>31481.37</v>
      </c>
    </row>
    <row r="236" spans="1:7">
      <c r="A236" s="2">
        <v>41744</v>
      </c>
      <c r="B236" s="1" t="s">
        <v>1203</v>
      </c>
      <c r="C236" s="1" t="s">
        <v>1204</v>
      </c>
      <c r="D236" s="2">
        <v>41744</v>
      </c>
      <c r="E236" s="3">
        <v>330</v>
      </c>
      <c r="G236" s="3">
        <v>31151.37</v>
      </c>
    </row>
    <row r="237" spans="1:7">
      <c r="A237" s="2">
        <v>41765</v>
      </c>
      <c r="B237" s="1" t="s">
        <v>1205</v>
      </c>
      <c r="C237" s="1" t="s">
        <v>407</v>
      </c>
      <c r="D237" s="2">
        <v>41765</v>
      </c>
      <c r="E237" s="3">
        <v>1000</v>
      </c>
      <c r="G237" s="3">
        <v>30151.37</v>
      </c>
    </row>
    <row r="238" spans="1:7">
      <c r="A238" s="2">
        <v>41773</v>
      </c>
      <c r="B238" s="1" t="s">
        <v>1206</v>
      </c>
      <c r="C238" s="1" t="s">
        <v>1207</v>
      </c>
      <c r="D238" s="2">
        <v>41773</v>
      </c>
      <c r="E238" s="3">
        <v>2080.59</v>
      </c>
      <c r="G238" s="3">
        <v>28070.78</v>
      </c>
    </row>
    <row r="239" spans="1:7">
      <c r="A239" s="2">
        <v>41787</v>
      </c>
      <c r="B239" s="1" t="s">
        <v>1208</v>
      </c>
      <c r="C239" s="1" t="s">
        <v>1207</v>
      </c>
      <c r="D239" s="2">
        <v>41787</v>
      </c>
      <c r="E239" s="3">
        <v>81.819999999999993</v>
      </c>
      <c r="G239" s="3">
        <v>27988.959999999999</v>
      </c>
    </row>
  </sheetData>
  <autoFilter ref="A21:G239" xr:uid="{00000000-0009-0000-0000-00000B000000}"/>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325"/>
  <sheetViews>
    <sheetView topLeftCell="A217" zoomScale="85" zoomScaleNormal="85" workbookViewId="0">
      <selection activeCell="I156" sqref="I156"/>
    </sheetView>
  </sheetViews>
  <sheetFormatPr defaultColWidth="9.140625" defaultRowHeight="12.75"/>
  <cols>
    <col min="1" max="1" width="9.140625" style="1"/>
    <col min="2" max="2" width="9.85546875" style="1" bestFit="1" customWidth="1"/>
    <col min="3" max="3" width="12" style="1" bestFit="1" customWidth="1"/>
    <col min="4" max="4" width="12.5703125" style="1" bestFit="1" customWidth="1"/>
    <col min="5" max="5" width="9.140625" style="1"/>
    <col min="6" max="6" width="11.28515625" style="1" bestFit="1" customWidth="1"/>
    <col min="7" max="7" width="9.140625" style="1"/>
    <col min="8" max="8" width="5.28515625" style="1" customWidth="1"/>
    <col min="9" max="9" width="13.140625" style="1" customWidth="1"/>
    <col min="10" max="10" width="43.85546875" style="1" bestFit="1" customWidth="1"/>
    <col min="11" max="11" width="17.85546875" style="1" bestFit="1" customWidth="1"/>
    <col min="12" max="12" width="11.85546875" style="1" bestFit="1" customWidth="1"/>
    <col min="13" max="13" width="16.7109375" style="50" bestFit="1" customWidth="1"/>
    <col min="14" max="14" width="13" style="50" bestFit="1" customWidth="1"/>
    <col min="15" max="15" width="16.140625" style="1" bestFit="1" customWidth="1"/>
    <col min="16" max="23" width="9.140625" style="1"/>
    <col min="24" max="24" width="18.42578125" style="2" bestFit="1" customWidth="1"/>
    <col min="25" max="25" width="47" style="1" customWidth="1"/>
    <col min="26" max="26" width="18.140625" style="1" bestFit="1" customWidth="1"/>
    <col min="27" max="27" width="11.85546875" style="2" customWidth="1"/>
    <col min="28" max="28" width="16.5703125" style="1" bestFit="1" customWidth="1"/>
    <col min="29" max="29" width="12.85546875" style="1" bestFit="1" customWidth="1"/>
    <col min="30" max="30" width="16" style="1" bestFit="1" customWidth="1"/>
    <col min="31" max="16384" width="9.140625" style="1"/>
  </cols>
  <sheetData>
    <row r="1" spans="2:30">
      <c r="B1" s="1" t="s">
        <v>0</v>
      </c>
      <c r="C1" s="5" t="s">
        <v>2</v>
      </c>
      <c r="D1" s="1" t="s">
        <v>53</v>
      </c>
      <c r="E1" s="1" t="s">
        <v>3</v>
      </c>
      <c r="I1" s="1" t="s">
        <v>655</v>
      </c>
      <c r="X1" s="2" t="s">
        <v>0</v>
      </c>
      <c r="Y1" s="1" t="s">
        <v>281</v>
      </c>
      <c r="Z1" s="1" t="s">
        <v>282</v>
      </c>
      <c r="AA1" s="2" t="s">
        <v>283</v>
      </c>
      <c r="AB1" s="1" t="s">
        <v>284</v>
      </c>
      <c r="AC1" s="1" t="s">
        <v>285</v>
      </c>
      <c r="AD1" s="1" t="s">
        <v>286</v>
      </c>
    </row>
    <row r="2" spans="2:30">
      <c r="B2" s="2">
        <v>41134</v>
      </c>
      <c r="C2" s="5">
        <v>15000</v>
      </c>
      <c r="D2" s="1" t="s">
        <v>50</v>
      </c>
      <c r="E2" s="1" t="s">
        <v>5</v>
      </c>
      <c r="I2" s="1" t="s">
        <v>0</v>
      </c>
      <c r="J2" s="1" t="s">
        <v>281</v>
      </c>
      <c r="K2" s="1" t="s">
        <v>282</v>
      </c>
      <c r="L2" s="1" t="s">
        <v>283</v>
      </c>
      <c r="M2" s="50" t="s">
        <v>284</v>
      </c>
      <c r="N2" s="50" t="s">
        <v>285</v>
      </c>
      <c r="O2" s="1" t="s">
        <v>286</v>
      </c>
      <c r="X2" s="2">
        <v>41008</v>
      </c>
      <c r="Y2" s="1" t="s">
        <v>287</v>
      </c>
      <c r="Z2" s="1" t="s">
        <v>288</v>
      </c>
      <c r="AA2" s="2">
        <v>41009</v>
      </c>
      <c r="AB2" s="1">
        <v>500</v>
      </c>
      <c r="AD2" s="3">
        <v>61424.84</v>
      </c>
    </row>
    <row r="3" spans="2:30">
      <c r="B3" s="2">
        <v>41157</v>
      </c>
      <c r="C3" s="5">
        <v>25000</v>
      </c>
      <c r="D3" s="1" t="s">
        <v>48</v>
      </c>
      <c r="E3" s="1" t="s">
        <v>51</v>
      </c>
      <c r="G3" s="1">
        <f t="shared" ref="G3:G5" si="0">B3-B2</f>
        <v>23</v>
      </c>
      <c r="I3" s="2">
        <v>41043</v>
      </c>
      <c r="J3" s="1" t="s">
        <v>556</v>
      </c>
      <c r="K3" s="1" t="s">
        <v>314</v>
      </c>
      <c r="L3" s="2">
        <v>41043</v>
      </c>
      <c r="N3" s="50">
        <v>35000</v>
      </c>
      <c r="O3" s="3">
        <v>53930.09</v>
      </c>
      <c r="X3" s="2">
        <v>41008</v>
      </c>
      <c r="Y3" s="1" t="s">
        <v>289</v>
      </c>
      <c r="Z3" s="1" t="s">
        <v>290</v>
      </c>
      <c r="AA3" s="2">
        <v>41009</v>
      </c>
      <c r="AB3" s="3">
        <v>1000</v>
      </c>
      <c r="AD3" s="3">
        <v>60424.84</v>
      </c>
    </row>
    <row r="4" spans="2:30">
      <c r="B4" s="2">
        <v>41158</v>
      </c>
      <c r="C4" s="5">
        <v>-10000</v>
      </c>
      <c r="D4" s="1" t="s">
        <v>48</v>
      </c>
      <c r="E4" s="1" t="s">
        <v>51</v>
      </c>
      <c r="F4" s="1" t="s">
        <v>49</v>
      </c>
      <c r="G4" s="1">
        <f t="shared" si="0"/>
        <v>1</v>
      </c>
      <c r="I4" s="26">
        <v>41043</v>
      </c>
      <c r="J4" s="27" t="s">
        <v>557</v>
      </c>
      <c r="K4" s="27" t="s">
        <v>558</v>
      </c>
      <c r="L4" s="26">
        <v>41043</v>
      </c>
      <c r="M4" s="51">
        <v>35000</v>
      </c>
      <c r="N4" s="51"/>
      <c r="O4" s="28">
        <v>18930.09</v>
      </c>
      <c r="X4" s="2">
        <v>41011</v>
      </c>
      <c r="Y4" s="1" t="s">
        <v>291</v>
      </c>
      <c r="Z4" s="1" t="s">
        <v>292</v>
      </c>
      <c r="AA4" s="2">
        <v>41011</v>
      </c>
      <c r="AB4" s="1">
        <v>750</v>
      </c>
      <c r="AD4" s="3">
        <v>59674.84</v>
      </c>
    </row>
    <row r="5" spans="2:30">
      <c r="B5" s="2">
        <v>41213</v>
      </c>
      <c r="C5" s="5">
        <v>15000</v>
      </c>
      <c r="D5" s="1" t="s">
        <v>48</v>
      </c>
      <c r="E5" s="1" t="s">
        <v>51</v>
      </c>
      <c r="G5" s="1">
        <f t="shared" si="0"/>
        <v>55</v>
      </c>
      <c r="I5" s="26">
        <v>41053</v>
      </c>
      <c r="J5" s="27" t="s">
        <v>559</v>
      </c>
      <c r="K5" s="27" t="s">
        <v>560</v>
      </c>
      <c r="L5" s="26">
        <v>41053</v>
      </c>
      <c r="M5" s="51"/>
      <c r="N5" s="51">
        <v>35000</v>
      </c>
      <c r="O5" s="28">
        <v>53930.09</v>
      </c>
      <c r="X5" s="2">
        <v>41011</v>
      </c>
      <c r="Y5" s="1" t="s">
        <v>293</v>
      </c>
      <c r="Z5" s="1" t="s">
        <v>294</v>
      </c>
      <c r="AA5" s="2">
        <v>41011</v>
      </c>
      <c r="AB5" s="3">
        <v>7200</v>
      </c>
      <c r="AD5" s="3">
        <v>52474.84</v>
      </c>
    </row>
    <row r="6" spans="2:30">
      <c r="B6" s="2">
        <v>41260</v>
      </c>
      <c r="C6" s="5">
        <v>15000</v>
      </c>
      <c r="D6" s="1" t="s">
        <v>48</v>
      </c>
      <c r="E6" s="1" t="s">
        <v>51</v>
      </c>
      <c r="G6" s="1">
        <f>B6-B5</f>
        <v>47</v>
      </c>
      <c r="I6" s="2">
        <v>41053</v>
      </c>
      <c r="J6" s="1" t="s">
        <v>556</v>
      </c>
      <c r="K6" s="1" t="s">
        <v>316</v>
      </c>
      <c r="L6" s="2">
        <v>41053</v>
      </c>
      <c r="M6" s="50">
        <v>35000</v>
      </c>
      <c r="O6" s="3">
        <v>18930.09</v>
      </c>
      <c r="X6" s="2">
        <v>41012</v>
      </c>
      <c r="Y6" s="1" t="s">
        <v>295</v>
      </c>
      <c r="Z6" s="1" t="s">
        <v>296</v>
      </c>
      <c r="AA6" s="2">
        <v>41013</v>
      </c>
      <c r="AB6" s="1">
        <v>852</v>
      </c>
      <c r="AD6" s="3">
        <v>51622.84</v>
      </c>
    </row>
    <row r="7" spans="2:30">
      <c r="B7" s="2">
        <v>41313</v>
      </c>
      <c r="C7" s="5">
        <v>15000</v>
      </c>
      <c r="D7" s="1" t="s">
        <v>48</v>
      </c>
      <c r="E7" s="1" t="s">
        <v>51</v>
      </c>
      <c r="G7" s="1">
        <f t="shared" ref="G7:G14" si="1">B7-B6</f>
        <v>53</v>
      </c>
      <c r="I7" s="2">
        <v>41095</v>
      </c>
      <c r="J7" s="1" t="s">
        <v>561</v>
      </c>
      <c r="K7" s="1" t="s">
        <v>562</v>
      </c>
      <c r="L7" s="2">
        <v>41095</v>
      </c>
      <c r="M7" s="50">
        <v>8810</v>
      </c>
      <c r="O7" s="3">
        <v>10120.09</v>
      </c>
      <c r="X7" s="2">
        <v>41012</v>
      </c>
      <c r="Y7" s="1" t="s">
        <v>289</v>
      </c>
      <c r="Z7" s="1" t="s">
        <v>297</v>
      </c>
      <c r="AA7" s="2">
        <v>41012</v>
      </c>
      <c r="AB7" s="3">
        <v>3000</v>
      </c>
      <c r="AD7" s="3">
        <v>48622.84</v>
      </c>
    </row>
    <row r="8" spans="2:30">
      <c r="B8" s="2">
        <v>41319</v>
      </c>
      <c r="C8" s="5">
        <v>3000</v>
      </c>
      <c r="D8" s="1" t="s">
        <v>48</v>
      </c>
      <c r="E8" s="1" t="s">
        <v>5</v>
      </c>
      <c r="G8" s="1">
        <f t="shared" si="1"/>
        <v>6</v>
      </c>
      <c r="I8" s="2">
        <v>41122</v>
      </c>
      <c r="J8" s="1" t="s">
        <v>563</v>
      </c>
      <c r="K8" s="1" t="s">
        <v>564</v>
      </c>
      <c r="L8" s="2">
        <v>41123</v>
      </c>
      <c r="N8" s="50">
        <v>72</v>
      </c>
      <c r="O8" s="3">
        <v>10192.09</v>
      </c>
      <c r="X8" s="2">
        <v>41014</v>
      </c>
      <c r="Y8" s="1" t="s">
        <v>295</v>
      </c>
      <c r="Z8" s="1" t="s">
        <v>298</v>
      </c>
      <c r="AA8" s="2">
        <v>41014</v>
      </c>
      <c r="AB8" s="3">
        <v>8000</v>
      </c>
      <c r="AD8" s="3">
        <v>40622.839999999997</v>
      </c>
    </row>
    <row r="9" spans="2:30">
      <c r="B9" s="2">
        <v>41351</v>
      </c>
      <c r="C9" s="5">
        <v>40000</v>
      </c>
      <c r="D9" s="1" t="s">
        <v>48</v>
      </c>
      <c r="E9" s="1" t="s">
        <v>51</v>
      </c>
      <c r="G9" s="1">
        <f t="shared" si="1"/>
        <v>32</v>
      </c>
      <c r="I9" s="2">
        <v>41152</v>
      </c>
      <c r="J9" s="1" t="s">
        <v>565</v>
      </c>
      <c r="K9" s="1" t="s">
        <v>566</v>
      </c>
      <c r="L9" s="2">
        <v>41153</v>
      </c>
      <c r="N9" s="50">
        <v>3685</v>
      </c>
      <c r="O9" s="3">
        <v>13877.09</v>
      </c>
      <c r="X9" s="2">
        <v>41020</v>
      </c>
      <c r="Y9" s="1" t="s">
        <v>299</v>
      </c>
      <c r="Z9" s="1" t="s">
        <v>300</v>
      </c>
      <c r="AA9" s="2">
        <v>41020</v>
      </c>
      <c r="AB9" s="3">
        <v>1000</v>
      </c>
      <c r="AD9" s="3">
        <v>39622.839999999997</v>
      </c>
    </row>
    <row r="10" spans="2:30">
      <c r="B10" s="2">
        <v>41455</v>
      </c>
      <c r="C10" s="5">
        <v>20000</v>
      </c>
      <c r="D10" s="1" t="s">
        <v>236</v>
      </c>
      <c r="E10" s="1" t="s">
        <v>5</v>
      </c>
      <c r="G10" s="1">
        <f t="shared" si="1"/>
        <v>104</v>
      </c>
      <c r="I10" s="2">
        <v>41152</v>
      </c>
      <c r="J10" s="1" t="s">
        <v>565</v>
      </c>
      <c r="K10" s="1" t="s">
        <v>567</v>
      </c>
      <c r="L10" s="2">
        <v>41153</v>
      </c>
      <c r="N10" s="50">
        <v>531</v>
      </c>
      <c r="O10" s="3">
        <v>14408.09</v>
      </c>
      <c r="X10" s="2">
        <v>41027</v>
      </c>
      <c r="Y10" s="1" t="s">
        <v>301</v>
      </c>
      <c r="Z10" s="1" t="s">
        <v>302</v>
      </c>
      <c r="AA10" s="2">
        <v>41027</v>
      </c>
      <c r="AC10" s="3">
        <v>29191</v>
      </c>
      <c r="AD10" s="3">
        <v>68813.84</v>
      </c>
    </row>
    <row r="11" spans="2:30">
      <c r="B11" s="2">
        <v>41490</v>
      </c>
      <c r="C11" s="5">
        <v>20000</v>
      </c>
      <c r="D11" s="1" t="s">
        <v>48</v>
      </c>
      <c r="E11" s="1" t="s">
        <v>51</v>
      </c>
      <c r="G11" s="1">
        <f t="shared" si="1"/>
        <v>35</v>
      </c>
      <c r="I11" s="26">
        <v>41157</v>
      </c>
      <c r="J11" s="27" t="s">
        <v>559</v>
      </c>
      <c r="K11" s="27" t="s">
        <v>568</v>
      </c>
      <c r="L11" s="26">
        <v>41157</v>
      </c>
      <c r="M11" s="51"/>
      <c r="N11" s="51">
        <v>25000</v>
      </c>
      <c r="O11" s="28">
        <v>39408.089999999997</v>
      </c>
      <c r="X11" s="2">
        <v>41027</v>
      </c>
      <c r="Y11" s="1" t="s">
        <v>303</v>
      </c>
      <c r="Z11" s="1" t="s">
        <v>304</v>
      </c>
      <c r="AA11" s="2">
        <v>41027</v>
      </c>
      <c r="AB11" s="3">
        <v>6000</v>
      </c>
      <c r="AD11" s="3">
        <v>62813.84</v>
      </c>
    </row>
    <row r="12" spans="2:30">
      <c r="B12" s="2">
        <v>41499</v>
      </c>
      <c r="C12" s="5">
        <v>10000</v>
      </c>
      <c r="D12" s="1" t="s">
        <v>50</v>
      </c>
      <c r="E12" s="1" t="s">
        <v>5</v>
      </c>
      <c r="G12" s="1">
        <f t="shared" si="1"/>
        <v>9</v>
      </c>
      <c r="I12" s="2">
        <v>41158</v>
      </c>
      <c r="J12" s="1" t="s">
        <v>569</v>
      </c>
      <c r="K12" s="1" t="s">
        <v>570</v>
      </c>
      <c r="L12" s="2">
        <v>41158</v>
      </c>
      <c r="M12" s="50">
        <v>9175</v>
      </c>
      <c r="O12" s="3">
        <v>30233.09</v>
      </c>
      <c r="X12" s="2">
        <v>41027</v>
      </c>
      <c r="Y12" s="1" t="s">
        <v>305</v>
      </c>
      <c r="Z12" s="1" t="s">
        <v>306</v>
      </c>
      <c r="AA12" s="2">
        <v>41027</v>
      </c>
      <c r="AB12" s="3">
        <v>1655</v>
      </c>
      <c r="AD12" s="3">
        <v>61158.84</v>
      </c>
    </row>
    <row r="13" spans="2:30">
      <c r="B13" s="2">
        <v>41540</v>
      </c>
      <c r="C13" s="5">
        <v>25000</v>
      </c>
      <c r="D13" s="1" t="s">
        <v>48</v>
      </c>
      <c r="E13" s="1" t="s">
        <v>51</v>
      </c>
      <c r="G13" s="1">
        <f t="shared" si="1"/>
        <v>41</v>
      </c>
      <c r="I13" s="2">
        <v>41159</v>
      </c>
      <c r="J13" s="1" t="s">
        <v>563</v>
      </c>
      <c r="K13" s="1" t="s">
        <v>571</v>
      </c>
      <c r="L13" s="2">
        <v>41160</v>
      </c>
      <c r="N13" s="50">
        <v>80</v>
      </c>
      <c r="O13" s="3">
        <v>30313.09</v>
      </c>
      <c r="X13" s="2">
        <v>41035</v>
      </c>
      <c r="Y13" s="1" t="s">
        <v>289</v>
      </c>
      <c r="Z13" s="1" t="s">
        <v>307</v>
      </c>
      <c r="AA13" s="2">
        <v>41035</v>
      </c>
      <c r="AB13" s="3">
        <v>5000</v>
      </c>
      <c r="AD13" s="3">
        <v>56158.84</v>
      </c>
    </row>
    <row r="14" spans="2:30">
      <c r="B14" s="2">
        <v>41599</v>
      </c>
      <c r="C14" s="5">
        <v>15000</v>
      </c>
      <c r="D14" s="1" t="s">
        <v>48</v>
      </c>
      <c r="E14" s="1" t="s">
        <v>51</v>
      </c>
      <c r="G14" s="1">
        <f t="shared" si="1"/>
        <v>59</v>
      </c>
      <c r="I14" s="2">
        <v>41182</v>
      </c>
      <c r="J14" s="1" t="s">
        <v>406</v>
      </c>
      <c r="K14" s="1" t="s">
        <v>407</v>
      </c>
      <c r="L14" s="2">
        <v>41182</v>
      </c>
      <c r="N14" s="50">
        <v>354.33</v>
      </c>
      <c r="O14" s="3">
        <v>30667.42</v>
      </c>
      <c r="X14" s="2">
        <v>41036</v>
      </c>
      <c r="Y14" s="1" t="s">
        <v>295</v>
      </c>
      <c r="Z14" s="1" t="s">
        <v>308</v>
      </c>
      <c r="AA14" s="2">
        <v>41037</v>
      </c>
      <c r="AB14" s="3">
        <v>1077</v>
      </c>
      <c r="AD14" s="3">
        <v>55081.84</v>
      </c>
    </row>
    <row r="15" spans="2:30">
      <c r="B15" s="2">
        <v>41643</v>
      </c>
      <c r="C15" s="5">
        <v>1000</v>
      </c>
      <c r="D15" s="1" t="s">
        <v>924</v>
      </c>
      <c r="E15" s="1" t="s">
        <v>5</v>
      </c>
      <c r="F15" s="1" t="s">
        <v>925</v>
      </c>
      <c r="I15" s="2">
        <v>41189</v>
      </c>
      <c r="J15" s="1" t="s">
        <v>572</v>
      </c>
      <c r="K15" s="1" t="s">
        <v>573</v>
      </c>
      <c r="L15" s="2">
        <v>41190</v>
      </c>
      <c r="M15" s="50">
        <v>2000</v>
      </c>
      <c r="O15" s="3">
        <v>28667.42</v>
      </c>
      <c r="X15" s="2">
        <v>41041</v>
      </c>
      <c r="Y15" s="1" t="s">
        <v>309</v>
      </c>
      <c r="Z15" s="1" t="s">
        <v>310</v>
      </c>
      <c r="AA15" s="2">
        <v>41041</v>
      </c>
      <c r="AB15" s="3">
        <v>1400</v>
      </c>
      <c r="AD15" s="3">
        <v>53681.84</v>
      </c>
    </row>
    <row r="16" spans="2:30">
      <c r="B16" s="2">
        <v>41643</v>
      </c>
      <c r="C16" s="5">
        <v>2500</v>
      </c>
      <c r="D16" s="1" t="s">
        <v>926</v>
      </c>
      <c r="E16" s="1" t="s">
        <v>5</v>
      </c>
      <c r="F16" s="1" t="s">
        <v>925</v>
      </c>
      <c r="I16" s="2">
        <v>41193</v>
      </c>
      <c r="J16" s="1" t="s">
        <v>574</v>
      </c>
      <c r="K16" s="1" t="s">
        <v>575</v>
      </c>
      <c r="L16" s="2">
        <v>41193</v>
      </c>
      <c r="M16" s="50">
        <v>2500</v>
      </c>
      <c r="O16" s="3">
        <v>26167.42</v>
      </c>
      <c r="X16" s="2">
        <v>41041</v>
      </c>
      <c r="Y16" s="1" t="s">
        <v>311</v>
      </c>
      <c r="Z16" s="1" t="s">
        <v>312</v>
      </c>
      <c r="AA16" s="2">
        <v>41041</v>
      </c>
      <c r="AB16" s="3">
        <v>5622</v>
      </c>
      <c r="AD16" s="3">
        <v>48059.839999999997</v>
      </c>
    </row>
    <row r="17" spans="1:30">
      <c r="B17" s="2">
        <v>41688</v>
      </c>
      <c r="C17" s="5">
        <v>15000</v>
      </c>
      <c r="D17" s="1" t="s">
        <v>48</v>
      </c>
      <c r="E17" s="1" t="s">
        <v>51</v>
      </c>
      <c r="I17" s="2">
        <v>41199</v>
      </c>
      <c r="J17" s="1" t="s">
        <v>576</v>
      </c>
      <c r="K17" s="1" t="s">
        <v>577</v>
      </c>
      <c r="L17" s="2">
        <v>41200</v>
      </c>
      <c r="N17" s="50">
        <v>600</v>
      </c>
      <c r="O17" s="3">
        <v>26767.42</v>
      </c>
      <c r="X17" s="2">
        <v>41043</v>
      </c>
      <c r="Y17" s="1" t="s">
        <v>313</v>
      </c>
      <c r="Z17" s="1" t="s">
        <v>314</v>
      </c>
      <c r="AA17" s="2">
        <v>41043</v>
      </c>
      <c r="AB17" s="3">
        <v>35000</v>
      </c>
      <c r="AD17" s="3">
        <v>13059.84</v>
      </c>
    </row>
    <row r="18" spans="1:30">
      <c r="B18" s="2">
        <v>41710</v>
      </c>
      <c r="C18" s="5">
        <v>100000</v>
      </c>
      <c r="D18" s="1" t="s">
        <v>236</v>
      </c>
      <c r="E18" s="1" t="s">
        <v>5</v>
      </c>
      <c r="F18" s="1" t="s">
        <v>1157</v>
      </c>
      <c r="I18" s="2">
        <v>41200</v>
      </c>
      <c r="J18" s="1" t="s">
        <v>578</v>
      </c>
      <c r="K18" s="1" t="s">
        <v>579</v>
      </c>
      <c r="L18" s="2">
        <v>41200</v>
      </c>
      <c r="N18" s="50">
        <v>65</v>
      </c>
      <c r="O18" s="3">
        <v>26832.42</v>
      </c>
      <c r="X18" s="2">
        <v>41053</v>
      </c>
      <c r="Y18" s="1" t="s">
        <v>303</v>
      </c>
      <c r="Z18" s="1" t="s">
        <v>315</v>
      </c>
      <c r="AA18" s="2">
        <v>41053</v>
      </c>
      <c r="AB18" s="3">
        <v>5000</v>
      </c>
      <c r="AD18" s="3">
        <v>8059.84</v>
      </c>
    </row>
    <row r="19" spans="1:30">
      <c r="B19" s="2"/>
      <c r="I19" s="2">
        <v>41201</v>
      </c>
      <c r="J19" s="1" t="s">
        <v>580</v>
      </c>
      <c r="K19" s="1" t="s">
        <v>581</v>
      </c>
      <c r="L19" s="2">
        <v>41201</v>
      </c>
      <c r="M19" s="50">
        <v>3000</v>
      </c>
      <c r="O19" s="3">
        <v>23832.42</v>
      </c>
      <c r="X19" s="2">
        <v>41053</v>
      </c>
      <c r="Y19" s="1" t="s">
        <v>313</v>
      </c>
      <c r="Z19" s="1" t="s">
        <v>316</v>
      </c>
      <c r="AA19" s="2">
        <v>41053</v>
      </c>
      <c r="AC19" s="3">
        <v>35000</v>
      </c>
      <c r="AD19" s="3">
        <v>43059.839999999997</v>
      </c>
    </row>
    <row r="20" spans="1:30">
      <c r="C20" s="5"/>
      <c r="I20" s="2">
        <v>41206</v>
      </c>
      <c r="J20" s="1" t="s">
        <v>582</v>
      </c>
      <c r="K20" s="1" t="s">
        <v>583</v>
      </c>
      <c r="L20" s="2">
        <v>41206</v>
      </c>
      <c r="M20" s="50">
        <v>6595</v>
      </c>
      <c r="O20" s="3">
        <v>17237.419999999998</v>
      </c>
      <c r="X20" s="2">
        <v>41055</v>
      </c>
      <c r="Y20" s="1" t="s">
        <v>317</v>
      </c>
      <c r="Z20" s="1" t="s">
        <v>318</v>
      </c>
      <c r="AA20" s="2">
        <v>41055</v>
      </c>
      <c r="AB20" s="3">
        <v>14800</v>
      </c>
      <c r="AD20" s="3">
        <v>28259.84</v>
      </c>
    </row>
    <row r="21" spans="1:30">
      <c r="I21" s="2"/>
      <c r="J21" s="1" t="s">
        <v>449</v>
      </c>
      <c r="L21" s="2"/>
      <c r="X21" s="2">
        <v>41056</v>
      </c>
      <c r="Y21" s="1" t="s">
        <v>295</v>
      </c>
      <c r="Z21" s="1" t="s">
        <v>319</v>
      </c>
      <c r="AA21" s="2">
        <v>41056</v>
      </c>
      <c r="AB21" s="1">
        <v>900</v>
      </c>
      <c r="AD21" s="3">
        <v>27359.84</v>
      </c>
    </row>
    <row r="22" spans="1:30">
      <c r="C22" s="5">
        <f>SUM(C2:C17)</f>
        <v>226500</v>
      </c>
      <c r="I22" s="2">
        <v>41209</v>
      </c>
      <c r="J22" s="1" t="s">
        <v>584</v>
      </c>
      <c r="K22" s="1" t="s">
        <v>585</v>
      </c>
      <c r="L22" s="2">
        <v>41210</v>
      </c>
      <c r="M22" s="50">
        <v>360</v>
      </c>
      <c r="O22" s="3">
        <v>16877.419999999998</v>
      </c>
      <c r="X22" s="2">
        <v>41058</v>
      </c>
      <c r="Y22" s="1" t="s">
        <v>320</v>
      </c>
      <c r="Z22" s="1" t="s">
        <v>321</v>
      </c>
      <c r="AA22" s="2">
        <v>41058</v>
      </c>
      <c r="AC22" s="3">
        <v>29192</v>
      </c>
      <c r="AD22" s="3">
        <v>56551.839999999997</v>
      </c>
    </row>
    <row r="23" spans="1:30">
      <c r="I23" s="2"/>
      <c r="J23" s="1" t="s">
        <v>586</v>
      </c>
      <c r="L23" s="2"/>
      <c r="X23" s="2">
        <v>41063</v>
      </c>
      <c r="Y23" s="1" t="s">
        <v>289</v>
      </c>
      <c r="Z23" s="1" t="s">
        <v>322</v>
      </c>
      <c r="AA23" s="2">
        <v>41064</v>
      </c>
      <c r="AB23" s="3">
        <v>10000</v>
      </c>
      <c r="AD23" s="3">
        <v>46551.839999999997</v>
      </c>
    </row>
    <row r="24" spans="1:30">
      <c r="I24" s="26">
        <v>41213</v>
      </c>
      <c r="J24" s="27" t="s">
        <v>587</v>
      </c>
      <c r="K24" s="27" t="s">
        <v>588</v>
      </c>
      <c r="L24" s="26">
        <v>41213</v>
      </c>
      <c r="M24" s="51"/>
      <c r="N24" s="51">
        <v>15000</v>
      </c>
      <c r="O24" s="28">
        <v>31877.42</v>
      </c>
      <c r="X24" s="2">
        <v>41069</v>
      </c>
      <c r="Y24" s="1" t="s">
        <v>289</v>
      </c>
      <c r="Z24" s="1" t="s">
        <v>323</v>
      </c>
      <c r="AA24" s="2">
        <v>41069</v>
      </c>
      <c r="AB24" s="3">
        <v>2000</v>
      </c>
      <c r="AD24" s="3">
        <v>44551.839999999997</v>
      </c>
    </row>
    <row r="25" spans="1:30">
      <c r="A25" s="1" t="s">
        <v>259</v>
      </c>
      <c r="I25" s="2">
        <v>41216</v>
      </c>
      <c r="J25" s="1" t="s">
        <v>589</v>
      </c>
      <c r="K25" s="1" t="s">
        <v>590</v>
      </c>
      <c r="L25" s="2">
        <v>41217</v>
      </c>
      <c r="M25" s="50">
        <v>434</v>
      </c>
      <c r="O25" s="3">
        <v>31443.42</v>
      </c>
      <c r="X25" s="2">
        <v>41070</v>
      </c>
      <c r="Y25" s="1" t="s">
        <v>295</v>
      </c>
      <c r="Z25" s="1" t="s">
        <v>324</v>
      </c>
      <c r="AA25" s="2">
        <v>41070</v>
      </c>
      <c r="AB25" s="1">
        <v>523</v>
      </c>
      <c r="AD25" s="3">
        <v>44028.84</v>
      </c>
    </row>
    <row r="26" spans="1:30">
      <c r="A26" s="1" t="s">
        <v>261</v>
      </c>
      <c r="I26" s="2"/>
      <c r="J26" s="1" t="s">
        <v>449</v>
      </c>
      <c r="L26" s="2"/>
      <c r="X26" s="2">
        <v>41070</v>
      </c>
      <c r="Y26" s="1" t="s">
        <v>325</v>
      </c>
      <c r="Z26" s="1" t="s">
        <v>326</v>
      </c>
      <c r="AA26" s="2">
        <v>41070</v>
      </c>
      <c r="AB26" s="3">
        <v>1301</v>
      </c>
      <c r="AD26" s="3">
        <v>42727.839999999997</v>
      </c>
    </row>
    <row r="27" spans="1:30">
      <c r="A27" s="1" t="s">
        <v>263</v>
      </c>
      <c r="I27" s="2">
        <v>41220</v>
      </c>
      <c r="J27" s="1" t="s">
        <v>591</v>
      </c>
      <c r="K27" s="1" t="s">
        <v>592</v>
      </c>
      <c r="L27" s="2">
        <v>41220</v>
      </c>
      <c r="M27" s="50">
        <v>2650</v>
      </c>
      <c r="O27" s="3">
        <v>28793.42</v>
      </c>
      <c r="X27" s="2">
        <v>41070</v>
      </c>
      <c r="Y27" s="1" t="s">
        <v>327</v>
      </c>
      <c r="Z27" s="1" t="s">
        <v>328</v>
      </c>
      <c r="AA27" s="2">
        <v>41070</v>
      </c>
      <c r="AB27" s="3">
        <v>1787</v>
      </c>
      <c r="AD27" s="3">
        <v>40940.839999999997</v>
      </c>
    </row>
    <row r="28" spans="1:30">
      <c r="A28" s="1" t="s">
        <v>265</v>
      </c>
      <c r="I28" s="2"/>
      <c r="J28" s="1" t="s">
        <v>593</v>
      </c>
      <c r="L28" s="2"/>
      <c r="X28" s="2">
        <v>41070</v>
      </c>
      <c r="Y28" s="1" t="s">
        <v>329</v>
      </c>
      <c r="Z28" s="1" t="s">
        <v>330</v>
      </c>
      <c r="AA28" s="2">
        <v>41070</v>
      </c>
      <c r="AB28" s="1">
        <v>453.92</v>
      </c>
      <c r="AD28" s="3">
        <v>40486.92</v>
      </c>
    </row>
    <row r="29" spans="1:30">
      <c r="A29" s="1" t="s">
        <v>267</v>
      </c>
      <c r="I29" s="2">
        <v>41232</v>
      </c>
      <c r="J29" s="1" t="s">
        <v>594</v>
      </c>
      <c r="K29" s="1" t="s">
        <v>595</v>
      </c>
      <c r="L29" s="2">
        <v>41232</v>
      </c>
      <c r="M29" s="50">
        <v>1696</v>
      </c>
      <c r="O29" s="3">
        <v>27097.42</v>
      </c>
      <c r="X29" s="2">
        <v>41071</v>
      </c>
      <c r="Y29" s="1" t="s">
        <v>331</v>
      </c>
      <c r="Z29" s="1" t="s">
        <v>332</v>
      </c>
      <c r="AA29" s="2">
        <v>41071</v>
      </c>
      <c r="AB29" s="3">
        <v>8000</v>
      </c>
      <c r="AD29" s="3">
        <v>32486.92</v>
      </c>
    </row>
    <row r="30" spans="1:30">
      <c r="A30" s="1" t="s">
        <v>269</v>
      </c>
      <c r="I30" s="2"/>
      <c r="J30" s="1" t="s">
        <v>449</v>
      </c>
      <c r="L30" s="2"/>
      <c r="X30" s="2">
        <v>41071</v>
      </c>
      <c r="Y30" s="1" t="s">
        <v>333</v>
      </c>
      <c r="Z30" s="1" t="s">
        <v>334</v>
      </c>
      <c r="AA30" s="2">
        <v>41071</v>
      </c>
      <c r="AB30" s="1">
        <v>200</v>
      </c>
      <c r="AD30" s="3">
        <v>32286.92</v>
      </c>
    </row>
    <row r="31" spans="1:30">
      <c r="I31" s="2">
        <v>41236</v>
      </c>
      <c r="J31" s="1" t="s">
        <v>596</v>
      </c>
      <c r="K31" s="1" t="s">
        <v>597</v>
      </c>
      <c r="L31" s="2">
        <v>41236</v>
      </c>
      <c r="M31" s="50">
        <v>1117.4100000000001</v>
      </c>
      <c r="O31" s="3">
        <v>25980.01</v>
      </c>
      <c r="X31" s="2">
        <v>41075</v>
      </c>
      <c r="Y31" s="1" t="s">
        <v>335</v>
      </c>
      <c r="Z31" s="1" t="s">
        <v>332</v>
      </c>
      <c r="AA31" s="2">
        <v>41075</v>
      </c>
      <c r="AB31" s="3">
        <v>10000</v>
      </c>
      <c r="AD31" s="3">
        <v>22286.92</v>
      </c>
    </row>
    <row r="32" spans="1:30">
      <c r="A32" s="1" t="s">
        <v>272</v>
      </c>
      <c r="I32" s="2">
        <v>41236</v>
      </c>
      <c r="J32" s="1" t="s">
        <v>598</v>
      </c>
      <c r="K32" s="1" t="s">
        <v>599</v>
      </c>
      <c r="L32" s="2">
        <v>41236</v>
      </c>
      <c r="M32" s="50">
        <v>250</v>
      </c>
      <c r="O32" s="3">
        <v>25730.01</v>
      </c>
      <c r="X32" s="2">
        <v>41075</v>
      </c>
      <c r="Y32" s="1" t="s">
        <v>336</v>
      </c>
      <c r="Z32" s="1" t="s">
        <v>337</v>
      </c>
      <c r="AA32" s="2">
        <v>41075</v>
      </c>
      <c r="AB32" s="1">
        <v>644.94000000000005</v>
      </c>
      <c r="AD32" s="3">
        <v>21641.98</v>
      </c>
    </row>
    <row r="33" spans="1:30">
      <c r="I33" s="2"/>
      <c r="J33" s="1" t="s">
        <v>449</v>
      </c>
      <c r="L33" s="2"/>
      <c r="X33" s="2">
        <v>41076</v>
      </c>
      <c r="Y33" s="1" t="s">
        <v>338</v>
      </c>
      <c r="Z33" s="1" t="s">
        <v>339</v>
      </c>
      <c r="AA33" s="2">
        <v>41076</v>
      </c>
      <c r="AB33" s="1">
        <v>602</v>
      </c>
      <c r="AD33" s="3">
        <v>21039.98</v>
      </c>
    </row>
    <row r="34" spans="1:30">
      <c r="A34" s="1" t="s">
        <v>275</v>
      </c>
      <c r="I34" s="2">
        <v>41246</v>
      </c>
      <c r="J34" s="1" t="s">
        <v>600</v>
      </c>
      <c r="K34" s="1" t="s">
        <v>601</v>
      </c>
      <c r="L34" s="2">
        <v>41246</v>
      </c>
      <c r="M34" s="50">
        <v>1300.5</v>
      </c>
      <c r="O34" s="3">
        <v>24429.51</v>
      </c>
      <c r="X34" s="2">
        <v>41076</v>
      </c>
      <c r="Y34" s="1" t="s">
        <v>299</v>
      </c>
      <c r="Z34" s="1" t="s">
        <v>340</v>
      </c>
      <c r="AA34" s="2">
        <v>41076</v>
      </c>
      <c r="AB34" s="3">
        <v>2000</v>
      </c>
      <c r="AD34" s="3">
        <v>19039.98</v>
      </c>
    </row>
    <row r="35" spans="1:30">
      <c r="A35" s="1" t="s">
        <v>277</v>
      </c>
      <c r="I35" s="2"/>
      <c r="J35" s="1" t="s">
        <v>449</v>
      </c>
      <c r="L35" s="2"/>
      <c r="X35" s="2">
        <v>41076</v>
      </c>
      <c r="Y35" s="1" t="s">
        <v>287</v>
      </c>
      <c r="Z35" s="1" t="s">
        <v>341</v>
      </c>
      <c r="AA35" s="2">
        <v>41076</v>
      </c>
      <c r="AB35" s="1">
        <v>500</v>
      </c>
      <c r="AD35" s="3">
        <v>18539.98</v>
      </c>
    </row>
    <row r="36" spans="1:30">
      <c r="I36" s="2">
        <v>41249</v>
      </c>
      <c r="J36" s="1" t="s">
        <v>602</v>
      </c>
      <c r="K36" s="1" t="s">
        <v>603</v>
      </c>
      <c r="L36" s="2">
        <v>41249</v>
      </c>
      <c r="M36" s="50">
        <v>2161.8000000000002</v>
      </c>
      <c r="O36" s="3">
        <v>22267.71</v>
      </c>
      <c r="X36" s="2">
        <v>41077</v>
      </c>
      <c r="Y36" s="1" t="s">
        <v>342</v>
      </c>
      <c r="Z36" s="1" t="s">
        <v>343</v>
      </c>
      <c r="AA36" s="2">
        <v>41077</v>
      </c>
      <c r="AB36" s="1">
        <v>918</v>
      </c>
      <c r="AD36" s="3">
        <v>17621.98</v>
      </c>
    </row>
    <row r="37" spans="1:30">
      <c r="I37" s="2"/>
      <c r="J37" s="1" t="s">
        <v>449</v>
      </c>
      <c r="L37" s="2"/>
      <c r="X37" s="2">
        <v>41078</v>
      </c>
      <c r="Y37" s="1" t="s">
        <v>344</v>
      </c>
      <c r="Z37" s="1" t="s">
        <v>345</v>
      </c>
      <c r="AA37" s="2">
        <v>41078</v>
      </c>
      <c r="AB37" s="1">
        <v>163</v>
      </c>
      <c r="AD37" s="3">
        <v>17458.98</v>
      </c>
    </row>
    <row r="38" spans="1:30">
      <c r="A38" s="1" t="s">
        <v>258</v>
      </c>
      <c r="I38" s="2">
        <v>41250</v>
      </c>
      <c r="J38" s="1" t="s">
        <v>604</v>
      </c>
      <c r="K38" s="1" t="s">
        <v>605</v>
      </c>
      <c r="L38" s="2">
        <v>41250</v>
      </c>
      <c r="M38" s="50">
        <v>1330</v>
      </c>
      <c r="O38" s="3">
        <v>20937.71</v>
      </c>
      <c r="X38" s="2">
        <v>41078</v>
      </c>
      <c r="Y38" s="1" t="s">
        <v>346</v>
      </c>
      <c r="Z38" s="1" t="s">
        <v>347</v>
      </c>
      <c r="AA38" s="2">
        <v>41078</v>
      </c>
      <c r="AB38" s="3">
        <v>1008.5</v>
      </c>
      <c r="AD38" s="3">
        <v>16450.48</v>
      </c>
    </row>
    <row r="39" spans="1:30">
      <c r="A39" s="1" t="s">
        <v>260</v>
      </c>
      <c r="I39" s="2"/>
      <c r="J39" s="1" t="s">
        <v>479</v>
      </c>
      <c r="L39" s="2"/>
      <c r="X39" s="2">
        <v>41081</v>
      </c>
      <c r="Y39" s="1" t="s">
        <v>348</v>
      </c>
      <c r="Z39" s="1" t="s">
        <v>349</v>
      </c>
      <c r="AA39" s="2">
        <v>41082</v>
      </c>
      <c r="AB39" s="1">
        <v>691</v>
      </c>
      <c r="AD39" s="3">
        <v>15759.48</v>
      </c>
    </row>
    <row r="40" spans="1:30">
      <c r="A40" s="1" t="s">
        <v>262</v>
      </c>
      <c r="I40" s="2">
        <v>41255</v>
      </c>
      <c r="J40" s="1" t="s">
        <v>602</v>
      </c>
      <c r="K40" s="1" t="s">
        <v>606</v>
      </c>
      <c r="L40" s="2">
        <v>41255</v>
      </c>
      <c r="M40" s="50">
        <v>838.2</v>
      </c>
      <c r="O40" s="3">
        <v>20099.509999999998</v>
      </c>
      <c r="X40" s="2">
        <v>41084</v>
      </c>
      <c r="Y40" s="1" t="s">
        <v>289</v>
      </c>
      <c r="Z40" s="1" t="s">
        <v>350</v>
      </c>
      <c r="AA40" s="2">
        <v>41084</v>
      </c>
      <c r="AB40" s="3">
        <v>3000</v>
      </c>
      <c r="AD40" s="3">
        <v>12759.48</v>
      </c>
    </row>
    <row r="41" spans="1:30">
      <c r="A41" s="1" t="s">
        <v>264</v>
      </c>
      <c r="I41" s="2"/>
      <c r="J41" s="1" t="s">
        <v>449</v>
      </c>
      <c r="L41" s="2"/>
      <c r="X41" s="2">
        <v>41085</v>
      </c>
      <c r="Y41" s="1" t="s">
        <v>295</v>
      </c>
      <c r="Z41" s="1" t="s">
        <v>351</v>
      </c>
      <c r="AA41" s="2">
        <v>41085</v>
      </c>
      <c r="AB41" s="3">
        <v>7499</v>
      </c>
      <c r="AD41" s="3">
        <v>5260.48</v>
      </c>
    </row>
    <row r="42" spans="1:30">
      <c r="A42" s="1" t="s">
        <v>266</v>
      </c>
      <c r="I42" s="2">
        <v>41258</v>
      </c>
      <c r="J42" s="1" t="s">
        <v>607</v>
      </c>
      <c r="K42" s="1" t="s">
        <v>608</v>
      </c>
      <c r="L42" s="2">
        <v>41258</v>
      </c>
      <c r="M42" s="50">
        <v>395</v>
      </c>
      <c r="O42" s="3">
        <v>19704.509999999998</v>
      </c>
      <c r="X42" s="2">
        <v>41087</v>
      </c>
      <c r="Y42" s="1" t="s">
        <v>352</v>
      </c>
      <c r="Z42" s="1" t="s">
        <v>353</v>
      </c>
      <c r="AA42" s="2">
        <v>41087</v>
      </c>
      <c r="AB42" s="3">
        <v>4198</v>
      </c>
      <c r="AD42" s="3">
        <v>1062.48</v>
      </c>
    </row>
    <row r="43" spans="1:30">
      <c r="A43" s="1" t="s">
        <v>268</v>
      </c>
      <c r="I43" s="2">
        <v>41258</v>
      </c>
      <c r="J43" s="1" t="s">
        <v>609</v>
      </c>
      <c r="K43" s="1" t="s">
        <v>610</v>
      </c>
      <c r="L43" s="2">
        <v>41259</v>
      </c>
      <c r="M43" s="50">
        <v>2724</v>
      </c>
      <c r="O43" s="3">
        <v>16980.509999999998</v>
      </c>
      <c r="X43" s="2">
        <v>41089</v>
      </c>
      <c r="Y43" s="1" t="s">
        <v>354</v>
      </c>
      <c r="Z43" s="1" t="s">
        <v>355</v>
      </c>
      <c r="AA43" s="2">
        <v>41089</v>
      </c>
      <c r="AC43" s="3">
        <v>29191</v>
      </c>
      <c r="AD43" s="3">
        <v>30253.48</v>
      </c>
    </row>
    <row r="44" spans="1:30">
      <c r="A44" s="1" t="s">
        <v>270</v>
      </c>
      <c r="I44" s="2"/>
      <c r="J44" s="1" t="s">
        <v>593</v>
      </c>
      <c r="L44" s="2"/>
      <c r="X44" s="2">
        <v>41091</v>
      </c>
      <c r="Y44" s="1" t="s">
        <v>289</v>
      </c>
      <c r="Z44" s="1" t="s">
        <v>356</v>
      </c>
      <c r="AA44" s="2">
        <v>41092</v>
      </c>
      <c r="AB44" s="3">
        <v>3000</v>
      </c>
      <c r="AD44" s="3">
        <v>27253.48</v>
      </c>
    </row>
    <row r="45" spans="1:30">
      <c r="A45" s="1" t="s">
        <v>271</v>
      </c>
      <c r="I45" s="2">
        <v>41259</v>
      </c>
      <c r="J45" s="1" t="s">
        <v>611</v>
      </c>
      <c r="K45" s="1" t="s">
        <v>612</v>
      </c>
      <c r="L45" s="2">
        <v>41260</v>
      </c>
      <c r="M45" s="50">
        <v>1748.25</v>
      </c>
      <c r="O45" s="3">
        <v>15232.26</v>
      </c>
      <c r="X45" s="2">
        <v>41093</v>
      </c>
      <c r="Y45" s="1" t="s">
        <v>357</v>
      </c>
      <c r="Z45" s="1" t="s">
        <v>358</v>
      </c>
      <c r="AA45" s="2">
        <v>41093</v>
      </c>
      <c r="AB45" s="3">
        <v>10000</v>
      </c>
      <c r="AD45" s="3">
        <v>17253.48</v>
      </c>
    </row>
    <row r="46" spans="1:30">
      <c r="A46" s="1" t="s">
        <v>273</v>
      </c>
      <c r="I46" s="2"/>
      <c r="J46" s="1" t="s">
        <v>479</v>
      </c>
      <c r="L46" s="2"/>
      <c r="X46" s="2">
        <v>41099</v>
      </c>
      <c r="Y46" s="1" t="s">
        <v>359</v>
      </c>
      <c r="Z46" s="1" t="s">
        <v>360</v>
      </c>
      <c r="AA46" s="2">
        <v>41099</v>
      </c>
      <c r="AB46" s="1">
        <v>360</v>
      </c>
      <c r="AD46" s="3">
        <v>16893.48</v>
      </c>
    </row>
    <row r="47" spans="1:30">
      <c r="A47" s="1" t="s">
        <v>274</v>
      </c>
      <c r="I47" s="26">
        <v>41260</v>
      </c>
      <c r="J47" s="27" t="s">
        <v>587</v>
      </c>
      <c r="K47" s="27" t="s">
        <v>613</v>
      </c>
      <c r="L47" s="26">
        <v>41260</v>
      </c>
      <c r="M47" s="51"/>
      <c r="N47" s="51">
        <v>15000</v>
      </c>
      <c r="O47" s="28">
        <v>30232.26</v>
      </c>
      <c r="X47" s="2">
        <v>41101</v>
      </c>
      <c r="Y47" s="1" t="s">
        <v>361</v>
      </c>
      <c r="Z47" s="1" t="s">
        <v>362</v>
      </c>
      <c r="AA47" s="2">
        <v>41101</v>
      </c>
      <c r="AB47" s="3">
        <v>7200</v>
      </c>
      <c r="AD47" s="3">
        <v>9693.48</v>
      </c>
    </row>
    <row r="48" spans="1:30">
      <c r="A48" s="1" t="s">
        <v>276</v>
      </c>
      <c r="I48" s="2">
        <v>41260</v>
      </c>
      <c r="J48" s="1" t="s">
        <v>594</v>
      </c>
      <c r="K48" s="1" t="s">
        <v>614</v>
      </c>
      <c r="L48" s="2">
        <v>41260</v>
      </c>
      <c r="M48" s="50">
        <v>550</v>
      </c>
      <c r="O48" s="3">
        <v>29682.26</v>
      </c>
      <c r="X48" s="2">
        <v>41109</v>
      </c>
      <c r="Y48" s="1" t="s">
        <v>363</v>
      </c>
      <c r="Z48" s="1" t="s">
        <v>364</v>
      </c>
      <c r="AA48" s="2">
        <v>41109</v>
      </c>
      <c r="AB48" s="1">
        <v>220</v>
      </c>
      <c r="AD48" s="3">
        <v>9473.48</v>
      </c>
    </row>
    <row r="49" spans="1:30">
      <c r="A49" s="1" t="s">
        <v>278</v>
      </c>
      <c r="I49" s="2"/>
      <c r="J49" s="1" t="s">
        <v>449</v>
      </c>
      <c r="L49" s="2"/>
      <c r="X49" s="2">
        <v>41111</v>
      </c>
      <c r="Y49" s="1" t="s">
        <v>365</v>
      </c>
      <c r="Z49" s="1" t="s">
        <v>366</v>
      </c>
      <c r="AA49" s="2">
        <v>41111</v>
      </c>
      <c r="AB49" s="3">
        <v>6160</v>
      </c>
      <c r="AD49" s="3">
        <v>3313.48</v>
      </c>
    </row>
    <row r="50" spans="1:30">
      <c r="A50" s="1" t="s">
        <v>279</v>
      </c>
      <c r="I50" s="2">
        <v>41260</v>
      </c>
      <c r="J50" s="1" t="s">
        <v>602</v>
      </c>
      <c r="K50" s="1" t="s">
        <v>615</v>
      </c>
      <c r="L50" s="2">
        <v>41260</v>
      </c>
      <c r="M50" s="50">
        <v>1013.5</v>
      </c>
      <c r="O50" s="3">
        <v>28668.76</v>
      </c>
      <c r="X50" s="2">
        <v>41116</v>
      </c>
      <c r="Y50" s="1" t="s">
        <v>367</v>
      </c>
      <c r="Z50" s="1" t="s">
        <v>368</v>
      </c>
      <c r="AA50" s="2">
        <v>41116</v>
      </c>
      <c r="AB50" s="1">
        <v>364.94</v>
      </c>
      <c r="AD50" s="3">
        <v>2948.54</v>
      </c>
    </row>
    <row r="51" spans="1:30">
      <c r="A51" s="1" t="s">
        <v>280</v>
      </c>
      <c r="I51" s="2"/>
      <c r="J51" s="1" t="s">
        <v>449</v>
      </c>
      <c r="L51" s="2"/>
      <c r="X51" s="2">
        <v>41118</v>
      </c>
      <c r="Y51" s="1" t="s">
        <v>369</v>
      </c>
      <c r="Z51" s="1" t="s">
        <v>370</v>
      </c>
      <c r="AA51" s="2">
        <v>41118</v>
      </c>
      <c r="AC51" s="3">
        <v>29192</v>
      </c>
      <c r="AD51" s="3">
        <v>32140.54</v>
      </c>
    </row>
    <row r="52" spans="1:30">
      <c r="I52" s="2">
        <v>41270</v>
      </c>
      <c r="J52" s="1" t="s">
        <v>616</v>
      </c>
      <c r="K52" s="1" t="s">
        <v>434</v>
      </c>
      <c r="L52" s="2">
        <v>41270</v>
      </c>
      <c r="N52" s="50">
        <v>21000</v>
      </c>
      <c r="O52" s="3">
        <v>49668.76</v>
      </c>
      <c r="X52" s="2">
        <v>41121</v>
      </c>
      <c r="Y52" s="1" t="s">
        <v>371</v>
      </c>
      <c r="Z52" s="1" t="s">
        <v>372</v>
      </c>
      <c r="AA52" s="2">
        <v>41121</v>
      </c>
      <c r="AB52" s="1">
        <v>444.94</v>
      </c>
      <c r="AD52" s="3">
        <v>31695.599999999999</v>
      </c>
    </row>
    <row r="53" spans="1:30">
      <c r="I53" s="26">
        <v>41270</v>
      </c>
      <c r="J53" s="27" t="s">
        <v>617</v>
      </c>
      <c r="K53" s="27" t="s">
        <v>618</v>
      </c>
      <c r="L53" s="26">
        <v>41270</v>
      </c>
      <c r="M53" s="51">
        <v>21000</v>
      </c>
      <c r="N53" s="51"/>
      <c r="O53" s="28">
        <v>28668.76</v>
      </c>
      <c r="X53" s="2">
        <v>41122</v>
      </c>
      <c r="Y53" s="1" t="s">
        <v>373</v>
      </c>
      <c r="Z53" s="1" t="s">
        <v>374</v>
      </c>
      <c r="AA53" s="2">
        <v>41122</v>
      </c>
      <c r="AB53" s="3">
        <v>5000</v>
      </c>
      <c r="AD53" s="3">
        <v>26695.599999999999</v>
      </c>
    </row>
    <row r="54" spans="1:30">
      <c r="I54" s="2">
        <v>41274</v>
      </c>
      <c r="J54" s="1" t="s">
        <v>594</v>
      </c>
      <c r="K54" s="1" t="s">
        <v>619</v>
      </c>
      <c r="L54" s="2">
        <v>41274</v>
      </c>
      <c r="M54" s="50">
        <v>227</v>
      </c>
      <c r="O54" s="3">
        <v>28441.759999999998</v>
      </c>
      <c r="X54" s="2">
        <v>41123</v>
      </c>
      <c r="Y54" s="1" t="s">
        <v>375</v>
      </c>
      <c r="Z54" s="1" t="s">
        <v>376</v>
      </c>
      <c r="AA54" s="2">
        <v>41123</v>
      </c>
      <c r="AB54" s="3">
        <v>6000</v>
      </c>
      <c r="AD54" s="3">
        <v>20695.599999999999</v>
      </c>
    </row>
    <row r="55" spans="1:30">
      <c r="I55" s="2"/>
      <c r="J55" s="1" t="s">
        <v>449</v>
      </c>
      <c r="L55" s="2"/>
      <c r="X55" s="2">
        <v>41125</v>
      </c>
      <c r="Y55" s="1" t="s">
        <v>377</v>
      </c>
      <c r="Z55" s="1" t="s">
        <v>378</v>
      </c>
      <c r="AA55" s="2">
        <v>41125</v>
      </c>
      <c r="AB55" s="3">
        <v>3000</v>
      </c>
      <c r="AD55" s="3">
        <v>17695.599999999999</v>
      </c>
    </row>
    <row r="56" spans="1:30">
      <c r="I56" s="2">
        <v>41274</v>
      </c>
      <c r="J56" s="1" t="s">
        <v>594</v>
      </c>
      <c r="K56" s="1" t="s">
        <v>620</v>
      </c>
      <c r="L56" s="2">
        <v>41274</v>
      </c>
      <c r="M56" s="50">
        <v>515</v>
      </c>
      <c r="O56" s="3">
        <v>27926.76</v>
      </c>
      <c r="X56" s="2">
        <v>41126</v>
      </c>
      <c r="Y56" s="1" t="s">
        <v>379</v>
      </c>
      <c r="Z56" s="1" t="s">
        <v>380</v>
      </c>
      <c r="AA56" s="2">
        <v>41126</v>
      </c>
      <c r="AB56" s="1">
        <v>907.41</v>
      </c>
      <c r="AD56" s="3">
        <v>16788.189999999999</v>
      </c>
    </row>
    <row r="57" spans="1:30">
      <c r="I57" s="2"/>
      <c r="J57" s="1" t="s">
        <v>449</v>
      </c>
      <c r="L57" s="2"/>
      <c r="X57" s="2">
        <v>41128</v>
      </c>
      <c r="Y57" s="1" t="s">
        <v>381</v>
      </c>
      <c r="Z57" s="1" t="s">
        <v>382</v>
      </c>
      <c r="AA57" s="2">
        <v>41128</v>
      </c>
      <c r="AB57" s="1">
        <v>160</v>
      </c>
      <c r="AD57" s="3">
        <v>16628.189999999999</v>
      </c>
    </row>
    <row r="58" spans="1:30">
      <c r="I58" s="2">
        <v>41274</v>
      </c>
      <c r="J58" s="1" t="s">
        <v>594</v>
      </c>
      <c r="K58" s="1" t="s">
        <v>621</v>
      </c>
      <c r="L58" s="2">
        <v>41274</v>
      </c>
      <c r="M58" s="50">
        <v>385</v>
      </c>
      <c r="O58" s="3">
        <v>27541.759999999998</v>
      </c>
      <c r="X58" s="2">
        <v>41129</v>
      </c>
      <c r="Y58" s="1" t="s">
        <v>383</v>
      </c>
      <c r="Z58" s="1" t="s">
        <v>384</v>
      </c>
      <c r="AA58" s="2">
        <v>41129</v>
      </c>
      <c r="AB58" s="1">
        <v>549</v>
      </c>
      <c r="AD58" s="3">
        <v>16079.19</v>
      </c>
    </row>
    <row r="59" spans="1:30">
      <c r="I59" s="2"/>
      <c r="J59" s="1" t="s">
        <v>449</v>
      </c>
      <c r="L59" s="2"/>
      <c r="X59" s="2">
        <v>41134</v>
      </c>
      <c r="Y59" s="1" t="s">
        <v>385</v>
      </c>
      <c r="Z59" s="1" t="s">
        <v>386</v>
      </c>
      <c r="AA59" s="2">
        <v>41134</v>
      </c>
      <c r="AB59" s="3">
        <v>5000</v>
      </c>
      <c r="AD59" s="3">
        <v>11079.19</v>
      </c>
    </row>
    <row r="60" spans="1:30">
      <c r="I60" s="2">
        <v>41278</v>
      </c>
      <c r="J60" s="1" t="s">
        <v>622</v>
      </c>
      <c r="K60" s="1" t="s">
        <v>436</v>
      </c>
      <c r="L60" s="2">
        <v>41278</v>
      </c>
      <c r="M60" s="50">
        <v>7200</v>
      </c>
      <c r="O60" s="3">
        <v>20341.759999999998</v>
      </c>
      <c r="X60" s="2">
        <v>41150</v>
      </c>
      <c r="Y60" s="1" t="s">
        <v>387</v>
      </c>
      <c r="Z60" s="1" t="s">
        <v>388</v>
      </c>
      <c r="AA60" s="2">
        <v>41150</v>
      </c>
      <c r="AC60" s="3">
        <v>42207</v>
      </c>
      <c r="AD60" s="3">
        <v>53286.19</v>
      </c>
    </row>
    <row r="61" spans="1:30">
      <c r="I61" s="2">
        <v>41279</v>
      </c>
      <c r="J61" s="1" t="s">
        <v>623</v>
      </c>
      <c r="K61" s="1" t="s">
        <v>440</v>
      </c>
      <c r="L61" s="2">
        <v>41279</v>
      </c>
      <c r="M61" s="50">
        <v>2000</v>
      </c>
      <c r="O61" s="3">
        <v>18341.759999999998</v>
      </c>
      <c r="X61" s="2">
        <v>41151</v>
      </c>
      <c r="Y61" s="1" t="s">
        <v>389</v>
      </c>
      <c r="Z61" s="1" t="s">
        <v>390</v>
      </c>
      <c r="AA61" s="2">
        <v>41151</v>
      </c>
      <c r="AB61" s="1">
        <v>361</v>
      </c>
      <c r="AD61" s="3">
        <v>52925.19</v>
      </c>
    </row>
    <row r="62" spans="1:30">
      <c r="I62" s="2">
        <v>41286</v>
      </c>
      <c r="J62" s="1" t="s">
        <v>624</v>
      </c>
      <c r="K62" s="1" t="s">
        <v>625</v>
      </c>
      <c r="L62" s="2">
        <v>41287</v>
      </c>
      <c r="M62" s="50">
        <v>266</v>
      </c>
      <c r="O62" s="3">
        <v>18075.759999999998</v>
      </c>
      <c r="X62" s="2">
        <v>41153</v>
      </c>
      <c r="Y62" s="1" t="s">
        <v>391</v>
      </c>
      <c r="Z62" s="1" t="s">
        <v>392</v>
      </c>
      <c r="AA62" s="2">
        <v>41153</v>
      </c>
      <c r="AB62" s="3">
        <v>1458</v>
      </c>
      <c r="AD62" s="3">
        <v>51467.19</v>
      </c>
    </row>
    <row r="63" spans="1:30">
      <c r="I63" s="2"/>
      <c r="J63" s="1" t="s">
        <v>479</v>
      </c>
      <c r="L63" s="2"/>
      <c r="X63" s="2">
        <v>41157</v>
      </c>
      <c r="Y63" s="1" t="s">
        <v>346</v>
      </c>
      <c r="Z63" s="1" t="s">
        <v>393</v>
      </c>
      <c r="AA63" s="2">
        <v>41157</v>
      </c>
      <c r="AB63" s="3">
        <v>1281</v>
      </c>
      <c r="AD63" s="3">
        <v>50186.19</v>
      </c>
    </row>
    <row r="64" spans="1:30">
      <c r="I64" s="2">
        <v>41286</v>
      </c>
      <c r="J64" s="1" t="s">
        <v>624</v>
      </c>
      <c r="K64" s="1" t="s">
        <v>625</v>
      </c>
      <c r="L64" s="2">
        <v>41287</v>
      </c>
      <c r="M64" s="50">
        <v>-266</v>
      </c>
      <c r="O64" s="3">
        <v>18341.759999999998</v>
      </c>
      <c r="X64" s="2">
        <v>41164</v>
      </c>
      <c r="Y64" s="1" t="s">
        <v>348</v>
      </c>
      <c r="Z64" s="1" t="s">
        <v>394</v>
      </c>
      <c r="AA64" s="2">
        <v>41165</v>
      </c>
      <c r="AB64" s="3">
        <v>2153</v>
      </c>
      <c r="AD64" s="3">
        <v>48033.19</v>
      </c>
    </row>
    <row r="65" spans="9:30">
      <c r="I65" s="2"/>
      <c r="J65" s="1" t="s">
        <v>479</v>
      </c>
      <c r="L65" s="2"/>
      <c r="X65" s="2">
        <v>41164</v>
      </c>
      <c r="Y65" s="1" t="s">
        <v>348</v>
      </c>
      <c r="Z65" s="1" t="s">
        <v>395</v>
      </c>
      <c r="AA65" s="2">
        <v>41165</v>
      </c>
      <c r="AB65" s="1">
        <v>225</v>
      </c>
      <c r="AD65" s="3">
        <v>47808.19</v>
      </c>
    </row>
    <row r="66" spans="9:30">
      <c r="I66" s="2">
        <v>41286</v>
      </c>
      <c r="J66" s="1" t="s">
        <v>624</v>
      </c>
      <c r="K66" s="1" t="s">
        <v>626</v>
      </c>
      <c r="L66" s="2">
        <v>41287</v>
      </c>
      <c r="M66" s="50">
        <v>266</v>
      </c>
      <c r="O66" s="3">
        <v>18075.759999999998</v>
      </c>
      <c r="X66" s="2">
        <v>41164</v>
      </c>
      <c r="Y66" s="1" t="s">
        <v>381</v>
      </c>
      <c r="Z66" s="1" t="s">
        <v>396</v>
      </c>
      <c r="AA66" s="2">
        <v>41164</v>
      </c>
      <c r="AB66" s="1">
        <v>260</v>
      </c>
      <c r="AD66" s="3">
        <v>47548.19</v>
      </c>
    </row>
    <row r="67" spans="9:30">
      <c r="I67" s="2"/>
      <c r="J67" s="1" t="s">
        <v>479</v>
      </c>
      <c r="L67" s="2"/>
      <c r="X67" s="2">
        <v>41165</v>
      </c>
      <c r="Y67" s="1" t="s">
        <v>397</v>
      </c>
      <c r="Z67" s="1" t="s">
        <v>398</v>
      </c>
      <c r="AA67" s="2">
        <v>41165</v>
      </c>
      <c r="AB67" s="3">
        <v>1160</v>
      </c>
      <c r="AD67" s="3">
        <v>46388.19</v>
      </c>
    </row>
    <row r="68" spans="9:30">
      <c r="I68" s="2">
        <v>41287</v>
      </c>
      <c r="J68" s="1" t="s">
        <v>594</v>
      </c>
      <c r="K68" s="1" t="s">
        <v>627</v>
      </c>
      <c r="L68" s="2">
        <v>41287</v>
      </c>
      <c r="M68" s="50">
        <v>196</v>
      </c>
      <c r="O68" s="3">
        <v>17879.759999999998</v>
      </c>
      <c r="X68" s="2">
        <v>41168</v>
      </c>
      <c r="Y68" s="1" t="s">
        <v>399</v>
      </c>
      <c r="Z68" s="1" t="s">
        <v>400</v>
      </c>
      <c r="AA68" s="2">
        <v>41169</v>
      </c>
      <c r="AB68" s="3">
        <v>1395</v>
      </c>
      <c r="AD68" s="3">
        <v>44993.19</v>
      </c>
    </row>
    <row r="69" spans="9:30">
      <c r="I69" s="2"/>
      <c r="J69" s="1" t="s">
        <v>449</v>
      </c>
      <c r="L69" s="2"/>
      <c r="X69" s="2">
        <v>41176</v>
      </c>
      <c r="Y69" s="1" t="s">
        <v>346</v>
      </c>
      <c r="Z69" s="1" t="s">
        <v>401</v>
      </c>
      <c r="AA69" s="2">
        <v>41176</v>
      </c>
      <c r="AB69" s="3">
        <v>1078</v>
      </c>
      <c r="AD69" s="3">
        <v>43915.19</v>
      </c>
    </row>
    <row r="70" spans="9:30">
      <c r="I70" s="2">
        <v>41293</v>
      </c>
      <c r="J70" s="1" t="s">
        <v>580</v>
      </c>
      <c r="K70" s="1" t="s">
        <v>628</v>
      </c>
      <c r="L70" s="2">
        <v>41293</v>
      </c>
      <c r="M70" s="50">
        <v>2000</v>
      </c>
      <c r="O70" s="3">
        <v>15879.76</v>
      </c>
      <c r="X70" s="2">
        <v>41178</v>
      </c>
      <c r="Y70" s="1" t="s">
        <v>402</v>
      </c>
      <c r="Z70" s="1" t="s">
        <v>403</v>
      </c>
      <c r="AA70" s="2">
        <v>41178</v>
      </c>
      <c r="AB70" s="1">
        <v>775</v>
      </c>
      <c r="AD70" s="3">
        <v>43140.19</v>
      </c>
    </row>
    <row r="71" spans="9:30">
      <c r="I71" s="2">
        <v>41295</v>
      </c>
      <c r="J71" s="1" t="s">
        <v>629</v>
      </c>
      <c r="K71" s="1" t="s">
        <v>630</v>
      </c>
      <c r="L71" s="2">
        <v>41295</v>
      </c>
      <c r="M71" s="50">
        <v>790</v>
      </c>
      <c r="O71" s="3">
        <v>15089.76</v>
      </c>
      <c r="X71" s="2">
        <v>41182</v>
      </c>
      <c r="Y71" s="1" t="s">
        <v>402</v>
      </c>
      <c r="Z71" s="1" t="s">
        <v>404</v>
      </c>
      <c r="AA71" s="2">
        <v>41182</v>
      </c>
      <c r="AB71" s="3">
        <v>2050</v>
      </c>
      <c r="AD71" s="3">
        <v>41090.19</v>
      </c>
    </row>
    <row r="72" spans="9:30">
      <c r="I72" s="2"/>
      <c r="J72" s="1" t="s">
        <v>449</v>
      </c>
      <c r="L72" s="2"/>
      <c r="X72" s="2">
        <v>41182</v>
      </c>
      <c r="Y72" s="1" t="s">
        <v>303</v>
      </c>
      <c r="Z72" s="1" t="s">
        <v>405</v>
      </c>
      <c r="AA72" s="2">
        <v>41182</v>
      </c>
      <c r="AB72" s="3">
        <v>6000</v>
      </c>
      <c r="AD72" s="3">
        <v>35090.19</v>
      </c>
    </row>
    <row r="73" spans="9:30">
      <c r="I73" s="2">
        <v>41295</v>
      </c>
      <c r="J73" s="1" t="s">
        <v>629</v>
      </c>
      <c r="K73" s="1" t="s">
        <v>631</v>
      </c>
      <c r="L73" s="2">
        <v>41295</v>
      </c>
      <c r="M73" s="50">
        <v>400</v>
      </c>
      <c r="O73" s="3">
        <v>14689.76</v>
      </c>
      <c r="X73" s="2">
        <v>41182</v>
      </c>
      <c r="Y73" s="1" t="s">
        <v>406</v>
      </c>
      <c r="Z73" s="1" t="s">
        <v>407</v>
      </c>
      <c r="AA73" s="2">
        <v>41182</v>
      </c>
      <c r="AC73" s="1">
        <v>654.92999999999995</v>
      </c>
      <c r="AD73" s="3">
        <v>35745.120000000003</v>
      </c>
    </row>
    <row r="74" spans="9:30">
      <c r="I74" s="2"/>
      <c r="J74" s="1" t="s">
        <v>449</v>
      </c>
      <c r="L74" s="2"/>
      <c r="X74" s="2">
        <v>41183</v>
      </c>
      <c r="Y74" s="1" t="s">
        <v>408</v>
      </c>
      <c r="Z74" s="1" t="s">
        <v>409</v>
      </c>
      <c r="AA74" s="2">
        <v>41183</v>
      </c>
      <c r="AB74" s="1">
        <v>500</v>
      </c>
      <c r="AD74" s="3">
        <v>35245.120000000003</v>
      </c>
    </row>
    <row r="75" spans="9:30">
      <c r="I75" s="2">
        <v>41305</v>
      </c>
      <c r="J75" s="1" t="s">
        <v>632</v>
      </c>
      <c r="K75" s="1" t="s">
        <v>633</v>
      </c>
      <c r="L75" s="2">
        <v>41305</v>
      </c>
      <c r="M75" s="50">
        <v>2000</v>
      </c>
      <c r="O75" s="3">
        <v>12689.76</v>
      </c>
      <c r="X75" s="2">
        <v>41185</v>
      </c>
      <c r="Y75" s="1" t="s">
        <v>410</v>
      </c>
      <c r="Z75" s="1" t="s">
        <v>411</v>
      </c>
      <c r="AA75" s="2">
        <v>41185</v>
      </c>
      <c r="AB75" s="3">
        <v>6895</v>
      </c>
      <c r="AD75" s="3">
        <v>28350.12</v>
      </c>
    </row>
    <row r="76" spans="9:30">
      <c r="I76" s="2">
        <v>41305</v>
      </c>
      <c r="J76" s="1" t="s">
        <v>624</v>
      </c>
      <c r="K76" s="1" t="s">
        <v>634</v>
      </c>
      <c r="L76" s="2">
        <v>41306</v>
      </c>
      <c r="M76" s="50">
        <v>1816</v>
      </c>
      <c r="O76" s="3">
        <v>10873.76</v>
      </c>
      <c r="X76" s="2">
        <v>41185</v>
      </c>
      <c r="Y76" s="1" t="s">
        <v>410</v>
      </c>
      <c r="Z76" s="1" t="s">
        <v>412</v>
      </c>
      <c r="AA76" s="2">
        <v>41185</v>
      </c>
      <c r="AB76" s="3">
        <v>3850</v>
      </c>
      <c r="AD76" s="3">
        <v>24500.12</v>
      </c>
    </row>
    <row r="77" spans="9:30">
      <c r="I77" s="2"/>
      <c r="J77" s="1" t="s">
        <v>479</v>
      </c>
      <c r="L77" s="2"/>
      <c r="X77" s="2">
        <v>41194</v>
      </c>
      <c r="Y77" s="1" t="s">
        <v>299</v>
      </c>
      <c r="Z77" s="1" t="s">
        <v>413</v>
      </c>
      <c r="AA77" s="2">
        <v>41194</v>
      </c>
      <c r="AB77" s="3">
        <v>2000</v>
      </c>
      <c r="AD77" s="3">
        <v>22500.12</v>
      </c>
    </row>
    <row r="78" spans="9:30">
      <c r="I78" s="2">
        <v>41313</v>
      </c>
      <c r="J78" s="1" t="s">
        <v>580</v>
      </c>
      <c r="K78" s="1" t="s">
        <v>635</v>
      </c>
      <c r="L78" s="2">
        <v>41313</v>
      </c>
      <c r="M78" s="50">
        <v>5000</v>
      </c>
      <c r="O78" s="3">
        <v>5873.76</v>
      </c>
      <c r="X78" s="2">
        <v>41194</v>
      </c>
      <c r="Y78" s="1" t="s">
        <v>348</v>
      </c>
      <c r="Z78" s="1" t="s">
        <v>414</v>
      </c>
      <c r="AA78" s="2">
        <v>41195</v>
      </c>
      <c r="AB78" s="3">
        <v>1761</v>
      </c>
      <c r="AD78" s="3">
        <v>20739.12</v>
      </c>
    </row>
    <row r="79" spans="9:30">
      <c r="I79" s="26">
        <v>41313</v>
      </c>
      <c r="J79" s="27" t="s">
        <v>587</v>
      </c>
      <c r="K79" s="27" t="s">
        <v>636</v>
      </c>
      <c r="L79" s="26">
        <v>41313</v>
      </c>
      <c r="M79" s="51"/>
      <c r="N79" s="51">
        <v>15000</v>
      </c>
      <c r="O79" s="28">
        <v>20873.759999999998</v>
      </c>
      <c r="X79" s="2">
        <v>41198</v>
      </c>
      <c r="Y79" s="1" t="s">
        <v>346</v>
      </c>
      <c r="Z79" s="1" t="s">
        <v>415</v>
      </c>
      <c r="AA79" s="2">
        <v>41198</v>
      </c>
      <c r="AB79" s="3">
        <v>1076</v>
      </c>
      <c r="AD79" s="3">
        <v>19663.12</v>
      </c>
    </row>
    <row r="80" spans="9:30">
      <c r="I80" s="2">
        <v>41315</v>
      </c>
      <c r="J80" s="1" t="s">
        <v>637</v>
      </c>
      <c r="K80" s="1" t="s">
        <v>638</v>
      </c>
      <c r="L80" s="2">
        <v>41315</v>
      </c>
      <c r="M80" s="50">
        <v>245</v>
      </c>
      <c r="O80" s="3">
        <v>20628.759999999998</v>
      </c>
      <c r="X80" s="2">
        <v>41214</v>
      </c>
      <c r="Y80" s="1" t="s">
        <v>416</v>
      </c>
      <c r="Z80" s="1" t="s">
        <v>417</v>
      </c>
      <c r="AA80" s="2">
        <v>41214</v>
      </c>
      <c r="AB80" s="3">
        <v>7200</v>
      </c>
      <c r="AD80" s="3">
        <v>12463.12</v>
      </c>
    </row>
    <row r="81" spans="9:30">
      <c r="I81" s="2">
        <v>41319</v>
      </c>
      <c r="J81" s="1" t="s">
        <v>639</v>
      </c>
      <c r="K81" s="1" t="s">
        <v>640</v>
      </c>
      <c r="L81" s="2">
        <v>41319</v>
      </c>
      <c r="M81" s="50">
        <v>549</v>
      </c>
      <c r="O81" s="3">
        <v>20079.759999999998</v>
      </c>
      <c r="X81" s="2">
        <v>41214</v>
      </c>
      <c r="Y81" s="1" t="s">
        <v>418</v>
      </c>
      <c r="Z81" s="1" t="s">
        <v>419</v>
      </c>
      <c r="AA81" s="2">
        <v>41215</v>
      </c>
      <c r="AB81" s="3">
        <v>3000</v>
      </c>
      <c r="AD81" s="3">
        <v>9463.1200000000008</v>
      </c>
    </row>
    <row r="82" spans="9:30">
      <c r="I82" s="2"/>
      <c r="J82" s="1" t="s">
        <v>449</v>
      </c>
      <c r="L82" s="2"/>
      <c r="X82" s="2">
        <v>41234</v>
      </c>
      <c r="Y82" s="1" t="s">
        <v>420</v>
      </c>
      <c r="Z82" s="1" t="s">
        <v>407</v>
      </c>
      <c r="AA82" s="2">
        <v>41234</v>
      </c>
      <c r="AC82" s="3">
        <v>125408</v>
      </c>
      <c r="AD82" s="3">
        <v>134871.12</v>
      </c>
    </row>
    <row r="83" spans="9:30">
      <c r="I83" s="2">
        <v>41326</v>
      </c>
      <c r="J83" s="1" t="s">
        <v>624</v>
      </c>
      <c r="K83" s="1" t="s">
        <v>641</v>
      </c>
      <c r="L83" s="2">
        <v>41327</v>
      </c>
      <c r="M83" s="50">
        <v>1464</v>
      </c>
      <c r="O83" s="3">
        <v>18615.759999999998</v>
      </c>
      <c r="X83" s="2">
        <v>41241</v>
      </c>
      <c r="Y83" s="1" t="s">
        <v>344</v>
      </c>
      <c r="Z83" s="1" t="s">
        <v>421</v>
      </c>
      <c r="AA83" s="2">
        <v>41241</v>
      </c>
      <c r="AB83" s="1">
        <v>703</v>
      </c>
      <c r="AD83" s="3">
        <v>134168.12</v>
      </c>
    </row>
    <row r="84" spans="9:30">
      <c r="I84" s="2"/>
      <c r="J84" s="1" t="s">
        <v>479</v>
      </c>
      <c r="L84" s="2"/>
      <c r="X84" s="2">
        <v>41242</v>
      </c>
      <c r="Y84" s="1" t="s">
        <v>348</v>
      </c>
      <c r="Z84" s="1" t="s">
        <v>422</v>
      </c>
      <c r="AA84" s="2">
        <v>41242</v>
      </c>
      <c r="AB84" s="1">
        <v>367</v>
      </c>
      <c r="AD84" s="3">
        <v>133801.12</v>
      </c>
    </row>
    <row r="85" spans="9:30">
      <c r="I85" s="2">
        <v>41330</v>
      </c>
      <c r="J85" s="1" t="s">
        <v>629</v>
      </c>
      <c r="K85" s="1" t="s">
        <v>642</v>
      </c>
      <c r="L85" s="2">
        <v>41330</v>
      </c>
      <c r="M85" s="50">
        <v>400</v>
      </c>
      <c r="O85" s="3">
        <v>18215.759999999998</v>
      </c>
      <c r="X85" s="2">
        <v>41246</v>
      </c>
      <c r="Y85" s="1" t="s">
        <v>348</v>
      </c>
      <c r="Z85" s="1" t="s">
        <v>423</v>
      </c>
      <c r="AA85" s="2">
        <v>41247</v>
      </c>
      <c r="AB85" s="3">
        <v>2579</v>
      </c>
      <c r="AD85" s="3">
        <v>131222.12</v>
      </c>
    </row>
    <row r="86" spans="9:30">
      <c r="I86" s="2"/>
      <c r="J86" s="1" t="s">
        <v>449</v>
      </c>
      <c r="L86" s="2"/>
      <c r="X86" s="2">
        <v>41246</v>
      </c>
      <c r="Y86" s="1" t="s">
        <v>303</v>
      </c>
      <c r="Z86" s="1" t="s">
        <v>424</v>
      </c>
      <c r="AA86" s="2">
        <v>41246</v>
      </c>
      <c r="AB86" s="3">
        <v>5000</v>
      </c>
      <c r="AD86" s="3">
        <v>126222.12</v>
      </c>
    </row>
    <row r="87" spans="9:30">
      <c r="I87" s="2">
        <v>41330</v>
      </c>
      <c r="J87" s="1" t="s">
        <v>643</v>
      </c>
      <c r="K87" s="1" t="s">
        <v>644</v>
      </c>
      <c r="L87" s="2">
        <v>41330</v>
      </c>
      <c r="M87" s="50">
        <v>785</v>
      </c>
      <c r="O87" s="3">
        <v>17430.759999999998</v>
      </c>
      <c r="X87" s="2">
        <v>41249</v>
      </c>
      <c r="Y87" s="1" t="s">
        <v>425</v>
      </c>
      <c r="Z87" s="1" t="s">
        <v>426</v>
      </c>
      <c r="AA87" s="2">
        <v>41249</v>
      </c>
      <c r="AB87" s="3">
        <v>1229</v>
      </c>
      <c r="AD87" s="3">
        <v>124993.12</v>
      </c>
    </row>
    <row r="88" spans="9:30">
      <c r="I88" s="2"/>
      <c r="J88" s="1" t="s">
        <v>449</v>
      </c>
      <c r="L88" s="2"/>
      <c r="X88" s="2">
        <v>41253</v>
      </c>
      <c r="Y88" s="1" t="s">
        <v>427</v>
      </c>
      <c r="Z88" s="1" t="s">
        <v>407</v>
      </c>
      <c r="AA88" s="2">
        <v>41253</v>
      </c>
      <c r="AB88" s="3">
        <v>100000</v>
      </c>
      <c r="AD88" s="3">
        <v>24993.119999999999</v>
      </c>
    </row>
    <row r="89" spans="9:30">
      <c r="I89" s="2">
        <v>41333</v>
      </c>
      <c r="J89" s="1" t="s">
        <v>580</v>
      </c>
      <c r="K89" s="1" t="s">
        <v>645</v>
      </c>
      <c r="L89" s="2">
        <v>41334</v>
      </c>
      <c r="M89" s="50">
        <v>5000</v>
      </c>
      <c r="O89" s="3">
        <v>12430.76</v>
      </c>
      <c r="X89" s="2">
        <v>41255</v>
      </c>
      <c r="Y89" s="1" t="s">
        <v>428</v>
      </c>
      <c r="Z89" s="1" t="s">
        <v>332</v>
      </c>
      <c r="AA89" s="2">
        <v>41255</v>
      </c>
      <c r="AB89" s="3">
        <v>12000</v>
      </c>
      <c r="AD89" s="3">
        <v>12993.12</v>
      </c>
    </row>
    <row r="90" spans="9:30">
      <c r="I90" s="2">
        <v>41335</v>
      </c>
      <c r="J90" s="1" t="s">
        <v>646</v>
      </c>
      <c r="K90" s="1" t="s">
        <v>647</v>
      </c>
      <c r="L90" s="2">
        <v>41335</v>
      </c>
      <c r="M90" s="50">
        <v>433.7</v>
      </c>
      <c r="O90" s="3">
        <v>11997.06</v>
      </c>
      <c r="X90" s="2">
        <v>41255</v>
      </c>
      <c r="Y90" s="1" t="s">
        <v>289</v>
      </c>
      <c r="Z90" s="1" t="s">
        <v>429</v>
      </c>
      <c r="AA90" s="2">
        <v>41256</v>
      </c>
      <c r="AB90" s="3">
        <v>2000</v>
      </c>
      <c r="AD90" s="3">
        <v>10993.12</v>
      </c>
    </row>
    <row r="91" spans="9:30">
      <c r="I91" s="2">
        <v>41337</v>
      </c>
      <c r="J91" s="1" t="s">
        <v>602</v>
      </c>
      <c r="K91" s="1" t="s">
        <v>648</v>
      </c>
      <c r="L91" s="2">
        <v>41337</v>
      </c>
      <c r="M91" s="50">
        <v>1396</v>
      </c>
      <c r="O91" s="3">
        <v>10601.06</v>
      </c>
      <c r="X91" s="2">
        <v>41270</v>
      </c>
      <c r="Y91" s="1" t="s">
        <v>430</v>
      </c>
      <c r="Z91" s="1" t="s">
        <v>431</v>
      </c>
      <c r="AA91" s="2">
        <v>41270</v>
      </c>
      <c r="AC91" s="3">
        <v>21000</v>
      </c>
      <c r="AD91" s="3">
        <v>31993.119999999999</v>
      </c>
    </row>
    <row r="92" spans="9:30">
      <c r="I92" s="2"/>
      <c r="J92" s="1" t="s">
        <v>449</v>
      </c>
      <c r="L92" s="2"/>
      <c r="Y92" s="1" t="s">
        <v>432</v>
      </c>
    </row>
    <row r="93" spans="9:30">
      <c r="I93" s="26">
        <v>41351</v>
      </c>
      <c r="J93" s="27" t="s">
        <v>587</v>
      </c>
      <c r="K93" s="27" t="s">
        <v>649</v>
      </c>
      <c r="L93" s="26">
        <v>41351</v>
      </c>
      <c r="M93" s="51"/>
      <c r="N93" s="51">
        <v>40000</v>
      </c>
      <c r="O93" s="28">
        <v>50601.06</v>
      </c>
      <c r="X93" s="2">
        <v>41270</v>
      </c>
      <c r="Y93" s="1" t="s">
        <v>433</v>
      </c>
      <c r="Z93" s="1" t="s">
        <v>434</v>
      </c>
      <c r="AA93" s="2">
        <v>41270</v>
      </c>
      <c r="AB93" s="3">
        <v>21000</v>
      </c>
      <c r="AD93" s="3">
        <v>10993.12</v>
      </c>
    </row>
    <row r="94" spans="9:30">
      <c r="I94" s="2">
        <v>41351</v>
      </c>
      <c r="J94" s="1" t="s">
        <v>650</v>
      </c>
      <c r="K94" s="1" t="s">
        <v>651</v>
      </c>
      <c r="L94" s="2">
        <v>41351</v>
      </c>
      <c r="M94" s="50">
        <v>5000</v>
      </c>
      <c r="O94" s="3">
        <v>45601.06</v>
      </c>
      <c r="X94" s="2">
        <v>41278</v>
      </c>
      <c r="Y94" s="1" t="s">
        <v>435</v>
      </c>
      <c r="Z94" s="1" t="s">
        <v>436</v>
      </c>
      <c r="AA94" s="2">
        <v>41278</v>
      </c>
      <c r="AC94" s="3">
        <v>7200</v>
      </c>
      <c r="AD94" s="3">
        <v>18193.12</v>
      </c>
    </row>
    <row r="95" spans="9:30">
      <c r="I95" s="2">
        <v>41355</v>
      </c>
      <c r="J95" s="1" t="s">
        <v>652</v>
      </c>
      <c r="K95" s="1" t="s">
        <v>653</v>
      </c>
      <c r="L95" s="2">
        <v>41355</v>
      </c>
      <c r="M95" s="50">
        <v>2531</v>
      </c>
      <c r="O95" s="3">
        <v>43070.06</v>
      </c>
      <c r="X95" s="2">
        <v>41278</v>
      </c>
      <c r="Y95" s="1" t="s">
        <v>437</v>
      </c>
      <c r="Z95" s="1" t="s">
        <v>438</v>
      </c>
      <c r="AA95" s="2">
        <v>41278</v>
      </c>
      <c r="AB95" s="3">
        <v>2000</v>
      </c>
      <c r="AD95" s="3">
        <v>16193.12</v>
      </c>
    </row>
    <row r="96" spans="9:30">
      <c r="I96" s="2"/>
      <c r="J96" s="1" t="s">
        <v>482</v>
      </c>
      <c r="L96" s="2"/>
      <c r="X96" s="2">
        <v>41279</v>
      </c>
      <c r="Y96" s="1" t="s">
        <v>439</v>
      </c>
      <c r="Z96" s="1" t="s">
        <v>440</v>
      </c>
      <c r="AA96" s="2">
        <v>41279</v>
      </c>
      <c r="AC96" s="3">
        <v>2000</v>
      </c>
      <c r="AD96" s="3">
        <v>18193.12</v>
      </c>
    </row>
    <row r="97" spans="9:30">
      <c r="I97" s="2">
        <v>41360</v>
      </c>
      <c r="J97" s="1" t="s">
        <v>632</v>
      </c>
      <c r="K97" s="1" t="s">
        <v>654</v>
      </c>
      <c r="L97" s="2">
        <v>41360</v>
      </c>
      <c r="M97" s="50">
        <v>3000</v>
      </c>
      <c r="O97" s="3">
        <v>40070.06</v>
      </c>
      <c r="X97" s="2">
        <v>41302</v>
      </c>
      <c r="Y97" s="1" t="s">
        <v>441</v>
      </c>
      <c r="Z97" s="1" t="s">
        <v>442</v>
      </c>
      <c r="AA97" s="2">
        <v>41302</v>
      </c>
      <c r="AB97" s="3">
        <v>7200</v>
      </c>
      <c r="AD97" s="3">
        <v>10993.12</v>
      </c>
    </row>
    <row r="98" spans="9:30">
      <c r="I98" s="2">
        <v>41365</v>
      </c>
      <c r="J98" s="1" t="s">
        <v>446</v>
      </c>
      <c r="K98" s="1" t="s">
        <v>407</v>
      </c>
      <c r="L98" s="2">
        <v>41364</v>
      </c>
      <c r="N98" s="50">
        <v>462</v>
      </c>
      <c r="O98" s="3">
        <v>40532.06</v>
      </c>
      <c r="X98" s="2">
        <v>41353</v>
      </c>
      <c r="Y98" s="1" t="s">
        <v>443</v>
      </c>
      <c r="Z98" s="1" t="s">
        <v>444</v>
      </c>
      <c r="AA98" s="2">
        <v>41353</v>
      </c>
      <c r="AC98" s="3">
        <v>28544</v>
      </c>
      <c r="AD98" s="3">
        <v>39537.120000000003</v>
      </c>
    </row>
    <row r="99" spans="9:30">
      <c r="I99" s="2">
        <v>41366</v>
      </c>
      <c r="J99" s="1" t="s">
        <v>650</v>
      </c>
      <c r="K99" s="1" t="s">
        <v>656</v>
      </c>
      <c r="L99" s="2">
        <v>41367</v>
      </c>
      <c r="M99" s="50">
        <v>4000</v>
      </c>
      <c r="O99" s="3">
        <v>36532.06</v>
      </c>
      <c r="Y99" s="1" t="s">
        <v>445</v>
      </c>
    </row>
    <row r="100" spans="9:30">
      <c r="I100" s="2">
        <v>41368</v>
      </c>
      <c r="J100" s="1" t="s">
        <v>657</v>
      </c>
      <c r="K100" s="1" t="s">
        <v>658</v>
      </c>
      <c r="L100" s="2">
        <v>41369</v>
      </c>
      <c r="M100" s="50">
        <v>5000</v>
      </c>
      <c r="O100" s="3">
        <v>31532.06</v>
      </c>
      <c r="Y100" s="1" t="s">
        <v>444</v>
      </c>
    </row>
    <row r="101" spans="9:30">
      <c r="I101" s="2">
        <v>41372</v>
      </c>
      <c r="J101" s="1" t="s">
        <v>600</v>
      </c>
      <c r="K101" s="1" t="s">
        <v>659</v>
      </c>
      <c r="L101" s="2">
        <v>41372</v>
      </c>
      <c r="M101" s="50">
        <v>202</v>
      </c>
      <c r="O101" s="3">
        <v>31330.06</v>
      </c>
      <c r="X101" s="2">
        <v>41365</v>
      </c>
      <c r="Y101" s="1" t="s">
        <v>446</v>
      </c>
      <c r="Z101" s="1" t="s">
        <v>407</v>
      </c>
      <c r="AA101" s="2">
        <v>41364</v>
      </c>
      <c r="AC101" s="1">
        <v>563</v>
      </c>
      <c r="AD101" s="3">
        <v>40100.120000000003</v>
      </c>
    </row>
    <row r="102" spans="9:30">
      <c r="I102" s="2"/>
      <c r="J102" s="1" t="s">
        <v>449</v>
      </c>
      <c r="L102" s="2"/>
      <c r="X102" s="2">
        <v>41367</v>
      </c>
      <c r="Y102" s="1" t="s">
        <v>447</v>
      </c>
      <c r="Z102" s="1" t="s">
        <v>448</v>
      </c>
      <c r="AA102" s="2">
        <v>41367</v>
      </c>
      <c r="AB102" s="1">
        <v>650</v>
      </c>
      <c r="AD102" s="3">
        <v>39450.120000000003</v>
      </c>
    </row>
    <row r="103" spans="9:30">
      <c r="I103" s="2">
        <v>41375</v>
      </c>
      <c r="J103" s="1" t="s">
        <v>643</v>
      </c>
      <c r="K103" s="1" t="s">
        <v>660</v>
      </c>
      <c r="L103" s="2">
        <v>41375</v>
      </c>
      <c r="M103" s="50">
        <v>397</v>
      </c>
      <c r="O103" s="3">
        <v>30933.06</v>
      </c>
      <c r="Y103" s="1" t="s">
        <v>449</v>
      </c>
    </row>
    <row r="104" spans="9:30">
      <c r="I104" s="2"/>
      <c r="J104" s="1" t="s">
        <v>449</v>
      </c>
      <c r="L104" s="2"/>
      <c r="X104" s="2">
        <v>41367</v>
      </c>
      <c r="Y104" s="1" t="s">
        <v>450</v>
      </c>
      <c r="Z104" s="1" t="s">
        <v>451</v>
      </c>
      <c r="AA104" s="2">
        <v>41367</v>
      </c>
      <c r="AB104" s="1">
        <v>430</v>
      </c>
      <c r="AD104" s="3">
        <v>39020.120000000003</v>
      </c>
    </row>
    <row r="105" spans="9:30">
      <c r="I105" s="2">
        <v>41380</v>
      </c>
      <c r="J105" s="1" t="s">
        <v>650</v>
      </c>
      <c r="K105" s="1" t="s">
        <v>661</v>
      </c>
      <c r="L105" s="2">
        <v>41380</v>
      </c>
      <c r="M105" s="50">
        <v>2000</v>
      </c>
      <c r="O105" s="3">
        <v>28933.06</v>
      </c>
      <c r="Y105" s="1" t="s">
        <v>449</v>
      </c>
    </row>
    <row r="106" spans="9:30">
      <c r="I106" s="2">
        <v>41383</v>
      </c>
      <c r="J106" s="1" t="s">
        <v>662</v>
      </c>
      <c r="K106" s="1" t="s">
        <v>663</v>
      </c>
      <c r="L106" s="2">
        <v>41384</v>
      </c>
      <c r="N106" s="50">
        <v>9000</v>
      </c>
      <c r="O106" s="3">
        <v>37933.06</v>
      </c>
      <c r="X106" s="2">
        <v>41367</v>
      </c>
      <c r="Y106" s="1" t="s">
        <v>452</v>
      </c>
      <c r="Z106" s="1" t="s">
        <v>453</v>
      </c>
      <c r="AA106" s="2">
        <v>41368</v>
      </c>
      <c r="AB106" s="3">
        <v>1500</v>
      </c>
      <c r="AD106" s="3">
        <v>37520.120000000003</v>
      </c>
    </row>
    <row r="107" spans="9:30">
      <c r="I107" s="2">
        <v>41383</v>
      </c>
      <c r="J107" s="1" t="s">
        <v>662</v>
      </c>
      <c r="K107" s="1" t="s">
        <v>664</v>
      </c>
      <c r="L107" s="2">
        <v>41384</v>
      </c>
      <c r="N107" s="50">
        <v>8175</v>
      </c>
      <c r="O107" s="3">
        <v>46108.06</v>
      </c>
      <c r="Y107" s="1" t="s">
        <v>449</v>
      </c>
    </row>
    <row r="108" spans="9:30">
      <c r="I108" s="2">
        <v>41383</v>
      </c>
      <c r="J108" s="1" t="s">
        <v>665</v>
      </c>
      <c r="K108" s="1" t="s">
        <v>666</v>
      </c>
      <c r="L108" s="2">
        <v>41383</v>
      </c>
      <c r="M108" s="50">
        <v>8000</v>
      </c>
      <c r="O108" s="3">
        <v>38108.06</v>
      </c>
      <c r="X108" s="2">
        <v>41383</v>
      </c>
      <c r="Y108" s="1" t="s">
        <v>454</v>
      </c>
      <c r="Z108" s="1" t="s">
        <v>407</v>
      </c>
      <c r="AA108" s="2">
        <v>41383</v>
      </c>
      <c r="AC108" s="3">
        <v>7100</v>
      </c>
      <c r="AD108" s="3">
        <v>44620.12</v>
      </c>
    </row>
    <row r="109" spans="9:30">
      <c r="I109" s="2">
        <v>41386</v>
      </c>
      <c r="J109" s="1" t="s">
        <v>629</v>
      </c>
      <c r="K109" s="1" t="s">
        <v>667</v>
      </c>
      <c r="L109" s="2">
        <v>41386</v>
      </c>
      <c r="M109" s="50">
        <v>850</v>
      </c>
      <c r="O109" s="3">
        <v>37258.06</v>
      </c>
      <c r="X109" s="2">
        <v>41383</v>
      </c>
      <c r="Y109" s="1" t="s">
        <v>455</v>
      </c>
      <c r="Z109" s="1" t="s">
        <v>407</v>
      </c>
      <c r="AA109" s="2">
        <v>41384</v>
      </c>
      <c r="AB109" s="3">
        <v>7100</v>
      </c>
      <c r="AD109" s="3">
        <v>37520.120000000003</v>
      </c>
    </row>
    <row r="110" spans="9:30">
      <c r="I110" s="2"/>
      <c r="J110" s="1" t="s">
        <v>449</v>
      </c>
      <c r="L110" s="2"/>
      <c r="Y110" s="1" t="s">
        <v>456</v>
      </c>
    </row>
    <row r="111" spans="9:30">
      <c r="I111" s="2">
        <v>41388</v>
      </c>
      <c r="J111" s="1" t="s">
        <v>629</v>
      </c>
      <c r="K111" s="1" t="s">
        <v>668</v>
      </c>
      <c r="L111" s="2">
        <v>41388</v>
      </c>
      <c r="M111" s="50">
        <v>850</v>
      </c>
      <c r="O111" s="3">
        <v>36408.06</v>
      </c>
      <c r="X111" s="2">
        <v>41389</v>
      </c>
      <c r="Y111" s="1" t="s">
        <v>457</v>
      </c>
      <c r="Z111" s="1" t="s">
        <v>458</v>
      </c>
      <c r="AA111" s="2">
        <v>41389</v>
      </c>
      <c r="AB111" s="3">
        <v>7200</v>
      </c>
      <c r="AD111" s="3">
        <v>30320.12</v>
      </c>
    </row>
    <row r="112" spans="9:30">
      <c r="I112" s="2"/>
      <c r="J112" s="1" t="s">
        <v>449</v>
      </c>
      <c r="L112" s="2"/>
      <c r="X112" s="2">
        <v>41389</v>
      </c>
      <c r="Y112" s="1" t="s">
        <v>459</v>
      </c>
      <c r="Z112" s="1" t="s">
        <v>458</v>
      </c>
      <c r="AA112" s="2">
        <v>41389</v>
      </c>
      <c r="AC112" s="3">
        <v>7200</v>
      </c>
      <c r="AD112" s="3">
        <v>37520.120000000003</v>
      </c>
    </row>
    <row r="113" spans="9:30">
      <c r="I113" s="2">
        <v>41393</v>
      </c>
      <c r="J113" s="1" t="s">
        <v>669</v>
      </c>
      <c r="K113" s="1" t="s">
        <v>670</v>
      </c>
      <c r="L113" s="2">
        <v>41393</v>
      </c>
      <c r="M113" s="50">
        <v>5000</v>
      </c>
      <c r="O113" s="3">
        <v>31408.06</v>
      </c>
      <c r="X113" s="2">
        <v>41429</v>
      </c>
      <c r="Y113" s="1" t="s">
        <v>441</v>
      </c>
      <c r="Z113" s="1" t="s">
        <v>460</v>
      </c>
      <c r="AA113" s="2">
        <v>41429</v>
      </c>
      <c r="AB113" s="3">
        <v>7200</v>
      </c>
      <c r="AD113" s="3">
        <v>30320.12</v>
      </c>
    </row>
    <row r="114" spans="9:30">
      <c r="I114" s="2">
        <v>41395</v>
      </c>
      <c r="J114" s="1" t="s">
        <v>598</v>
      </c>
      <c r="K114" s="1" t="s">
        <v>671</v>
      </c>
      <c r="L114" s="2">
        <v>41395</v>
      </c>
      <c r="M114" s="50">
        <v>600</v>
      </c>
      <c r="O114" s="3">
        <v>30808.06</v>
      </c>
      <c r="X114" s="2">
        <v>41434</v>
      </c>
      <c r="Y114" s="1" t="s">
        <v>461</v>
      </c>
      <c r="Z114" s="1" t="s">
        <v>407</v>
      </c>
      <c r="AA114" s="2">
        <v>41434</v>
      </c>
      <c r="AC114" s="3">
        <v>200000</v>
      </c>
      <c r="AD114" s="3">
        <v>230320.12</v>
      </c>
    </row>
    <row r="115" spans="9:30">
      <c r="I115" s="2"/>
      <c r="J115" s="1" t="s">
        <v>449</v>
      </c>
      <c r="L115" s="2"/>
      <c r="X115" s="2">
        <v>41441</v>
      </c>
      <c r="Y115" s="1" t="s">
        <v>462</v>
      </c>
      <c r="Z115" s="1" t="s">
        <v>463</v>
      </c>
      <c r="AA115" s="2">
        <v>41442</v>
      </c>
      <c r="AB115" s="3">
        <v>1785</v>
      </c>
      <c r="AD115" s="3">
        <v>228535.12</v>
      </c>
    </row>
    <row r="116" spans="9:30">
      <c r="I116" s="2">
        <v>41402</v>
      </c>
      <c r="J116" s="1" t="s">
        <v>672</v>
      </c>
      <c r="K116" s="1" t="s">
        <v>673</v>
      </c>
      <c r="L116" s="2">
        <v>41402</v>
      </c>
      <c r="M116" s="50">
        <v>5000</v>
      </c>
      <c r="O116" s="3">
        <v>25808.06</v>
      </c>
      <c r="Y116" s="1" t="s">
        <v>449</v>
      </c>
    </row>
    <row r="117" spans="9:30">
      <c r="I117" s="2">
        <v>41404</v>
      </c>
      <c r="J117" s="1" t="s">
        <v>598</v>
      </c>
      <c r="K117" s="1" t="s">
        <v>674</v>
      </c>
      <c r="L117" s="2">
        <v>41404</v>
      </c>
      <c r="M117" s="50">
        <v>750</v>
      </c>
      <c r="O117" s="3">
        <v>25058.06</v>
      </c>
      <c r="X117" s="2">
        <v>41442</v>
      </c>
      <c r="Y117" s="1" t="s">
        <v>464</v>
      </c>
      <c r="Z117" s="1" t="s">
        <v>465</v>
      </c>
      <c r="AA117" s="2">
        <v>41442</v>
      </c>
      <c r="AB117" s="1">
        <v>376.18</v>
      </c>
      <c r="AD117" s="3">
        <v>228158.94</v>
      </c>
    </row>
    <row r="118" spans="9:30">
      <c r="I118" s="2"/>
      <c r="J118" s="1" t="s">
        <v>449</v>
      </c>
      <c r="L118" s="2"/>
      <c r="X118" s="2">
        <v>41443</v>
      </c>
      <c r="Y118" s="1" t="s">
        <v>466</v>
      </c>
      <c r="Z118" s="1" t="s">
        <v>467</v>
      </c>
      <c r="AA118" s="2">
        <v>41443</v>
      </c>
      <c r="AC118" s="3">
        <v>16490</v>
      </c>
      <c r="AD118" s="3">
        <v>244648.94</v>
      </c>
    </row>
    <row r="119" spans="9:30">
      <c r="I119" s="2">
        <v>41418</v>
      </c>
      <c r="J119" s="1" t="s">
        <v>675</v>
      </c>
      <c r="K119" s="1" t="s">
        <v>676</v>
      </c>
      <c r="L119" s="2">
        <v>41418</v>
      </c>
      <c r="M119" s="50">
        <v>5000</v>
      </c>
      <c r="O119" s="3">
        <v>20058.060000000001</v>
      </c>
      <c r="Y119" s="1" t="s">
        <v>468</v>
      </c>
    </row>
    <row r="120" spans="9:30">
      <c r="I120" s="2">
        <v>41418</v>
      </c>
      <c r="J120" s="1" t="s">
        <v>677</v>
      </c>
      <c r="K120" s="1" t="s">
        <v>678</v>
      </c>
      <c r="L120" s="2">
        <v>41418</v>
      </c>
      <c r="M120" s="50">
        <v>1074.27</v>
      </c>
      <c r="O120" s="3">
        <v>18983.79</v>
      </c>
      <c r="Y120" s="1" t="s">
        <v>469</v>
      </c>
    </row>
    <row r="121" spans="9:30">
      <c r="I121" s="2">
        <v>41429</v>
      </c>
      <c r="J121" s="1" t="s">
        <v>679</v>
      </c>
      <c r="K121" s="1" t="s">
        <v>680</v>
      </c>
      <c r="L121" s="2">
        <v>41429</v>
      </c>
      <c r="N121" s="50">
        <v>297990</v>
      </c>
      <c r="O121" s="3">
        <v>316973.78999999998</v>
      </c>
      <c r="X121" s="2">
        <v>41448</v>
      </c>
      <c r="Y121" s="1" t="s">
        <v>470</v>
      </c>
      <c r="Z121" s="1" t="s">
        <v>471</v>
      </c>
      <c r="AA121" s="2">
        <v>41448</v>
      </c>
      <c r="AB121" s="1">
        <v>333.7</v>
      </c>
      <c r="AD121" s="3">
        <v>244315.24</v>
      </c>
    </row>
    <row r="122" spans="9:30">
      <c r="I122" s="2"/>
      <c r="J122" s="1" t="s">
        <v>681</v>
      </c>
      <c r="L122" s="2"/>
      <c r="X122" s="2">
        <v>41449</v>
      </c>
      <c r="Y122" s="1" t="s">
        <v>472</v>
      </c>
      <c r="Z122" s="1" t="s">
        <v>407</v>
      </c>
      <c r="AA122" s="2">
        <v>41449</v>
      </c>
      <c r="AB122" s="3">
        <v>50000</v>
      </c>
      <c r="AD122" s="3">
        <v>194315.24</v>
      </c>
    </row>
    <row r="123" spans="9:30">
      <c r="I123" s="2"/>
      <c r="J123" s="1" t="s">
        <v>682</v>
      </c>
      <c r="L123" s="2"/>
      <c r="Y123" s="1" t="s">
        <v>473</v>
      </c>
    </row>
    <row r="124" spans="9:30">
      <c r="I124" s="26">
        <v>41431</v>
      </c>
      <c r="J124" s="27" t="s">
        <v>683</v>
      </c>
      <c r="K124" s="27" t="s">
        <v>684</v>
      </c>
      <c r="L124" s="26">
        <v>41431</v>
      </c>
      <c r="M124" s="51">
        <v>50000</v>
      </c>
      <c r="N124" s="51"/>
      <c r="O124" s="28">
        <v>266973.78999999998</v>
      </c>
      <c r="X124" s="2">
        <v>41450</v>
      </c>
      <c r="Y124" s="1" t="s">
        <v>472</v>
      </c>
      <c r="Z124" s="1" t="s">
        <v>407</v>
      </c>
      <c r="AA124" s="2">
        <v>41451</v>
      </c>
      <c r="AB124" s="3">
        <v>50000</v>
      </c>
      <c r="AD124" s="3">
        <v>144315.24</v>
      </c>
    </row>
    <row r="125" spans="9:30">
      <c r="I125" s="2">
        <v>41433</v>
      </c>
      <c r="J125" s="1" t="s">
        <v>685</v>
      </c>
      <c r="K125" s="1" t="s">
        <v>686</v>
      </c>
      <c r="L125" s="2">
        <v>41433</v>
      </c>
      <c r="M125" s="50">
        <v>50000</v>
      </c>
      <c r="O125" s="3">
        <v>216973.79</v>
      </c>
      <c r="Y125" s="1" t="s">
        <v>474</v>
      </c>
    </row>
    <row r="126" spans="9:30">
      <c r="I126" s="2">
        <v>41434</v>
      </c>
      <c r="J126" s="1" t="s">
        <v>687</v>
      </c>
      <c r="K126" s="1" t="s">
        <v>407</v>
      </c>
      <c r="L126" s="2">
        <v>41434</v>
      </c>
      <c r="M126" s="50">
        <v>200000</v>
      </c>
      <c r="O126" s="3">
        <v>16973.79</v>
      </c>
      <c r="X126" s="2">
        <v>41453</v>
      </c>
      <c r="Y126" s="1" t="s">
        <v>475</v>
      </c>
      <c r="Z126" s="1" t="s">
        <v>476</v>
      </c>
      <c r="AA126" s="2">
        <v>41453</v>
      </c>
      <c r="AB126" s="1">
        <v>636.17999999999995</v>
      </c>
      <c r="AD126" s="3">
        <v>143679.06</v>
      </c>
    </row>
    <row r="127" spans="9:30">
      <c r="I127" s="26">
        <v>41436</v>
      </c>
      <c r="J127" s="27" t="s">
        <v>587</v>
      </c>
      <c r="K127" s="27" t="s">
        <v>688</v>
      </c>
      <c r="L127" s="26">
        <v>41436</v>
      </c>
      <c r="M127" s="51"/>
      <c r="N127" s="51">
        <v>50000</v>
      </c>
      <c r="O127" s="28">
        <v>66973.789999999994</v>
      </c>
      <c r="X127" s="2">
        <v>41456</v>
      </c>
      <c r="Y127" s="1" t="s">
        <v>477</v>
      </c>
      <c r="Z127" s="1" t="s">
        <v>478</v>
      </c>
      <c r="AA127" s="2">
        <v>41457</v>
      </c>
      <c r="AB127" s="1">
        <v>686</v>
      </c>
      <c r="AD127" s="3">
        <v>142993.06</v>
      </c>
    </row>
    <row r="128" spans="9:30">
      <c r="I128" s="2">
        <v>41436</v>
      </c>
      <c r="J128" s="1" t="s">
        <v>685</v>
      </c>
      <c r="K128" s="1" t="s">
        <v>689</v>
      </c>
      <c r="L128" s="2">
        <v>41436</v>
      </c>
      <c r="M128" s="50">
        <v>50000</v>
      </c>
      <c r="O128" s="3">
        <v>16973.79</v>
      </c>
      <c r="Y128" s="1" t="s">
        <v>479</v>
      </c>
    </row>
    <row r="129" spans="9:30">
      <c r="I129" s="2">
        <v>41462</v>
      </c>
      <c r="J129" s="1" t="s">
        <v>589</v>
      </c>
      <c r="K129" s="1" t="s">
        <v>690</v>
      </c>
      <c r="L129" s="2">
        <v>41462</v>
      </c>
      <c r="M129" s="50">
        <v>269</v>
      </c>
      <c r="O129" s="3">
        <v>16704.79</v>
      </c>
      <c r="X129" s="2">
        <v>41461</v>
      </c>
      <c r="Y129" s="1" t="s">
        <v>480</v>
      </c>
      <c r="Z129" s="1" t="s">
        <v>481</v>
      </c>
      <c r="AA129" s="2">
        <v>41461</v>
      </c>
      <c r="AB129" s="1">
        <v>376</v>
      </c>
      <c r="AD129" s="3">
        <v>142617.06</v>
      </c>
    </row>
    <row r="130" spans="9:30">
      <c r="I130" s="2"/>
      <c r="J130" s="1" t="s">
        <v>449</v>
      </c>
      <c r="L130" s="2"/>
      <c r="Y130" s="1" t="s">
        <v>482</v>
      </c>
    </row>
    <row r="131" spans="9:30">
      <c r="I131" s="2">
        <v>41464</v>
      </c>
      <c r="J131" s="1" t="s">
        <v>691</v>
      </c>
      <c r="K131" s="1" t="s">
        <v>692</v>
      </c>
      <c r="L131" s="2">
        <v>41464</v>
      </c>
      <c r="M131" s="50">
        <v>778</v>
      </c>
      <c r="O131" s="3">
        <v>15926.79</v>
      </c>
      <c r="X131" s="2">
        <v>41464</v>
      </c>
      <c r="Y131" s="1" t="s">
        <v>483</v>
      </c>
      <c r="Z131" s="1" t="s">
        <v>484</v>
      </c>
      <c r="AA131" s="2">
        <v>41464</v>
      </c>
      <c r="AB131" s="3">
        <v>2950</v>
      </c>
      <c r="AD131" s="3">
        <v>139667.06</v>
      </c>
    </row>
    <row r="132" spans="9:30">
      <c r="I132" s="2"/>
      <c r="J132" s="1" t="s">
        <v>593</v>
      </c>
      <c r="L132" s="2"/>
      <c r="Y132" s="1" t="s">
        <v>485</v>
      </c>
    </row>
    <row r="133" spans="9:30">
      <c r="I133" s="2">
        <v>41484</v>
      </c>
      <c r="J133" s="1" t="s">
        <v>675</v>
      </c>
      <c r="K133" s="1" t="s">
        <v>693</v>
      </c>
      <c r="L133" s="2">
        <v>41485</v>
      </c>
      <c r="M133" s="50">
        <v>2000</v>
      </c>
      <c r="O133" s="3">
        <v>13926.79</v>
      </c>
      <c r="X133" s="2">
        <v>41468</v>
      </c>
      <c r="Y133" s="1" t="s">
        <v>486</v>
      </c>
      <c r="Z133" s="1" t="s">
        <v>487</v>
      </c>
      <c r="AA133" s="2">
        <v>41468</v>
      </c>
      <c r="AB133" s="3">
        <v>2500</v>
      </c>
      <c r="AD133" s="3">
        <v>137167.06</v>
      </c>
    </row>
    <row r="134" spans="9:30">
      <c r="I134" s="2">
        <v>41485</v>
      </c>
      <c r="J134" s="1" t="s">
        <v>694</v>
      </c>
      <c r="K134" s="1" t="s">
        <v>695</v>
      </c>
      <c r="L134" s="2">
        <v>41485</v>
      </c>
      <c r="M134" s="50">
        <v>336.18</v>
      </c>
      <c r="O134" s="3">
        <v>13590.61</v>
      </c>
      <c r="Y134" s="1" t="s">
        <v>449</v>
      </c>
    </row>
    <row r="135" spans="9:30">
      <c r="I135" s="2">
        <v>41489</v>
      </c>
      <c r="J135" s="1" t="s">
        <v>696</v>
      </c>
      <c r="K135" s="1" t="s">
        <v>697</v>
      </c>
      <c r="L135" s="2">
        <v>41489</v>
      </c>
      <c r="M135" s="50">
        <v>2895</v>
      </c>
      <c r="O135" s="3">
        <v>10695.61</v>
      </c>
      <c r="X135" s="2">
        <v>41475</v>
      </c>
      <c r="Y135" s="1" t="s">
        <v>488</v>
      </c>
      <c r="Z135" s="1" t="s">
        <v>489</v>
      </c>
      <c r="AA135" s="2">
        <v>41475</v>
      </c>
      <c r="AB135" s="3">
        <v>1575</v>
      </c>
      <c r="AD135" s="3">
        <v>135592.06</v>
      </c>
    </row>
    <row r="136" spans="9:30">
      <c r="I136" s="2">
        <v>41490</v>
      </c>
      <c r="J136" s="1" t="s">
        <v>698</v>
      </c>
      <c r="K136" s="1" t="s">
        <v>699</v>
      </c>
      <c r="L136" s="2">
        <v>41490</v>
      </c>
      <c r="M136" s="50">
        <v>3522</v>
      </c>
      <c r="O136" s="3">
        <v>7173.61</v>
      </c>
      <c r="AB136" s="1" t="s">
        <v>490</v>
      </c>
      <c r="AC136" s="1" t="s">
        <v>491</v>
      </c>
    </row>
    <row r="137" spans="9:30">
      <c r="I137" s="2">
        <v>41490</v>
      </c>
      <c r="J137" s="1" t="s">
        <v>675</v>
      </c>
      <c r="K137" s="1" t="s">
        <v>700</v>
      </c>
      <c r="L137" s="2">
        <v>41490</v>
      </c>
      <c r="M137" s="50">
        <v>3000</v>
      </c>
      <c r="O137" s="3">
        <v>4173.6099999999997</v>
      </c>
    </row>
    <row r="138" spans="9:30">
      <c r="I138" s="26">
        <v>41490</v>
      </c>
      <c r="J138" s="27" t="s">
        <v>587</v>
      </c>
      <c r="K138" s="27" t="s">
        <v>701</v>
      </c>
      <c r="L138" s="26">
        <v>41490</v>
      </c>
      <c r="M138" s="51"/>
      <c r="N138" s="51">
        <v>20000</v>
      </c>
      <c r="O138" s="28">
        <v>24173.61</v>
      </c>
    </row>
    <row r="139" spans="9:30">
      <c r="I139" s="2">
        <v>41495</v>
      </c>
      <c r="J139" s="1" t="s">
        <v>702</v>
      </c>
      <c r="K139" s="1" t="s">
        <v>703</v>
      </c>
      <c r="L139" s="2">
        <v>41496</v>
      </c>
      <c r="M139" s="50">
        <v>1499</v>
      </c>
      <c r="O139" s="3">
        <v>22674.61</v>
      </c>
    </row>
    <row r="140" spans="9:30">
      <c r="I140" s="2">
        <v>41496</v>
      </c>
      <c r="J140" s="1" t="s">
        <v>704</v>
      </c>
      <c r="K140" s="1" t="s">
        <v>407</v>
      </c>
      <c r="L140" s="2">
        <v>41496</v>
      </c>
      <c r="N140" s="50">
        <v>49000</v>
      </c>
      <c r="O140" s="3">
        <v>71674.61</v>
      </c>
    </row>
    <row r="141" spans="9:30">
      <c r="I141" s="2">
        <v>41499</v>
      </c>
      <c r="J141" s="1" t="s">
        <v>704</v>
      </c>
      <c r="K141" s="1" t="s">
        <v>407</v>
      </c>
      <c r="L141" s="2">
        <v>41499</v>
      </c>
      <c r="N141" s="50">
        <v>31000</v>
      </c>
      <c r="O141" s="3">
        <v>102674.61</v>
      </c>
    </row>
    <row r="142" spans="9:30">
      <c r="I142" s="2">
        <v>41499</v>
      </c>
      <c r="J142" s="1" t="s">
        <v>705</v>
      </c>
      <c r="K142" s="1" t="s">
        <v>706</v>
      </c>
      <c r="L142" s="2">
        <v>41499</v>
      </c>
      <c r="M142" s="50">
        <v>344.94</v>
      </c>
      <c r="O142" s="3">
        <v>102329.67</v>
      </c>
    </row>
    <row r="143" spans="9:30">
      <c r="I143" s="26">
        <v>41501</v>
      </c>
      <c r="J143" s="27" t="s">
        <v>707</v>
      </c>
      <c r="K143" s="27" t="s">
        <v>708</v>
      </c>
      <c r="L143" s="26">
        <v>41501</v>
      </c>
      <c r="M143" s="51">
        <v>5000</v>
      </c>
      <c r="N143" s="51"/>
      <c r="O143" s="28">
        <v>97329.67</v>
      </c>
    </row>
    <row r="144" spans="9:30">
      <c r="I144" s="2">
        <v>41502</v>
      </c>
      <c r="J144" s="1" t="s">
        <v>709</v>
      </c>
      <c r="K144" s="1" t="s">
        <v>710</v>
      </c>
      <c r="L144" s="2">
        <v>41502</v>
      </c>
      <c r="M144" s="50">
        <v>456.18</v>
      </c>
      <c r="O144" s="3">
        <v>96873.49</v>
      </c>
    </row>
    <row r="145" spans="9:15">
      <c r="I145" s="2">
        <v>41502</v>
      </c>
      <c r="J145" s="1" t="s">
        <v>662</v>
      </c>
      <c r="K145" s="1" t="s">
        <v>711</v>
      </c>
      <c r="L145" s="2">
        <v>41503</v>
      </c>
      <c r="N145" s="50">
        <v>84</v>
      </c>
      <c r="O145" s="3">
        <v>96957.49</v>
      </c>
    </row>
    <row r="146" spans="9:15">
      <c r="I146" s="2">
        <v>41502</v>
      </c>
      <c r="J146" s="1" t="s">
        <v>662</v>
      </c>
      <c r="K146" s="1" t="s">
        <v>712</v>
      </c>
      <c r="L146" s="2">
        <v>41503</v>
      </c>
      <c r="N146" s="50">
        <v>531</v>
      </c>
      <c r="O146" s="3">
        <v>97488.49</v>
      </c>
    </row>
    <row r="147" spans="9:15">
      <c r="I147" s="2">
        <v>41502</v>
      </c>
      <c r="J147" s="1" t="s">
        <v>662</v>
      </c>
      <c r="K147" s="1" t="s">
        <v>713</v>
      </c>
      <c r="L147" s="2">
        <v>41503</v>
      </c>
      <c r="N147" s="50">
        <v>65</v>
      </c>
      <c r="O147" s="3">
        <v>97553.49</v>
      </c>
    </row>
    <row r="148" spans="9:15">
      <c r="I148" s="2">
        <v>41502</v>
      </c>
      <c r="J148" s="1" t="s">
        <v>455</v>
      </c>
      <c r="K148" s="1" t="s">
        <v>407</v>
      </c>
      <c r="L148" s="2">
        <v>41502</v>
      </c>
      <c r="M148" s="50">
        <v>30000</v>
      </c>
      <c r="O148" s="3">
        <v>67553.490000000005</v>
      </c>
    </row>
    <row r="149" spans="9:15">
      <c r="I149" s="2"/>
      <c r="J149" s="1" t="s">
        <v>714</v>
      </c>
      <c r="L149" s="2"/>
    </row>
    <row r="150" spans="9:15">
      <c r="I150" s="2">
        <v>41502</v>
      </c>
      <c r="J150" s="1" t="s">
        <v>704</v>
      </c>
      <c r="K150" s="1" t="s">
        <v>407</v>
      </c>
      <c r="L150" s="2">
        <v>41502</v>
      </c>
      <c r="N150" s="50">
        <v>20000</v>
      </c>
      <c r="O150" s="3">
        <v>87553.49</v>
      </c>
    </row>
    <row r="151" spans="9:15">
      <c r="I151" s="2">
        <v>41503</v>
      </c>
      <c r="J151" s="1" t="s">
        <v>715</v>
      </c>
      <c r="K151" s="1" t="s">
        <v>716</v>
      </c>
      <c r="L151" s="2">
        <v>41503</v>
      </c>
      <c r="M151" s="50">
        <v>636.17999999999995</v>
      </c>
      <c r="O151" s="3">
        <v>86917.31</v>
      </c>
    </row>
    <row r="152" spans="9:15">
      <c r="I152" s="2">
        <v>41505</v>
      </c>
      <c r="J152" s="1" t="s">
        <v>717</v>
      </c>
      <c r="K152" s="1" t="s">
        <v>718</v>
      </c>
      <c r="L152" s="2">
        <v>41505</v>
      </c>
      <c r="M152" s="50">
        <v>1675</v>
      </c>
      <c r="O152" s="3">
        <v>85242.31</v>
      </c>
    </row>
    <row r="153" spans="9:15">
      <c r="I153" s="2">
        <v>41506</v>
      </c>
      <c r="J153" s="1" t="s">
        <v>602</v>
      </c>
      <c r="K153" s="1" t="s">
        <v>719</v>
      </c>
      <c r="L153" s="2">
        <v>41506</v>
      </c>
      <c r="M153" s="50">
        <v>3295.5</v>
      </c>
      <c r="O153" s="3">
        <v>81946.81</v>
      </c>
    </row>
    <row r="154" spans="9:15">
      <c r="I154" s="2"/>
      <c r="J154" s="1" t="s">
        <v>449</v>
      </c>
      <c r="L154" s="2"/>
    </row>
    <row r="155" spans="9:15">
      <c r="I155" s="2">
        <v>41507</v>
      </c>
      <c r="J155" s="1" t="s">
        <v>720</v>
      </c>
      <c r="K155" s="1" t="s">
        <v>407</v>
      </c>
      <c r="L155" s="2">
        <v>41507</v>
      </c>
      <c r="M155" s="50">
        <v>112.36</v>
      </c>
      <c r="O155" s="3">
        <v>81834.45</v>
      </c>
    </row>
    <row r="156" spans="9:15">
      <c r="I156" s="2">
        <v>41507</v>
      </c>
      <c r="J156" s="1" t="s">
        <v>662</v>
      </c>
      <c r="K156" s="1" t="s">
        <v>721</v>
      </c>
      <c r="L156" s="2">
        <v>41509</v>
      </c>
      <c r="N156" s="50">
        <v>3350</v>
      </c>
      <c r="O156" s="3">
        <v>85184.45</v>
      </c>
    </row>
    <row r="157" spans="9:15">
      <c r="I157" s="2">
        <v>41507</v>
      </c>
      <c r="J157" s="1" t="s">
        <v>722</v>
      </c>
      <c r="K157" s="1" t="s">
        <v>723</v>
      </c>
      <c r="L157" s="2">
        <v>41507</v>
      </c>
      <c r="M157" s="50">
        <v>3794</v>
      </c>
      <c r="O157" s="3">
        <v>81390.45</v>
      </c>
    </row>
    <row r="158" spans="9:15">
      <c r="I158" s="2"/>
      <c r="J158" s="1" t="s">
        <v>586</v>
      </c>
      <c r="L158" s="2"/>
    </row>
    <row r="159" spans="9:15">
      <c r="I159" s="2">
        <v>41507</v>
      </c>
      <c r="J159" s="1" t="s">
        <v>722</v>
      </c>
      <c r="K159" s="1" t="s">
        <v>724</v>
      </c>
      <c r="L159" s="2">
        <v>41507</v>
      </c>
      <c r="M159" s="50">
        <v>2000</v>
      </c>
      <c r="O159" s="3">
        <v>79390.45</v>
      </c>
    </row>
    <row r="160" spans="9:15">
      <c r="I160" s="2"/>
      <c r="J160" s="1" t="s">
        <v>586</v>
      </c>
      <c r="L160" s="2"/>
    </row>
    <row r="161" spans="9:15">
      <c r="I161" s="2">
        <v>41516</v>
      </c>
      <c r="J161" s="1" t="s">
        <v>725</v>
      </c>
      <c r="K161" s="1" t="s">
        <v>726</v>
      </c>
      <c r="L161" s="2">
        <v>41517</v>
      </c>
      <c r="M161" s="50">
        <v>1933</v>
      </c>
      <c r="O161" s="3">
        <v>77457.45</v>
      </c>
    </row>
    <row r="162" spans="9:15">
      <c r="I162" s="2"/>
      <c r="J162" s="1" t="s">
        <v>449</v>
      </c>
      <c r="L162" s="2"/>
    </row>
    <row r="163" spans="9:15">
      <c r="I163" s="2">
        <v>41520</v>
      </c>
      <c r="J163" s="1" t="s">
        <v>727</v>
      </c>
      <c r="K163" s="1" t="s">
        <v>728</v>
      </c>
      <c r="L163" s="2">
        <v>41520</v>
      </c>
      <c r="M163" s="50">
        <v>400</v>
      </c>
      <c r="O163" s="3">
        <v>77057.45</v>
      </c>
    </row>
    <row r="164" spans="9:15">
      <c r="I164" s="2">
        <v>41520</v>
      </c>
      <c r="J164" s="1" t="s">
        <v>729</v>
      </c>
      <c r="K164" s="1" t="s">
        <v>407</v>
      </c>
      <c r="L164" s="2">
        <v>41520</v>
      </c>
      <c r="M164" s="50">
        <v>337.08</v>
      </c>
      <c r="O164" s="3">
        <v>76720.37</v>
      </c>
    </row>
    <row r="165" spans="9:15">
      <c r="I165" s="2">
        <v>41520</v>
      </c>
      <c r="J165" s="1" t="s">
        <v>730</v>
      </c>
      <c r="K165" s="1" t="s">
        <v>731</v>
      </c>
      <c r="L165" s="2">
        <v>41520</v>
      </c>
      <c r="M165" s="50">
        <v>416.18</v>
      </c>
      <c r="O165" s="3">
        <v>76304.19</v>
      </c>
    </row>
    <row r="166" spans="9:15">
      <c r="I166" s="2">
        <v>41520</v>
      </c>
      <c r="J166" s="1" t="s">
        <v>732</v>
      </c>
      <c r="K166" s="1" t="s">
        <v>733</v>
      </c>
      <c r="L166" s="2">
        <v>41520</v>
      </c>
      <c r="M166" s="50">
        <v>233.7</v>
      </c>
      <c r="O166" s="3">
        <v>76070.490000000005</v>
      </c>
    </row>
    <row r="167" spans="9:15">
      <c r="I167" s="2">
        <v>41520</v>
      </c>
      <c r="J167" s="1" t="s">
        <v>734</v>
      </c>
      <c r="K167" s="1" t="s">
        <v>735</v>
      </c>
      <c r="L167" s="2">
        <v>41520</v>
      </c>
      <c r="M167" s="50">
        <v>416.18</v>
      </c>
      <c r="O167" s="3">
        <v>75654.31</v>
      </c>
    </row>
    <row r="168" spans="9:15">
      <c r="I168" s="2">
        <v>4995</v>
      </c>
      <c r="J168" s="1" t="s">
        <v>727</v>
      </c>
      <c r="K168" s="1" t="s">
        <v>728</v>
      </c>
      <c r="L168" s="2">
        <v>4995</v>
      </c>
      <c r="M168" s="50">
        <v>400</v>
      </c>
      <c r="O168" s="3">
        <v>77057.45</v>
      </c>
    </row>
    <row r="169" spans="9:15">
      <c r="I169" s="2">
        <v>4995</v>
      </c>
      <c r="J169" s="1" t="s">
        <v>729</v>
      </c>
      <c r="K169" s="1" t="s">
        <v>407</v>
      </c>
      <c r="L169" s="2">
        <v>4995</v>
      </c>
      <c r="M169" s="50">
        <v>337.08</v>
      </c>
      <c r="O169" s="3">
        <v>76720.37</v>
      </c>
    </row>
    <row r="170" spans="9:15">
      <c r="I170" s="2">
        <v>4995</v>
      </c>
      <c r="J170" s="1" t="s">
        <v>862</v>
      </c>
      <c r="K170" s="1" t="s">
        <v>731</v>
      </c>
      <c r="L170" s="2">
        <v>4995</v>
      </c>
      <c r="M170" s="50">
        <v>416.18</v>
      </c>
      <c r="O170" s="3">
        <v>76304.19</v>
      </c>
    </row>
    <row r="171" spans="9:15">
      <c r="I171" s="2">
        <v>4995</v>
      </c>
      <c r="J171" s="1" t="s">
        <v>863</v>
      </c>
      <c r="K171" s="1" t="s">
        <v>733</v>
      </c>
      <c r="L171" s="2">
        <v>4995</v>
      </c>
      <c r="M171" s="50">
        <v>233.7</v>
      </c>
      <c r="O171" s="3">
        <v>76070.490000000005</v>
      </c>
    </row>
    <row r="172" spans="9:15">
      <c r="I172" s="2">
        <v>4995</v>
      </c>
      <c r="J172" s="1" t="s">
        <v>864</v>
      </c>
      <c r="K172" s="1" t="s">
        <v>735</v>
      </c>
      <c r="L172" s="2">
        <v>4995</v>
      </c>
      <c r="M172" s="50">
        <v>416.18</v>
      </c>
      <c r="O172" s="3">
        <v>75654.31</v>
      </c>
    </row>
    <row r="173" spans="9:15">
      <c r="I173" s="2">
        <v>5000</v>
      </c>
      <c r="J173" s="1" t="s">
        <v>865</v>
      </c>
      <c r="K173" s="1" t="s">
        <v>866</v>
      </c>
      <c r="L173" s="2">
        <v>5000</v>
      </c>
      <c r="M173" s="50">
        <v>389</v>
      </c>
      <c r="O173" s="3">
        <v>75265.31</v>
      </c>
    </row>
    <row r="174" spans="9:15">
      <c r="I174" s="2"/>
      <c r="J174" s="1" t="s">
        <v>449</v>
      </c>
      <c r="L174" s="2"/>
      <c r="O174" s="3"/>
    </row>
    <row r="175" spans="9:15">
      <c r="I175" s="2">
        <v>5006</v>
      </c>
      <c r="J175" s="1" t="s">
        <v>632</v>
      </c>
      <c r="K175" s="1" t="s">
        <v>867</v>
      </c>
      <c r="L175" s="2">
        <v>5006</v>
      </c>
      <c r="M175" s="50">
        <v>5000</v>
      </c>
      <c r="O175" s="3">
        <v>70265.31</v>
      </c>
    </row>
    <row r="176" spans="9:15">
      <c r="I176" s="2">
        <v>5007</v>
      </c>
      <c r="J176" s="1" t="s">
        <v>643</v>
      </c>
      <c r="K176" s="1" t="s">
        <v>868</v>
      </c>
      <c r="L176" s="2">
        <v>5007</v>
      </c>
      <c r="M176" s="50">
        <v>26538</v>
      </c>
      <c r="O176" s="3">
        <v>43727.31</v>
      </c>
    </row>
    <row r="177" spans="9:15">
      <c r="I177" s="2"/>
      <c r="J177" s="1" t="s">
        <v>449</v>
      </c>
      <c r="L177" s="2"/>
      <c r="O177" s="3"/>
    </row>
    <row r="178" spans="9:15">
      <c r="I178" s="2">
        <v>5011</v>
      </c>
      <c r="J178" s="1" t="s">
        <v>643</v>
      </c>
      <c r="K178" s="1" t="s">
        <v>869</v>
      </c>
      <c r="L178" s="2">
        <v>5011</v>
      </c>
      <c r="M178" s="50">
        <v>9873</v>
      </c>
      <c r="O178" s="3">
        <v>33854.31</v>
      </c>
    </row>
    <row r="179" spans="9:15">
      <c r="I179" s="2"/>
      <c r="J179" s="1" t="s">
        <v>449</v>
      </c>
      <c r="L179" s="2"/>
      <c r="O179" s="3"/>
    </row>
    <row r="180" spans="9:15">
      <c r="I180" s="2">
        <v>5012</v>
      </c>
      <c r="J180" s="1" t="s">
        <v>643</v>
      </c>
      <c r="K180" s="1" t="s">
        <v>870</v>
      </c>
      <c r="L180" s="2">
        <v>5012</v>
      </c>
      <c r="M180" s="50">
        <v>22990</v>
      </c>
      <c r="O180" s="3">
        <v>10864.31</v>
      </c>
    </row>
    <row r="181" spans="9:15">
      <c r="I181" s="2"/>
      <c r="J181" s="1" t="s">
        <v>449</v>
      </c>
      <c r="L181" s="2"/>
      <c r="O181" s="3"/>
    </row>
    <row r="182" spans="9:15">
      <c r="I182" s="26">
        <v>5015</v>
      </c>
      <c r="J182" s="27" t="s">
        <v>871</v>
      </c>
      <c r="K182" s="27" t="s">
        <v>872</v>
      </c>
      <c r="L182" s="26">
        <v>5015</v>
      </c>
      <c r="M182" s="51"/>
      <c r="N182" s="51">
        <v>25000</v>
      </c>
      <c r="O182" s="28">
        <v>35864.31</v>
      </c>
    </row>
    <row r="183" spans="9:15">
      <c r="I183" s="2"/>
      <c r="J183" s="1" t="s">
        <v>873</v>
      </c>
      <c r="L183" s="2"/>
      <c r="O183" s="3"/>
    </row>
    <row r="184" spans="9:15">
      <c r="I184" s="2">
        <v>5018</v>
      </c>
      <c r="J184" s="1" t="s">
        <v>874</v>
      </c>
      <c r="K184" s="1" t="s">
        <v>875</v>
      </c>
      <c r="L184" s="2">
        <v>5018</v>
      </c>
      <c r="M184" s="50">
        <v>150</v>
      </c>
      <c r="O184" s="3">
        <v>35714.31</v>
      </c>
    </row>
    <row r="185" spans="9:15">
      <c r="I185" s="2">
        <v>5022</v>
      </c>
      <c r="J185" s="1" t="s">
        <v>876</v>
      </c>
      <c r="K185" s="1" t="s">
        <v>407</v>
      </c>
      <c r="L185" s="2">
        <v>5022</v>
      </c>
      <c r="N185" s="50">
        <v>839</v>
      </c>
      <c r="O185" s="3">
        <v>36553.31</v>
      </c>
    </row>
    <row r="186" spans="9:15">
      <c r="I186" s="2">
        <v>5025</v>
      </c>
      <c r="J186" s="1" t="s">
        <v>632</v>
      </c>
      <c r="K186" s="1" t="s">
        <v>877</v>
      </c>
      <c r="L186" s="2">
        <v>5025</v>
      </c>
      <c r="M186" s="50">
        <v>2000</v>
      </c>
      <c r="O186" s="3">
        <v>34553.31</v>
      </c>
    </row>
    <row r="187" spans="9:15">
      <c r="I187" s="2">
        <v>5036</v>
      </c>
      <c r="J187" s="1" t="s">
        <v>629</v>
      </c>
      <c r="K187" s="1" t="s">
        <v>878</v>
      </c>
      <c r="L187" s="2">
        <v>5036</v>
      </c>
      <c r="M187" s="50">
        <v>850</v>
      </c>
      <c r="O187" s="3">
        <v>33703.31</v>
      </c>
    </row>
    <row r="188" spans="9:15">
      <c r="I188" s="2"/>
      <c r="J188" s="1" t="s">
        <v>449</v>
      </c>
      <c r="L188" s="2"/>
      <c r="O188" s="3"/>
    </row>
    <row r="189" spans="9:15">
      <c r="I189" s="2">
        <v>5036</v>
      </c>
      <c r="J189" s="1" t="s">
        <v>879</v>
      </c>
      <c r="K189" s="1" t="s">
        <v>880</v>
      </c>
      <c r="L189" s="2">
        <v>5036</v>
      </c>
      <c r="M189" s="50">
        <v>613</v>
      </c>
      <c r="O189" s="3">
        <v>33090.31</v>
      </c>
    </row>
    <row r="190" spans="9:15">
      <c r="I190" s="2"/>
      <c r="J190" s="1" t="s">
        <v>449</v>
      </c>
      <c r="L190" s="2"/>
      <c r="O190" s="3"/>
    </row>
    <row r="191" spans="9:15">
      <c r="I191" s="2">
        <v>5037</v>
      </c>
      <c r="J191" s="1" t="s">
        <v>881</v>
      </c>
      <c r="K191" s="1" t="s">
        <v>882</v>
      </c>
      <c r="L191" s="2">
        <v>5037</v>
      </c>
      <c r="M191" s="50">
        <v>440</v>
      </c>
      <c r="O191" s="3">
        <v>32650.31</v>
      </c>
    </row>
    <row r="192" spans="9:15">
      <c r="I192" s="2">
        <v>5037</v>
      </c>
      <c r="J192" s="1" t="s">
        <v>883</v>
      </c>
      <c r="K192" s="1" t="s">
        <v>884</v>
      </c>
      <c r="L192" s="2">
        <v>5037</v>
      </c>
      <c r="M192" s="50">
        <v>336.18</v>
      </c>
      <c r="O192" s="3">
        <v>32314.13</v>
      </c>
    </row>
    <row r="193" spans="9:15">
      <c r="I193" s="2">
        <v>5038</v>
      </c>
      <c r="J193" s="1" t="s">
        <v>632</v>
      </c>
      <c r="K193" s="1" t="s">
        <v>885</v>
      </c>
      <c r="L193" s="2">
        <v>5038</v>
      </c>
      <c r="M193" s="50">
        <v>5000</v>
      </c>
      <c r="O193" s="3">
        <v>27314.13</v>
      </c>
    </row>
    <row r="194" spans="9:15">
      <c r="I194" s="2">
        <v>5039</v>
      </c>
      <c r="J194" s="1" t="s">
        <v>662</v>
      </c>
      <c r="K194" s="1" t="s">
        <v>886</v>
      </c>
      <c r="L194" s="2">
        <v>5040</v>
      </c>
      <c r="N194" s="50">
        <v>800</v>
      </c>
      <c r="O194" s="3">
        <v>28114.13</v>
      </c>
    </row>
    <row r="195" spans="9:15">
      <c r="I195" s="2">
        <v>5046</v>
      </c>
      <c r="J195" s="1" t="s">
        <v>887</v>
      </c>
      <c r="K195" s="1" t="s">
        <v>888</v>
      </c>
      <c r="L195" s="2">
        <v>5046</v>
      </c>
      <c r="M195" s="50">
        <v>344.94</v>
      </c>
      <c r="O195" s="3">
        <v>27769.19</v>
      </c>
    </row>
    <row r="196" spans="9:15">
      <c r="I196" s="2">
        <v>5048</v>
      </c>
      <c r="J196" s="1" t="s">
        <v>889</v>
      </c>
      <c r="K196" s="1" t="s">
        <v>890</v>
      </c>
      <c r="L196" s="2">
        <v>5048</v>
      </c>
      <c r="M196" s="50">
        <v>620</v>
      </c>
      <c r="O196" s="3">
        <v>27149.19</v>
      </c>
    </row>
    <row r="197" spans="9:15">
      <c r="I197" s="2">
        <v>5048</v>
      </c>
      <c r="J197" s="1" t="s">
        <v>632</v>
      </c>
      <c r="K197" s="1" t="s">
        <v>891</v>
      </c>
      <c r="L197" s="2">
        <v>5048</v>
      </c>
      <c r="M197" s="50">
        <v>6000</v>
      </c>
      <c r="O197" s="3">
        <v>21149.19</v>
      </c>
    </row>
    <row r="198" spans="9:15">
      <c r="I198" s="2">
        <v>5053</v>
      </c>
      <c r="J198" s="1" t="s">
        <v>892</v>
      </c>
      <c r="K198" s="1" t="s">
        <v>893</v>
      </c>
      <c r="L198" s="2">
        <v>5054</v>
      </c>
      <c r="M198" s="50">
        <v>762</v>
      </c>
      <c r="O198" s="3">
        <v>20387.189999999999</v>
      </c>
    </row>
    <row r="199" spans="9:15">
      <c r="I199" s="2">
        <v>5054</v>
      </c>
      <c r="J199" s="1" t="s">
        <v>580</v>
      </c>
      <c r="K199" s="1" t="s">
        <v>894</v>
      </c>
      <c r="L199" s="2">
        <v>5054</v>
      </c>
      <c r="M199" s="50">
        <v>2000</v>
      </c>
      <c r="O199" s="3">
        <v>18387.189999999999</v>
      </c>
    </row>
    <row r="200" spans="9:15">
      <c r="I200" s="2">
        <v>5059</v>
      </c>
      <c r="J200" s="1" t="s">
        <v>895</v>
      </c>
      <c r="K200" s="1" t="s">
        <v>896</v>
      </c>
      <c r="L200" s="2">
        <v>5059</v>
      </c>
      <c r="M200" s="50">
        <v>1698</v>
      </c>
      <c r="O200" s="3">
        <v>16689.189999999999</v>
      </c>
    </row>
    <row r="201" spans="9:15">
      <c r="I201" s="2"/>
      <c r="J201" s="1" t="s">
        <v>479</v>
      </c>
      <c r="L201" s="2"/>
      <c r="M201" s="52"/>
      <c r="N201" s="52"/>
      <c r="O201" s="53"/>
    </row>
    <row r="202" spans="9:15">
      <c r="I202" s="2">
        <v>5059</v>
      </c>
      <c r="J202" s="1" t="s">
        <v>687</v>
      </c>
      <c r="K202" s="1" t="s">
        <v>407</v>
      </c>
      <c r="L202" s="2">
        <v>5059</v>
      </c>
      <c r="M202" s="52">
        <v>3000</v>
      </c>
      <c r="N202" s="52"/>
      <c r="O202" s="53">
        <v>13689.19</v>
      </c>
    </row>
    <row r="203" spans="9:15">
      <c r="I203" s="2">
        <v>5060</v>
      </c>
      <c r="J203" s="1" t="s">
        <v>662</v>
      </c>
      <c r="K203" s="1" t="s">
        <v>897</v>
      </c>
      <c r="L203" s="2">
        <v>5061</v>
      </c>
      <c r="N203" s="50">
        <v>110</v>
      </c>
      <c r="O203" s="50">
        <v>13799.19</v>
      </c>
    </row>
    <row r="204" spans="9:15">
      <c r="I204" s="2">
        <v>41597</v>
      </c>
      <c r="J204" s="1" t="s">
        <v>898</v>
      </c>
      <c r="K204" s="1" t="s">
        <v>899</v>
      </c>
      <c r="L204" s="2">
        <v>41597</v>
      </c>
      <c r="M204" s="50">
        <v>440</v>
      </c>
      <c r="O204" s="50">
        <v>13359.19</v>
      </c>
    </row>
    <row r="205" spans="9:15">
      <c r="I205" s="2">
        <v>41599</v>
      </c>
      <c r="J205" s="1" t="s">
        <v>900</v>
      </c>
      <c r="K205" s="1" t="s">
        <v>901</v>
      </c>
      <c r="L205" s="2">
        <v>41599</v>
      </c>
      <c r="M205" s="50">
        <v>495</v>
      </c>
      <c r="O205" s="50">
        <v>12864.19</v>
      </c>
    </row>
    <row r="206" spans="9:15">
      <c r="I206" s="2"/>
      <c r="J206" s="1" t="s">
        <v>449</v>
      </c>
      <c r="L206" s="2"/>
      <c r="O206" s="50"/>
    </row>
    <row r="207" spans="9:15">
      <c r="I207" s="26">
        <v>41599</v>
      </c>
      <c r="J207" s="27" t="s">
        <v>587</v>
      </c>
      <c r="K207" s="27" t="s">
        <v>902</v>
      </c>
      <c r="L207" s="26">
        <v>41599</v>
      </c>
      <c r="M207" s="51"/>
      <c r="N207" s="51">
        <v>15000</v>
      </c>
      <c r="O207" s="51">
        <v>27864.19</v>
      </c>
    </row>
    <row r="208" spans="9:15">
      <c r="I208" s="2">
        <v>41605</v>
      </c>
      <c r="J208" s="1" t="s">
        <v>903</v>
      </c>
      <c r="K208" s="1" t="s">
        <v>904</v>
      </c>
      <c r="L208" s="2">
        <v>41605</v>
      </c>
      <c r="M208" s="50">
        <v>1408</v>
      </c>
      <c r="O208" s="50">
        <v>26456.19</v>
      </c>
    </row>
    <row r="209" spans="9:15">
      <c r="I209" s="2">
        <v>41611</v>
      </c>
      <c r="J209" s="1" t="s">
        <v>662</v>
      </c>
      <c r="K209" s="1" t="s">
        <v>905</v>
      </c>
      <c r="L209" s="2">
        <v>41612</v>
      </c>
      <c r="N209" s="50">
        <v>437</v>
      </c>
      <c r="O209" s="50">
        <v>26893.19</v>
      </c>
    </row>
    <row r="210" spans="9:15">
      <c r="I210" s="2">
        <v>41612</v>
      </c>
      <c r="J210" s="1" t="s">
        <v>906</v>
      </c>
      <c r="K210" s="1" t="s">
        <v>907</v>
      </c>
      <c r="L210" s="2">
        <v>41612</v>
      </c>
      <c r="M210" s="50">
        <v>440</v>
      </c>
      <c r="O210" s="50">
        <v>26453.19</v>
      </c>
    </row>
    <row r="211" spans="9:15">
      <c r="I211" s="2">
        <v>41612</v>
      </c>
      <c r="J211" s="1" t="s">
        <v>908</v>
      </c>
      <c r="K211" s="1" t="s">
        <v>909</v>
      </c>
      <c r="L211" s="2">
        <v>41612</v>
      </c>
      <c r="M211" s="50">
        <v>440</v>
      </c>
      <c r="O211" s="50">
        <v>26013.19</v>
      </c>
    </row>
    <row r="212" spans="9:15">
      <c r="I212" s="2">
        <v>41618</v>
      </c>
      <c r="J212" s="1" t="s">
        <v>580</v>
      </c>
      <c r="K212" s="1" t="s">
        <v>910</v>
      </c>
      <c r="L212" s="2">
        <v>41618</v>
      </c>
      <c r="M212" s="50">
        <v>3000</v>
      </c>
      <c r="O212" s="50">
        <v>23013.19</v>
      </c>
    </row>
    <row r="213" spans="9:15">
      <c r="I213" s="2">
        <v>41619</v>
      </c>
      <c r="J213" s="1" t="s">
        <v>911</v>
      </c>
      <c r="K213" s="1" t="s">
        <v>912</v>
      </c>
      <c r="L213" s="2">
        <v>41619</v>
      </c>
      <c r="M213" s="50">
        <v>1250</v>
      </c>
      <c r="O213" s="50">
        <v>21763.19</v>
      </c>
    </row>
    <row r="214" spans="9:15">
      <c r="I214" s="2">
        <v>41627</v>
      </c>
      <c r="J214" s="1" t="s">
        <v>632</v>
      </c>
      <c r="K214" s="1" t="s">
        <v>913</v>
      </c>
      <c r="L214" s="2">
        <v>41628</v>
      </c>
      <c r="M214" s="50">
        <v>2000</v>
      </c>
      <c r="O214" s="50">
        <v>19763.189999999999</v>
      </c>
    </row>
    <row r="215" spans="9:15">
      <c r="I215" s="2">
        <v>41632</v>
      </c>
      <c r="J215" s="1" t="s">
        <v>914</v>
      </c>
      <c r="K215" s="1" t="s">
        <v>915</v>
      </c>
      <c r="L215" s="2">
        <v>41632</v>
      </c>
      <c r="M215" s="50">
        <v>650</v>
      </c>
      <c r="O215" s="50">
        <v>19113.189999999999</v>
      </c>
    </row>
    <row r="216" spans="9:15">
      <c r="I216" s="2">
        <v>41634</v>
      </c>
      <c r="J216" s="1" t="s">
        <v>916</v>
      </c>
      <c r="K216" s="1" t="s">
        <v>917</v>
      </c>
      <c r="L216" s="2">
        <v>41634</v>
      </c>
      <c r="M216" s="50">
        <v>344.94</v>
      </c>
      <c r="O216" s="50">
        <v>18768.25</v>
      </c>
    </row>
    <row r="217" spans="9:15">
      <c r="I217" s="2">
        <v>41637</v>
      </c>
      <c r="J217" s="1" t="s">
        <v>632</v>
      </c>
      <c r="K217" s="1" t="s">
        <v>918</v>
      </c>
      <c r="L217" s="2">
        <v>41637</v>
      </c>
      <c r="M217" s="50">
        <v>2000</v>
      </c>
      <c r="O217" s="50">
        <v>16768.25</v>
      </c>
    </row>
    <row r="218" spans="9:15">
      <c r="I218" s="2">
        <v>41639</v>
      </c>
      <c r="J218" s="1" t="s">
        <v>675</v>
      </c>
      <c r="K218" s="1" t="s">
        <v>919</v>
      </c>
      <c r="L218" s="2">
        <v>41639</v>
      </c>
      <c r="M218" s="50">
        <v>2000</v>
      </c>
      <c r="O218" s="50">
        <v>14768.25</v>
      </c>
    </row>
    <row r="219" spans="9:15">
      <c r="I219" s="2">
        <v>41648</v>
      </c>
      <c r="J219" s="1" t="s">
        <v>920</v>
      </c>
      <c r="K219" s="1" t="s">
        <v>921</v>
      </c>
      <c r="L219" s="2">
        <v>41648</v>
      </c>
      <c r="M219" s="50">
        <v>516.17999999999995</v>
      </c>
      <c r="O219" s="50">
        <v>14252.07</v>
      </c>
    </row>
    <row r="220" spans="9:15">
      <c r="I220" s="2">
        <v>41649</v>
      </c>
      <c r="J220" s="1" t="s">
        <v>922</v>
      </c>
      <c r="K220" s="1" t="s">
        <v>923</v>
      </c>
      <c r="L220" s="2">
        <v>41649</v>
      </c>
      <c r="M220" s="50">
        <v>2000</v>
      </c>
      <c r="O220" s="50">
        <v>12252.07</v>
      </c>
    </row>
    <row r="221" spans="9:15">
      <c r="I221" s="2">
        <v>41648</v>
      </c>
      <c r="J221" s="1" t="s">
        <v>920</v>
      </c>
      <c r="K221" s="1" t="s">
        <v>921</v>
      </c>
      <c r="L221" s="2">
        <v>41648</v>
      </c>
      <c r="M221" s="50">
        <v>516.17999999999995</v>
      </c>
      <c r="O221" s="50">
        <v>14252.07</v>
      </c>
    </row>
    <row r="222" spans="9:15">
      <c r="I222" s="2">
        <v>41649</v>
      </c>
      <c r="J222" s="1" t="s">
        <v>922</v>
      </c>
      <c r="K222" s="1" t="s">
        <v>923</v>
      </c>
      <c r="L222" s="2">
        <v>41649</v>
      </c>
      <c r="M222" s="50">
        <v>2000</v>
      </c>
      <c r="O222" s="50">
        <v>12252.07</v>
      </c>
    </row>
    <row r="223" spans="9:15">
      <c r="I223" s="2">
        <v>41661</v>
      </c>
      <c r="J223" s="1" t="s">
        <v>1126</v>
      </c>
      <c r="K223" s="1" t="s">
        <v>1127</v>
      </c>
      <c r="L223" s="2">
        <v>41661</v>
      </c>
      <c r="M223" s="50">
        <v>650</v>
      </c>
      <c r="O223" s="50">
        <v>11602.07</v>
      </c>
    </row>
    <row r="224" spans="9:15">
      <c r="I224" s="26">
        <v>41688</v>
      </c>
      <c r="J224" s="27" t="s">
        <v>587</v>
      </c>
      <c r="K224" s="27" t="s">
        <v>1128</v>
      </c>
      <c r="L224" s="26">
        <v>41688</v>
      </c>
      <c r="M224" s="51"/>
      <c r="N224" s="51">
        <v>15000</v>
      </c>
      <c r="O224" s="51">
        <v>26602.07</v>
      </c>
    </row>
    <row r="225" spans="9:15">
      <c r="I225" s="2">
        <v>41688</v>
      </c>
      <c r="J225" s="1" t="s">
        <v>1129</v>
      </c>
      <c r="K225" s="1" t="s">
        <v>1130</v>
      </c>
      <c r="L225" s="2">
        <v>41688</v>
      </c>
      <c r="M225" s="50">
        <v>440</v>
      </c>
      <c r="O225" s="50">
        <v>26162.07</v>
      </c>
    </row>
    <row r="226" spans="9:15">
      <c r="I226" s="2">
        <v>41688</v>
      </c>
      <c r="J226" s="1" t="s">
        <v>1131</v>
      </c>
      <c r="K226" s="1" t="s">
        <v>1132</v>
      </c>
      <c r="L226" s="2">
        <v>41688</v>
      </c>
      <c r="M226" s="50">
        <v>313</v>
      </c>
      <c r="O226" s="50">
        <v>25849.07</v>
      </c>
    </row>
    <row r="227" spans="9:15">
      <c r="I227" s="2">
        <v>41688</v>
      </c>
      <c r="J227" s="1" t="s">
        <v>1133</v>
      </c>
      <c r="K227" s="1" t="s">
        <v>1134</v>
      </c>
      <c r="L227" s="2">
        <v>41688</v>
      </c>
      <c r="M227" s="50">
        <v>8581</v>
      </c>
      <c r="O227" s="50">
        <v>17268.07</v>
      </c>
    </row>
    <row r="228" spans="9:15">
      <c r="I228" s="2">
        <v>41688</v>
      </c>
      <c r="J228" s="1" t="s">
        <v>580</v>
      </c>
      <c r="K228" s="1" t="s">
        <v>1135</v>
      </c>
      <c r="L228" s="2">
        <v>41688</v>
      </c>
      <c r="M228" s="50">
        <v>5000</v>
      </c>
      <c r="O228" s="50">
        <v>12268.07</v>
      </c>
    </row>
    <row r="229" spans="9:15">
      <c r="I229" s="2">
        <v>41704</v>
      </c>
      <c r="J229" s="1" t="s">
        <v>1136</v>
      </c>
      <c r="K229" s="1" t="s">
        <v>1137</v>
      </c>
      <c r="L229" s="2">
        <v>41704</v>
      </c>
      <c r="M229" s="50">
        <v>700</v>
      </c>
      <c r="O229" s="50">
        <v>11568.07</v>
      </c>
    </row>
    <row r="230" spans="9:15">
      <c r="I230" s="2">
        <v>41711</v>
      </c>
      <c r="J230" s="1" t="s">
        <v>1138</v>
      </c>
      <c r="K230" s="1" t="s">
        <v>407</v>
      </c>
      <c r="L230" s="2">
        <v>41711</v>
      </c>
      <c r="N230" s="50">
        <v>48000</v>
      </c>
      <c r="O230" s="50">
        <v>59568.07</v>
      </c>
    </row>
    <row r="231" spans="9:15">
      <c r="I231" s="2">
        <v>41711</v>
      </c>
      <c r="J231" s="1" t="s">
        <v>1139</v>
      </c>
      <c r="K231" s="1" t="s">
        <v>407</v>
      </c>
      <c r="L231" s="2">
        <v>41711</v>
      </c>
      <c r="M231" s="50">
        <v>25000</v>
      </c>
      <c r="O231" s="50">
        <v>34568.07</v>
      </c>
    </row>
    <row r="232" spans="9:15">
      <c r="I232" s="2">
        <v>41712</v>
      </c>
      <c r="J232" s="1" t="s">
        <v>1140</v>
      </c>
      <c r="K232" s="1" t="s">
        <v>1141</v>
      </c>
      <c r="L232" s="2">
        <v>41712</v>
      </c>
      <c r="M232" s="50">
        <v>351</v>
      </c>
      <c r="O232" s="50">
        <v>34217.07</v>
      </c>
    </row>
    <row r="233" spans="9:15">
      <c r="I233" s="2">
        <v>41716</v>
      </c>
      <c r="J233" s="1" t="s">
        <v>1142</v>
      </c>
      <c r="K233" s="1" t="s">
        <v>1143</v>
      </c>
      <c r="L233" s="2">
        <v>41716</v>
      </c>
      <c r="M233" s="50">
        <v>4000</v>
      </c>
      <c r="O233" s="50">
        <v>30217.07</v>
      </c>
    </row>
    <row r="234" spans="9:15">
      <c r="I234" s="2">
        <v>41717</v>
      </c>
      <c r="J234" s="1" t="s">
        <v>1144</v>
      </c>
      <c r="K234" s="1" t="s">
        <v>1145</v>
      </c>
      <c r="L234" s="2">
        <v>41717</v>
      </c>
      <c r="M234" s="50">
        <v>440</v>
      </c>
      <c r="O234" s="50">
        <v>29777.07</v>
      </c>
    </row>
    <row r="235" spans="9:15">
      <c r="I235" s="2">
        <v>41719</v>
      </c>
      <c r="J235" s="1" t="s">
        <v>1146</v>
      </c>
      <c r="K235" s="1" t="s">
        <v>1147</v>
      </c>
      <c r="L235" s="2">
        <v>41720</v>
      </c>
      <c r="M235" s="50">
        <v>1099</v>
      </c>
      <c r="O235" s="50">
        <v>28678.07</v>
      </c>
    </row>
    <row r="236" spans="9:15">
      <c r="I236" s="2">
        <v>41723</v>
      </c>
      <c r="J236" s="1" t="s">
        <v>1148</v>
      </c>
      <c r="K236" s="1" t="s">
        <v>1149</v>
      </c>
      <c r="L236" s="2">
        <v>41724</v>
      </c>
      <c r="M236" s="50">
        <v>4496</v>
      </c>
      <c r="O236" s="50">
        <v>24182.07</v>
      </c>
    </row>
    <row r="237" spans="9:15">
      <c r="I237" s="2">
        <v>41730</v>
      </c>
      <c r="J237" s="1" t="s">
        <v>876</v>
      </c>
      <c r="K237" s="1" t="s">
        <v>407</v>
      </c>
      <c r="L237" s="2">
        <v>41729</v>
      </c>
      <c r="N237" s="50">
        <v>394</v>
      </c>
      <c r="O237" s="50">
        <v>24576.07</v>
      </c>
    </row>
    <row r="238" spans="9:15">
      <c r="I238" s="2">
        <v>41731</v>
      </c>
      <c r="J238" s="1" t="s">
        <v>1150</v>
      </c>
      <c r="K238" s="1" t="s">
        <v>1151</v>
      </c>
      <c r="L238" s="2">
        <v>41731</v>
      </c>
      <c r="M238" s="50">
        <v>440</v>
      </c>
      <c r="O238" s="50">
        <v>24136.07</v>
      </c>
    </row>
    <row r="239" spans="9:15">
      <c r="I239" s="2">
        <v>41731</v>
      </c>
      <c r="J239" s="1" t="s">
        <v>1152</v>
      </c>
      <c r="K239" s="1" t="s">
        <v>1153</v>
      </c>
      <c r="L239" s="2">
        <v>41731</v>
      </c>
      <c r="M239" s="50">
        <v>2000</v>
      </c>
      <c r="O239" s="50">
        <v>22136.07</v>
      </c>
    </row>
    <row r="240" spans="9:15">
      <c r="I240" s="2">
        <v>41732</v>
      </c>
      <c r="J240" s="1" t="s">
        <v>1154</v>
      </c>
      <c r="K240" s="1" t="s">
        <v>1155</v>
      </c>
      <c r="L240" s="2">
        <v>41732</v>
      </c>
      <c r="M240" s="50">
        <v>413</v>
      </c>
      <c r="O240" s="50">
        <v>21723.07</v>
      </c>
    </row>
    <row r="241" spans="9:15">
      <c r="I241" s="26">
        <v>41787</v>
      </c>
      <c r="J241" s="27" t="s">
        <v>587</v>
      </c>
      <c r="K241" s="27" t="s">
        <v>1156</v>
      </c>
      <c r="L241" s="26">
        <v>41787</v>
      </c>
      <c r="M241" s="51"/>
      <c r="N241" s="51">
        <v>51000</v>
      </c>
      <c r="O241" s="51">
        <v>72723.070000000007</v>
      </c>
    </row>
    <row r="242" spans="9:15">
      <c r="I242" s="2"/>
      <c r="L242" s="2"/>
      <c r="O242" s="3"/>
    </row>
    <row r="243" spans="9:15">
      <c r="I243" s="2"/>
      <c r="L243" s="2"/>
      <c r="O243" s="3"/>
    </row>
    <row r="244" spans="9:15">
      <c r="I244" s="2"/>
      <c r="L244" s="2"/>
      <c r="O244" s="3"/>
    </row>
    <row r="245" spans="9:15">
      <c r="I245" s="2"/>
      <c r="L245" s="2"/>
      <c r="O245" s="3"/>
    </row>
    <row r="246" spans="9:15">
      <c r="I246" s="2"/>
      <c r="L246" s="2"/>
      <c r="O246" s="3"/>
    </row>
    <row r="247" spans="9:15">
      <c r="I247" s="2"/>
      <c r="L247" s="2"/>
      <c r="O247" s="3"/>
    </row>
    <row r="248" spans="9:15">
      <c r="I248" s="2"/>
      <c r="L248" s="2"/>
      <c r="O248" s="3"/>
    </row>
    <row r="249" spans="9:15">
      <c r="I249" s="2"/>
      <c r="L249" s="2"/>
      <c r="O249" s="3"/>
    </row>
    <row r="250" spans="9:15">
      <c r="I250" s="2"/>
      <c r="L250" s="2"/>
      <c r="O250" s="3"/>
    </row>
    <row r="251" spans="9:15">
      <c r="I251" s="2"/>
      <c r="L251" s="2"/>
      <c r="O251" s="3"/>
    </row>
    <row r="252" spans="9:15">
      <c r="I252" s="2"/>
      <c r="L252" s="2"/>
      <c r="O252" s="3"/>
    </row>
    <row r="253" spans="9:15">
      <c r="I253" s="2"/>
      <c r="L253" s="2"/>
      <c r="O253" s="3"/>
    </row>
    <row r="254" spans="9:15">
      <c r="I254" s="2"/>
      <c r="L254" s="2"/>
      <c r="O254" s="3"/>
    </row>
    <row r="255" spans="9:15">
      <c r="I255" s="2"/>
      <c r="L255" s="2"/>
      <c r="O255" s="3"/>
    </row>
    <row r="256" spans="9:15">
      <c r="I256" s="2"/>
      <c r="L256" s="2"/>
      <c r="O256" s="3"/>
    </row>
    <row r="257" spans="9:15">
      <c r="I257" s="2"/>
      <c r="L257" s="2"/>
      <c r="O257" s="3"/>
    </row>
    <row r="258" spans="9:15">
      <c r="I258" s="2"/>
      <c r="L258" s="2"/>
      <c r="O258" s="3"/>
    </row>
    <row r="259" spans="9:15">
      <c r="I259" s="2"/>
      <c r="L259" s="2"/>
      <c r="O259" s="3"/>
    </row>
    <row r="260" spans="9:15">
      <c r="I260" s="2"/>
      <c r="L260" s="2"/>
      <c r="O260" s="3"/>
    </row>
    <row r="261" spans="9:15">
      <c r="I261" s="2"/>
      <c r="L261" s="2"/>
      <c r="O261" s="3"/>
    </row>
    <row r="262" spans="9:15">
      <c r="I262" s="2"/>
      <c r="L262" s="2"/>
      <c r="O262" s="3"/>
    </row>
    <row r="263" spans="9:15">
      <c r="I263" s="2"/>
      <c r="L263" s="2"/>
      <c r="O263" s="3"/>
    </row>
    <row r="264" spans="9:15">
      <c r="I264" s="2"/>
      <c r="L264" s="2"/>
      <c r="O264" s="3"/>
    </row>
    <row r="265" spans="9:15">
      <c r="I265" s="2"/>
      <c r="L265" s="2"/>
      <c r="O265" s="3"/>
    </row>
    <row r="266" spans="9:15">
      <c r="I266" s="2"/>
      <c r="L266" s="2"/>
      <c r="O266" s="3"/>
    </row>
    <row r="267" spans="9:15">
      <c r="I267" s="2"/>
      <c r="L267" s="2"/>
      <c r="O267" s="3"/>
    </row>
    <row r="268" spans="9:15">
      <c r="I268" s="2"/>
      <c r="L268" s="2"/>
      <c r="O268" s="3"/>
    </row>
    <row r="269" spans="9:15">
      <c r="I269" s="2"/>
      <c r="L269" s="2"/>
      <c r="O269" s="3"/>
    </row>
    <row r="270" spans="9:15">
      <c r="I270" s="2"/>
      <c r="L270" s="2"/>
      <c r="O270" s="3"/>
    </row>
    <row r="271" spans="9:15">
      <c r="I271" s="2"/>
      <c r="L271" s="2"/>
      <c r="O271" s="3"/>
    </row>
    <row r="272" spans="9:15">
      <c r="I272" s="2"/>
      <c r="L272" s="2"/>
      <c r="O272" s="3"/>
    </row>
    <row r="273" spans="9:15">
      <c r="I273" s="2"/>
      <c r="L273" s="2"/>
      <c r="O273" s="3"/>
    </row>
    <row r="274" spans="9:15">
      <c r="I274" s="2"/>
      <c r="L274" s="2"/>
      <c r="O274" s="3"/>
    </row>
    <row r="275" spans="9:15">
      <c r="I275" s="2"/>
      <c r="L275" s="2"/>
      <c r="O275" s="3"/>
    </row>
    <row r="276" spans="9:15">
      <c r="I276" s="2"/>
      <c r="L276" s="2"/>
      <c r="O276" s="3"/>
    </row>
    <row r="277" spans="9:15">
      <c r="I277" s="2"/>
      <c r="L277" s="2"/>
      <c r="O277" s="3"/>
    </row>
    <row r="278" spans="9:15">
      <c r="I278" s="2"/>
      <c r="L278" s="2"/>
      <c r="O278" s="3"/>
    </row>
    <row r="279" spans="9:15">
      <c r="I279" s="2"/>
      <c r="L279" s="2"/>
      <c r="O279" s="3"/>
    </row>
    <row r="280" spans="9:15">
      <c r="I280" s="2"/>
      <c r="L280" s="2"/>
      <c r="O280" s="3"/>
    </row>
    <row r="281" spans="9:15">
      <c r="I281" s="2"/>
      <c r="L281" s="2"/>
      <c r="O281" s="3"/>
    </row>
    <row r="282" spans="9:15">
      <c r="I282" s="2"/>
      <c r="L282" s="2"/>
      <c r="O282" s="3"/>
    </row>
    <row r="283" spans="9:15">
      <c r="I283" s="2"/>
      <c r="L283" s="2"/>
      <c r="O283" s="3"/>
    </row>
    <row r="284" spans="9:15">
      <c r="I284" s="2"/>
      <c r="L284" s="2"/>
      <c r="O284" s="3"/>
    </row>
    <row r="285" spans="9:15">
      <c r="I285" s="2"/>
      <c r="L285" s="2"/>
      <c r="O285" s="3"/>
    </row>
    <row r="286" spans="9:15">
      <c r="I286" s="2"/>
      <c r="L286" s="2"/>
      <c r="O286" s="3"/>
    </row>
    <row r="287" spans="9:15">
      <c r="I287" s="2"/>
      <c r="L287" s="2"/>
      <c r="O287" s="3"/>
    </row>
    <row r="288" spans="9:15">
      <c r="I288" s="2"/>
      <c r="L288" s="2"/>
      <c r="O288" s="3"/>
    </row>
    <row r="289" spans="9:15">
      <c r="I289" s="2"/>
      <c r="L289" s="2"/>
      <c r="O289" s="3"/>
    </row>
    <row r="290" spans="9:15">
      <c r="I290" s="2"/>
      <c r="L290" s="2"/>
      <c r="O290" s="3"/>
    </row>
    <row r="291" spans="9:15">
      <c r="I291" s="2"/>
      <c r="L291" s="2"/>
      <c r="O291" s="3"/>
    </row>
    <row r="292" spans="9:15">
      <c r="I292" s="2"/>
      <c r="L292" s="2"/>
      <c r="O292" s="3"/>
    </row>
    <row r="293" spans="9:15">
      <c r="I293" s="2"/>
      <c r="L293" s="2"/>
      <c r="O293" s="3"/>
    </row>
    <row r="294" spans="9:15">
      <c r="I294" s="2"/>
      <c r="L294" s="2"/>
      <c r="O294" s="3"/>
    </row>
    <row r="295" spans="9:15">
      <c r="I295" s="2"/>
      <c r="L295" s="2"/>
      <c r="O295" s="3"/>
    </row>
    <row r="296" spans="9:15">
      <c r="I296" s="2"/>
      <c r="L296" s="2"/>
      <c r="O296" s="3"/>
    </row>
    <row r="297" spans="9:15">
      <c r="I297" s="2"/>
      <c r="L297" s="2"/>
      <c r="O297" s="3"/>
    </row>
    <row r="298" spans="9:15">
      <c r="I298" s="2"/>
      <c r="L298" s="2"/>
      <c r="O298" s="3"/>
    </row>
    <row r="299" spans="9:15">
      <c r="I299" s="2"/>
      <c r="L299" s="2"/>
      <c r="O299" s="3"/>
    </row>
    <row r="300" spans="9:15">
      <c r="I300" s="2"/>
      <c r="L300" s="2"/>
      <c r="O300" s="3"/>
    </row>
    <row r="301" spans="9:15">
      <c r="I301" s="2"/>
      <c r="L301" s="2"/>
      <c r="O301" s="3"/>
    </row>
    <row r="302" spans="9:15">
      <c r="I302" s="2"/>
      <c r="L302" s="2"/>
      <c r="O302" s="3"/>
    </row>
    <row r="303" spans="9:15">
      <c r="I303" s="2"/>
      <c r="L303" s="2"/>
      <c r="O303" s="3"/>
    </row>
    <row r="304" spans="9:15">
      <c r="I304" s="2"/>
      <c r="L304" s="2"/>
      <c r="O304" s="3"/>
    </row>
    <row r="305" spans="9:15">
      <c r="I305" s="2"/>
      <c r="L305" s="2"/>
      <c r="O305" s="3"/>
    </row>
    <row r="306" spans="9:15">
      <c r="I306" s="2"/>
      <c r="L306" s="2"/>
      <c r="O306" s="3"/>
    </row>
    <row r="307" spans="9:15">
      <c r="I307" s="2"/>
      <c r="L307" s="2"/>
      <c r="O307" s="3"/>
    </row>
    <row r="308" spans="9:15">
      <c r="I308" s="2"/>
      <c r="L308" s="2"/>
      <c r="O308" s="3"/>
    </row>
    <row r="309" spans="9:15">
      <c r="I309" s="2"/>
      <c r="L309" s="2"/>
      <c r="O309" s="3"/>
    </row>
    <row r="310" spans="9:15">
      <c r="I310" s="2"/>
      <c r="L310" s="2"/>
      <c r="O310" s="3"/>
    </row>
    <row r="311" spans="9:15">
      <c r="I311" s="2"/>
      <c r="L311" s="2"/>
      <c r="O311" s="3"/>
    </row>
    <row r="312" spans="9:15">
      <c r="I312" s="2"/>
      <c r="L312" s="2"/>
      <c r="O312" s="3"/>
    </row>
    <row r="313" spans="9:15">
      <c r="I313" s="2"/>
      <c r="L313" s="2"/>
      <c r="O313" s="3"/>
    </row>
    <row r="314" spans="9:15">
      <c r="I314" s="2"/>
      <c r="L314" s="2"/>
      <c r="O314" s="3"/>
    </row>
    <row r="315" spans="9:15">
      <c r="I315" s="2"/>
      <c r="L315" s="2"/>
      <c r="O315" s="3"/>
    </row>
    <row r="316" spans="9:15">
      <c r="I316" s="2"/>
      <c r="L316" s="2"/>
      <c r="O316" s="3"/>
    </row>
    <row r="317" spans="9:15">
      <c r="I317" s="2"/>
      <c r="L317" s="2"/>
      <c r="O317" s="3"/>
    </row>
    <row r="318" spans="9:15">
      <c r="I318" s="2"/>
      <c r="L318" s="2"/>
      <c r="O318" s="3"/>
    </row>
    <row r="319" spans="9:15">
      <c r="I319" s="2"/>
      <c r="L319" s="2"/>
      <c r="O319" s="3"/>
    </row>
    <row r="320" spans="9:15">
      <c r="I320" s="2"/>
      <c r="L320" s="2"/>
      <c r="O320" s="3"/>
    </row>
    <row r="321" spans="9:15">
      <c r="I321" s="2"/>
      <c r="L321" s="2"/>
      <c r="O321" s="3"/>
    </row>
    <row r="322" spans="9:15">
      <c r="I322" s="2"/>
      <c r="L322" s="2"/>
      <c r="O322" s="3"/>
    </row>
    <row r="323" spans="9:15">
      <c r="I323" s="2"/>
      <c r="L323" s="2"/>
      <c r="O323" s="3"/>
    </row>
    <row r="324" spans="9:15">
      <c r="I324" s="2"/>
      <c r="L324" s="2"/>
      <c r="O324" s="3"/>
    </row>
    <row r="325" spans="9:15">
      <c r="I325" s="2"/>
      <c r="L325" s="2"/>
      <c r="O325" s="3"/>
    </row>
  </sheetData>
  <autoFilter ref="I2:O241" xr:uid="{00000000-0009-0000-0000-00000C000000}"/>
  <sortState xmlns:xlrd2="http://schemas.microsoft.com/office/spreadsheetml/2017/richdata2" ref="B3:E6">
    <sortCondition ref="B7"/>
  </sortState>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45"/>
  <sheetViews>
    <sheetView zoomScale="85" zoomScaleNormal="85" workbookViewId="0">
      <selection activeCell="Q34" sqref="Q34"/>
    </sheetView>
  </sheetViews>
  <sheetFormatPr defaultColWidth="9.140625" defaultRowHeight="12.75"/>
  <cols>
    <col min="1" max="1" width="16.5703125" style="127" bestFit="1" customWidth="1"/>
    <col min="2" max="2" width="20.28515625" style="127" bestFit="1" customWidth="1"/>
    <col min="3" max="3" width="7.5703125" style="127" bestFit="1" customWidth="1"/>
    <col min="4" max="4" width="5" style="127" bestFit="1" customWidth="1"/>
    <col min="5" max="5" width="5.85546875" style="127" bestFit="1" customWidth="1"/>
    <col min="6" max="6" width="6.28515625" style="127" bestFit="1" customWidth="1"/>
    <col min="7" max="9" width="10.28515625" style="127" bestFit="1" customWidth="1"/>
    <col min="10" max="10" width="10" style="127" bestFit="1" customWidth="1"/>
    <col min="11" max="11" width="9.140625" style="127"/>
    <col min="12" max="14" width="10.28515625" style="127" bestFit="1" customWidth="1"/>
    <col min="15" max="16384" width="9.140625" style="127"/>
  </cols>
  <sheetData>
    <row r="1" spans="1:14">
      <c r="C1" s="127" t="s">
        <v>1575</v>
      </c>
      <c r="D1" s="127">
        <v>2.54</v>
      </c>
    </row>
    <row r="2" spans="1:14">
      <c r="A2" s="127" t="s">
        <v>1573</v>
      </c>
      <c r="B2" s="128" t="s">
        <v>1574</v>
      </c>
      <c r="C2" s="129">
        <v>4661</v>
      </c>
    </row>
    <row r="3" spans="1:14">
      <c r="B3" s="129">
        <f>150/D1</f>
        <v>59.055118110236222</v>
      </c>
      <c r="E3" s="129"/>
      <c r="F3" s="129"/>
      <c r="G3" s="129"/>
      <c r="H3" s="129"/>
    </row>
    <row r="4" spans="1:14">
      <c r="B4" s="129">
        <f>200/D1</f>
        <v>78.740157480314963</v>
      </c>
    </row>
    <row r="5" spans="1:14">
      <c r="B5" s="127" t="s">
        <v>1576</v>
      </c>
    </row>
    <row r="6" spans="1:14" ht="13.5" thickBot="1">
      <c r="B6" s="127">
        <f>59*79</f>
        <v>4661</v>
      </c>
    </row>
    <row r="7" spans="1:14" ht="15.75" customHeight="1" thickBot="1">
      <c r="L7" s="443" t="s">
        <v>1619</v>
      </c>
      <c r="M7" s="444"/>
    </row>
    <row r="8" spans="1:14" ht="13.5" thickBot="1">
      <c r="I8" s="130">
        <v>4661</v>
      </c>
      <c r="J8" s="130">
        <v>4661</v>
      </c>
    </row>
    <row r="9" spans="1:14" ht="13.5" thickBot="1">
      <c r="E9" s="130" t="s">
        <v>1594</v>
      </c>
      <c r="F9" s="130" t="s">
        <v>1595</v>
      </c>
      <c r="G9" s="130" t="s">
        <v>1594</v>
      </c>
      <c r="H9" s="130" t="s">
        <v>1595</v>
      </c>
      <c r="L9" s="130" t="s">
        <v>1594</v>
      </c>
      <c r="M9" s="130" t="s">
        <v>1595</v>
      </c>
      <c r="N9" s="130" t="s">
        <v>1620</v>
      </c>
    </row>
    <row r="10" spans="1:14" ht="13.5" thickBot="1">
      <c r="A10" s="131" t="s">
        <v>1612</v>
      </c>
      <c r="B10" s="130" t="s">
        <v>1069</v>
      </c>
      <c r="C10" s="130" t="s">
        <v>1611</v>
      </c>
      <c r="D10" s="132"/>
      <c r="E10" s="132"/>
      <c r="F10" s="132"/>
      <c r="G10" s="130" t="s">
        <v>1596</v>
      </c>
      <c r="H10" s="133" t="s">
        <v>1596</v>
      </c>
      <c r="I10" s="130" t="s">
        <v>1591</v>
      </c>
      <c r="J10" s="133" t="s">
        <v>1592</v>
      </c>
      <c r="L10" s="130" t="s">
        <v>1596</v>
      </c>
      <c r="M10" s="133" t="s">
        <v>1596</v>
      </c>
      <c r="N10" s="133" t="s">
        <v>1596</v>
      </c>
    </row>
    <row r="11" spans="1:14">
      <c r="A11" s="134">
        <v>1</v>
      </c>
      <c r="B11" s="134" t="s">
        <v>1577</v>
      </c>
      <c r="C11" s="134" t="s">
        <v>1578</v>
      </c>
      <c r="D11" s="134"/>
      <c r="E11" s="135">
        <v>13</v>
      </c>
      <c r="F11" s="136">
        <v>16</v>
      </c>
      <c r="G11" s="137">
        <f>E11+2</f>
        <v>15</v>
      </c>
      <c r="H11" s="138">
        <f>F11+2</f>
        <v>18</v>
      </c>
      <c r="I11" s="139">
        <f>E11*F11</f>
        <v>208</v>
      </c>
      <c r="J11" s="134">
        <f>G11*H11</f>
        <v>270</v>
      </c>
      <c r="L11" s="140">
        <f t="shared" ref="L11:L36" si="0">G11-0.5</f>
        <v>14.5</v>
      </c>
      <c r="M11" s="141">
        <f t="shared" ref="M11:M36" si="1">H11-0.5</f>
        <v>17.5</v>
      </c>
      <c r="N11" s="141">
        <f>L11*M11</f>
        <v>253.75</v>
      </c>
    </row>
    <row r="12" spans="1:14">
      <c r="A12" s="142">
        <v>2</v>
      </c>
      <c r="B12" s="142" t="s">
        <v>1579</v>
      </c>
      <c r="C12" s="142" t="s">
        <v>1580</v>
      </c>
      <c r="D12" s="142"/>
      <c r="E12" s="143">
        <v>10</v>
      </c>
      <c r="F12" s="144">
        <v>7</v>
      </c>
      <c r="G12" s="145">
        <f>E12+2</f>
        <v>12</v>
      </c>
      <c r="H12" s="145">
        <f>F12+2</f>
        <v>9</v>
      </c>
      <c r="I12" s="146">
        <f t="shared" ref="I12:I35" si="2">E12*F12</f>
        <v>70</v>
      </c>
      <c r="J12" s="142">
        <f t="shared" ref="J12:J35" si="3">G12*H12</f>
        <v>108</v>
      </c>
      <c r="L12" s="147">
        <f t="shared" si="0"/>
        <v>11.5</v>
      </c>
      <c r="M12" s="147">
        <f t="shared" si="1"/>
        <v>8.5</v>
      </c>
      <c r="N12" s="147">
        <f>L12*M12</f>
        <v>97.75</v>
      </c>
    </row>
    <row r="13" spans="1:14">
      <c r="A13" s="142">
        <v>3</v>
      </c>
      <c r="B13" s="142" t="s">
        <v>1581</v>
      </c>
      <c r="C13" s="142"/>
      <c r="D13" s="142"/>
      <c r="E13" s="143">
        <v>13</v>
      </c>
      <c r="F13" s="144">
        <v>15</v>
      </c>
      <c r="G13" s="148">
        <f t="shared" ref="G13:G36" si="4">E13+2</f>
        <v>15</v>
      </c>
      <c r="H13" s="148">
        <f t="shared" ref="H13:H36" si="5">F13+2</f>
        <v>17</v>
      </c>
      <c r="I13" s="146">
        <f t="shared" si="2"/>
        <v>195</v>
      </c>
      <c r="J13" s="142">
        <f t="shared" si="3"/>
        <v>255</v>
      </c>
      <c r="L13" s="147">
        <f t="shared" si="0"/>
        <v>14.5</v>
      </c>
      <c r="M13" s="147">
        <f t="shared" si="1"/>
        <v>16.5</v>
      </c>
      <c r="N13" s="147">
        <f t="shared" ref="N13:N36" si="6">L13*M13</f>
        <v>239.25</v>
      </c>
    </row>
    <row r="14" spans="1:14">
      <c r="A14" s="142">
        <v>4</v>
      </c>
      <c r="B14" s="142" t="s">
        <v>1582</v>
      </c>
      <c r="C14" s="142" t="s">
        <v>1578</v>
      </c>
      <c r="D14" s="142"/>
      <c r="E14" s="143">
        <v>12</v>
      </c>
      <c r="F14" s="144">
        <v>13</v>
      </c>
      <c r="G14" s="149">
        <f t="shared" si="4"/>
        <v>14</v>
      </c>
      <c r="H14" s="149">
        <f t="shared" si="5"/>
        <v>15</v>
      </c>
      <c r="I14" s="146">
        <f t="shared" si="2"/>
        <v>156</v>
      </c>
      <c r="J14" s="142">
        <f t="shared" si="3"/>
        <v>210</v>
      </c>
      <c r="L14" s="147">
        <f t="shared" si="0"/>
        <v>13.5</v>
      </c>
      <c r="M14" s="147">
        <f t="shared" si="1"/>
        <v>14.5</v>
      </c>
      <c r="N14" s="147">
        <f t="shared" si="6"/>
        <v>195.75</v>
      </c>
    </row>
    <row r="15" spans="1:14">
      <c r="A15" s="142">
        <v>5</v>
      </c>
      <c r="B15" s="142" t="s">
        <v>1583</v>
      </c>
      <c r="C15" s="142" t="s">
        <v>1578</v>
      </c>
      <c r="D15" s="142" t="s">
        <v>1584</v>
      </c>
      <c r="E15" s="143">
        <v>13</v>
      </c>
      <c r="F15" s="144">
        <v>16</v>
      </c>
      <c r="G15" s="150">
        <f t="shared" si="4"/>
        <v>15</v>
      </c>
      <c r="H15" s="150">
        <f t="shared" si="5"/>
        <v>18</v>
      </c>
      <c r="I15" s="146">
        <f t="shared" si="2"/>
        <v>208</v>
      </c>
      <c r="J15" s="142">
        <f t="shared" si="3"/>
        <v>270</v>
      </c>
      <c r="L15" s="147">
        <f t="shared" si="0"/>
        <v>14.5</v>
      </c>
      <c r="M15" s="147">
        <f t="shared" si="1"/>
        <v>17.5</v>
      </c>
      <c r="N15" s="147">
        <f t="shared" si="6"/>
        <v>253.75</v>
      </c>
    </row>
    <row r="16" spans="1:14">
      <c r="A16" s="142">
        <v>6</v>
      </c>
      <c r="B16" s="142"/>
      <c r="C16" s="142"/>
      <c r="D16" s="142" t="s">
        <v>1585</v>
      </c>
      <c r="E16" s="143">
        <v>12</v>
      </c>
      <c r="F16" s="144">
        <v>5</v>
      </c>
      <c r="G16" s="149">
        <f t="shared" si="4"/>
        <v>14</v>
      </c>
      <c r="H16" s="149">
        <f t="shared" si="5"/>
        <v>7</v>
      </c>
      <c r="I16" s="146">
        <f t="shared" si="2"/>
        <v>60</v>
      </c>
      <c r="J16" s="142">
        <f t="shared" si="3"/>
        <v>98</v>
      </c>
      <c r="L16" s="147">
        <f t="shared" si="0"/>
        <v>13.5</v>
      </c>
      <c r="M16" s="147">
        <f t="shared" si="1"/>
        <v>6.5</v>
      </c>
      <c r="N16" s="147">
        <f t="shared" si="6"/>
        <v>87.75</v>
      </c>
    </row>
    <row r="17" spans="1:14">
      <c r="A17" s="142">
        <v>7</v>
      </c>
      <c r="B17" s="142" t="s">
        <v>1586</v>
      </c>
      <c r="C17" s="142" t="s">
        <v>1587</v>
      </c>
      <c r="D17" s="142" t="s">
        <v>1584</v>
      </c>
      <c r="E17" s="143">
        <v>20</v>
      </c>
      <c r="F17" s="144">
        <v>17</v>
      </c>
      <c r="G17" s="151">
        <f t="shared" si="4"/>
        <v>22</v>
      </c>
      <c r="H17" s="151">
        <f t="shared" si="5"/>
        <v>19</v>
      </c>
      <c r="I17" s="146">
        <f t="shared" si="2"/>
        <v>340</v>
      </c>
      <c r="J17" s="142">
        <f t="shared" si="3"/>
        <v>418</v>
      </c>
      <c r="L17" s="152">
        <f t="shared" si="0"/>
        <v>21.5</v>
      </c>
      <c r="M17" s="152">
        <f t="shared" si="1"/>
        <v>18.5</v>
      </c>
      <c r="N17" s="147">
        <f t="shared" si="6"/>
        <v>397.75</v>
      </c>
    </row>
    <row r="18" spans="1:14">
      <c r="A18" s="142">
        <v>8</v>
      </c>
      <c r="B18" s="142"/>
      <c r="C18" s="142"/>
      <c r="D18" s="142" t="s">
        <v>1585</v>
      </c>
      <c r="E18" s="143">
        <v>10</v>
      </c>
      <c r="F18" s="144">
        <v>4</v>
      </c>
      <c r="G18" s="153">
        <f t="shared" si="4"/>
        <v>12</v>
      </c>
      <c r="H18" s="153">
        <f t="shared" si="5"/>
        <v>6</v>
      </c>
      <c r="I18" s="146">
        <f t="shared" si="2"/>
        <v>40</v>
      </c>
      <c r="J18" s="142">
        <f t="shared" si="3"/>
        <v>72</v>
      </c>
      <c r="L18" s="147">
        <f t="shared" si="0"/>
        <v>11.5</v>
      </c>
      <c r="M18" s="147">
        <f t="shared" si="1"/>
        <v>5.5</v>
      </c>
      <c r="N18" s="147">
        <f t="shared" si="6"/>
        <v>63.25</v>
      </c>
    </row>
    <row r="19" spans="1:14">
      <c r="A19" s="142">
        <v>9</v>
      </c>
      <c r="B19" s="142" t="s">
        <v>1588</v>
      </c>
      <c r="C19" s="142"/>
      <c r="D19" s="142"/>
      <c r="E19" s="143">
        <v>15</v>
      </c>
      <c r="F19" s="144">
        <v>10</v>
      </c>
      <c r="G19" s="154">
        <f t="shared" si="4"/>
        <v>17</v>
      </c>
      <c r="H19" s="154">
        <f t="shared" si="5"/>
        <v>12</v>
      </c>
      <c r="I19" s="146">
        <f t="shared" si="2"/>
        <v>150</v>
      </c>
      <c r="J19" s="142">
        <f t="shared" si="3"/>
        <v>204</v>
      </c>
      <c r="L19" s="147">
        <f t="shared" si="0"/>
        <v>16.5</v>
      </c>
      <c r="M19" s="147">
        <f t="shared" si="1"/>
        <v>11.5</v>
      </c>
      <c r="N19" s="147">
        <f t="shared" si="6"/>
        <v>189.75</v>
      </c>
    </row>
    <row r="20" spans="1:14">
      <c r="A20" s="142">
        <v>10</v>
      </c>
      <c r="B20" s="142" t="s">
        <v>1613</v>
      </c>
      <c r="C20" s="142"/>
      <c r="D20" s="142"/>
      <c r="E20" s="143">
        <v>6</v>
      </c>
      <c r="F20" s="144">
        <v>10</v>
      </c>
      <c r="G20" s="155">
        <f t="shared" si="4"/>
        <v>8</v>
      </c>
      <c r="H20" s="155">
        <f t="shared" si="5"/>
        <v>12</v>
      </c>
      <c r="I20" s="146">
        <f t="shared" si="2"/>
        <v>60</v>
      </c>
      <c r="J20" s="142">
        <f t="shared" si="3"/>
        <v>96</v>
      </c>
      <c r="L20" s="147">
        <f t="shared" si="0"/>
        <v>7.5</v>
      </c>
      <c r="M20" s="147">
        <f t="shared" si="1"/>
        <v>11.5</v>
      </c>
      <c r="N20" s="147">
        <f t="shared" si="6"/>
        <v>86.25</v>
      </c>
    </row>
    <row r="21" spans="1:14">
      <c r="A21" s="142">
        <v>11</v>
      </c>
      <c r="B21" s="142" t="s">
        <v>1589</v>
      </c>
      <c r="C21" s="142" t="s">
        <v>1580</v>
      </c>
      <c r="D21" s="142"/>
      <c r="E21" s="143">
        <v>8</v>
      </c>
      <c r="F21" s="144">
        <v>9</v>
      </c>
      <c r="G21" s="156">
        <f t="shared" si="4"/>
        <v>10</v>
      </c>
      <c r="H21" s="156">
        <f t="shared" si="5"/>
        <v>11</v>
      </c>
      <c r="I21" s="146">
        <f t="shared" si="2"/>
        <v>72</v>
      </c>
      <c r="J21" s="142">
        <f t="shared" si="3"/>
        <v>110</v>
      </c>
      <c r="L21" s="147">
        <f t="shared" si="0"/>
        <v>9.5</v>
      </c>
      <c r="M21" s="147">
        <f t="shared" si="1"/>
        <v>10.5</v>
      </c>
      <c r="N21" s="147">
        <f t="shared" si="6"/>
        <v>99.75</v>
      </c>
    </row>
    <row r="22" spans="1:14">
      <c r="A22" s="142">
        <v>12</v>
      </c>
      <c r="B22" s="142" t="s">
        <v>1590</v>
      </c>
      <c r="C22" s="142"/>
      <c r="D22" s="142"/>
      <c r="E22" s="143">
        <v>10</v>
      </c>
      <c r="F22" s="144">
        <v>6</v>
      </c>
      <c r="G22" s="157">
        <f t="shared" si="4"/>
        <v>12</v>
      </c>
      <c r="H22" s="157">
        <f t="shared" si="5"/>
        <v>8</v>
      </c>
      <c r="I22" s="146">
        <f t="shared" si="2"/>
        <v>60</v>
      </c>
      <c r="J22" s="142">
        <f t="shared" si="3"/>
        <v>96</v>
      </c>
      <c r="L22" s="147">
        <f t="shared" si="0"/>
        <v>11.5</v>
      </c>
      <c r="M22" s="147">
        <f t="shared" si="1"/>
        <v>7.5</v>
      </c>
      <c r="N22" s="147">
        <f t="shared" si="6"/>
        <v>86.25</v>
      </c>
    </row>
    <row r="23" spans="1:14">
      <c r="A23" s="142">
        <v>13</v>
      </c>
      <c r="B23" s="142" t="s">
        <v>1593</v>
      </c>
      <c r="C23" s="142" t="s">
        <v>1580</v>
      </c>
      <c r="D23" s="142"/>
      <c r="E23" s="143">
        <v>8</v>
      </c>
      <c r="F23" s="144">
        <v>5</v>
      </c>
      <c r="G23" s="158">
        <f t="shared" si="4"/>
        <v>10</v>
      </c>
      <c r="H23" s="158">
        <f t="shared" si="5"/>
        <v>7</v>
      </c>
      <c r="I23" s="146">
        <f t="shared" si="2"/>
        <v>40</v>
      </c>
      <c r="J23" s="142">
        <f t="shared" si="3"/>
        <v>70</v>
      </c>
      <c r="L23" s="147">
        <f t="shared" si="0"/>
        <v>9.5</v>
      </c>
      <c r="M23" s="147">
        <f t="shared" si="1"/>
        <v>6.5</v>
      </c>
      <c r="N23" s="147">
        <f t="shared" si="6"/>
        <v>61.75</v>
      </c>
    </row>
    <row r="24" spans="1:14">
      <c r="A24" s="142">
        <v>14</v>
      </c>
      <c r="B24" s="142" t="s">
        <v>1597</v>
      </c>
      <c r="C24" s="142"/>
      <c r="D24" s="142"/>
      <c r="E24" s="143">
        <v>13</v>
      </c>
      <c r="F24" s="144">
        <v>9</v>
      </c>
      <c r="G24" s="159">
        <f t="shared" si="4"/>
        <v>15</v>
      </c>
      <c r="H24" s="159">
        <f t="shared" si="5"/>
        <v>11</v>
      </c>
      <c r="I24" s="146">
        <f t="shared" si="2"/>
        <v>117</v>
      </c>
      <c r="J24" s="142">
        <f t="shared" si="3"/>
        <v>165</v>
      </c>
      <c r="L24" s="147">
        <f t="shared" si="0"/>
        <v>14.5</v>
      </c>
      <c r="M24" s="147">
        <f t="shared" si="1"/>
        <v>10.5</v>
      </c>
      <c r="N24" s="147">
        <f t="shared" si="6"/>
        <v>152.25</v>
      </c>
    </row>
    <row r="25" spans="1:14">
      <c r="A25" s="142">
        <v>15</v>
      </c>
      <c r="B25" s="142" t="s">
        <v>1598</v>
      </c>
      <c r="C25" s="142"/>
      <c r="D25" s="142"/>
      <c r="E25" s="143">
        <v>11</v>
      </c>
      <c r="F25" s="144">
        <v>10</v>
      </c>
      <c r="G25" s="149">
        <f t="shared" si="4"/>
        <v>13</v>
      </c>
      <c r="H25" s="149">
        <f t="shared" si="5"/>
        <v>12</v>
      </c>
      <c r="I25" s="146">
        <f t="shared" si="2"/>
        <v>110</v>
      </c>
      <c r="J25" s="142">
        <f t="shared" si="3"/>
        <v>156</v>
      </c>
      <c r="L25" s="147">
        <f t="shared" si="0"/>
        <v>12.5</v>
      </c>
      <c r="M25" s="147">
        <f t="shared" si="1"/>
        <v>11.5</v>
      </c>
      <c r="N25" s="147">
        <f t="shared" si="6"/>
        <v>143.75</v>
      </c>
    </row>
    <row r="26" spans="1:14">
      <c r="A26" s="142">
        <v>16</v>
      </c>
      <c r="B26" s="142" t="s">
        <v>1599</v>
      </c>
      <c r="C26" s="142"/>
      <c r="D26" s="142"/>
      <c r="E26" s="143">
        <v>11</v>
      </c>
      <c r="F26" s="144">
        <v>8</v>
      </c>
      <c r="G26" s="160">
        <f t="shared" si="4"/>
        <v>13</v>
      </c>
      <c r="H26" s="160">
        <f t="shared" si="5"/>
        <v>10</v>
      </c>
      <c r="I26" s="146">
        <f t="shared" si="2"/>
        <v>88</v>
      </c>
      <c r="J26" s="142">
        <f t="shared" si="3"/>
        <v>130</v>
      </c>
      <c r="L26" s="147">
        <f t="shared" si="0"/>
        <v>12.5</v>
      </c>
      <c r="M26" s="147">
        <f t="shared" si="1"/>
        <v>9.5</v>
      </c>
      <c r="N26" s="147">
        <f t="shared" si="6"/>
        <v>118.75</v>
      </c>
    </row>
    <row r="27" spans="1:14">
      <c r="A27" s="142">
        <v>17</v>
      </c>
      <c r="B27" s="142" t="s">
        <v>1600</v>
      </c>
      <c r="C27" s="142"/>
      <c r="D27" s="142"/>
      <c r="E27" s="143">
        <v>18</v>
      </c>
      <c r="F27" s="144">
        <v>14</v>
      </c>
      <c r="G27" s="161">
        <f t="shared" si="4"/>
        <v>20</v>
      </c>
      <c r="H27" s="161">
        <f t="shared" si="5"/>
        <v>16</v>
      </c>
      <c r="I27" s="146">
        <f t="shared" si="2"/>
        <v>252</v>
      </c>
      <c r="J27" s="142">
        <f t="shared" si="3"/>
        <v>320</v>
      </c>
      <c r="L27" s="162">
        <f t="shared" si="0"/>
        <v>19.5</v>
      </c>
      <c r="M27" s="162">
        <f t="shared" si="1"/>
        <v>15.5</v>
      </c>
      <c r="N27" s="147">
        <f t="shared" si="6"/>
        <v>302.25</v>
      </c>
    </row>
    <row r="28" spans="1:14">
      <c r="A28" s="142">
        <v>18</v>
      </c>
      <c r="B28" s="142" t="s">
        <v>1601</v>
      </c>
      <c r="C28" s="142" t="s">
        <v>1580</v>
      </c>
      <c r="D28" s="142"/>
      <c r="E28" s="143">
        <v>15</v>
      </c>
      <c r="F28" s="144">
        <v>8</v>
      </c>
      <c r="G28" s="163">
        <f t="shared" si="4"/>
        <v>17</v>
      </c>
      <c r="H28" s="163">
        <f t="shared" si="5"/>
        <v>10</v>
      </c>
      <c r="I28" s="146">
        <f t="shared" si="2"/>
        <v>120</v>
      </c>
      <c r="J28" s="142">
        <f t="shared" si="3"/>
        <v>170</v>
      </c>
      <c r="L28" s="147">
        <f t="shared" si="0"/>
        <v>16.5</v>
      </c>
      <c r="M28" s="147">
        <f t="shared" si="1"/>
        <v>9.5</v>
      </c>
      <c r="N28" s="147">
        <f t="shared" si="6"/>
        <v>156.75</v>
      </c>
    </row>
    <row r="29" spans="1:14">
      <c r="A29" s="142">
        <v>19</v>
      </c>
      <c r="B29" s="142" t="s">
        <v>1602</v>
      </c>
      <c r="C29" s="142" t="s">
        <v>1587</v>
      </c>
      <c r="D29" s="142"/>
      <c r="E29" s="143">
        <v>8</v>
      </c>
      <c r="F29" s="144">
        <v>8</v>
      </c>
      <c r="G29" s="164">
        <f t="shared" si="4"/>
        <v>10</v>
      </c>
      <c r="H29" s="164">
        <f t="shared" si="5"/>
        <v>10</v>
      </c>
      <c r="I29" s="146">
        <f t="shared" si="2"/>
        <v>64</v>
      </c>
      <c r="J29" s="142">
        <f t="shared" si="3"/>
        <v>100</v>
      </c>
      <c r="L29" s="147">
        <f t="shared" si="0"/>
        <v>9.5</v>
      </c>
      <c r="M29" s="147">
        <f t="shared" si="1"/>
        <v>9.5</v>
      </c>
      <c r="N29" s="147">
        <f t="shared" si="6"/>
        <v>90.25</v>
      </c>
    </row>
    <row r="30" spans="1:14">
      <c r="A30" s="142">
        <v>20</v>
      </c>
      <c r="B30" s="142" t="s">
        <v>1598</v>
      </c>
      <c r="C30" s="142" t="s">
        <v>1603</v>
      </c>
      <c r="D30" s="142"/>
      <c r="E30" s="143">
        <v>11</v>
      </c>
      <c r="F30" s="144">
        <v>6</v>
      </c>
      <c r="G30" s="165">
        <f t="shared" si="4"/>
        <v>13</v>
      </c>
      <c r="H30" s="165">
        <f t="shared" si="5"/>
        <v>8</v>
      </c>
      <c r="I30" s="146">
        <f t="shared" si="2"/>
        <v>66</v>
      </c>
      <c r="J30" s="142">
        <f t="shared" si="3"/>
        <v>104</v>
      </c>
      <c r="L30" s="147">
        <f t="shared" si="0"/>
        <v>12.5</v>
      </c>
      <c r="M30" s="147">
        <f t="shared" si="1"/>
        <v>7.5</v>
      </c>
      <c r="N30" s="147">
        <f t="shared" si="6"/>
        <v>93.75</v>
      </c>
    </row>
    <row r="31" spans="1:14">
      <c r="A31" s="142">
        <v>21</v>
      </c>
      <c r="B31" s="142" t="s">
        <v>1604</v>
      </c>
      <c r="C31" s="142" t="s">
        <v>1603</v>
      </c>
      <c r="D31" s="142" t="s">
        <v>1584</v>
      </c>
      <c r="E31" s="143">
        <v>16</v>
      </c>
      <c r="F31" s="144">
        <v>9</v>
      </c>
      <c r="G31" s="166">
        <f t="shared" si="4"/>
        <v>18</v>
      </c>
      <c r="H31" s="166">
        <f t="shared" si="5"/>
        <v>11</v>
      </c>
      <c r="I31" s="146">
        <f t="shared" si="2"/>
        <v>144</v>
      </c>
      <c r="J31" s="142">
        <f t="shared" si="3"/>
        <v>198</v>
      </c>
      <c r="L31" s="167">
        <f t="shared" si="0"/>
        <v>17.5</v>
      </c>
      <c r="M31" s="167">
        <f t="shared" si="1"/>
        <v>10.5</v>
      </c>
      <c r="N31" s="147">
        <f t="shared" si="6"/>
        <v>183.75</v>
      </c>
    </row>
    <row r="32" spans="1:14">
      <c r="A32" s="142">
        <v>22</v>
      </c>
      <c r="B32" s="142"/>
      <c r="C32" s="142"/>
      <c r="D32" s="142" t="s">
        <v>1585</v>
      </c>
      <c r="E32" s="143">
        <v>15</v>
      </c>
      <c r="F32" s="144">
        <v>13</v>
      </c>
      <c r="G32" s="168">
        <f t="shared" si="4"/>
        <v>17</v>
      </c>
      <c r="H32" s="168">
        <f t="shared" si="5"/>
        <v>15</v>
      </c>
      <c r="I32" s="146">
        <f t="shared" si="2"/>
        <v>195</v>
      </c>
      <c r="J32" s="142">
        <f t="shared" si="3"/>
        <v>255</v>
      </c>
      <c r="L32" s="147">
        <f t="shared" si="0"/>
        <v>16.5</v>
      </c>
      <c r="M32" s="147">
        <f t="shared" si="1"/>
        <v>14.5</v>
      </c>
      <c r="N32" s="147">
        <f t="shared" si="6"/>
        <v>239.25</v>
      </c>
    </row>
    <row r="33" spans="1:14">
      <c r="A33" s="142">
        <v>23</v>
      </c>
      <c r="B33" s="142" t="s">
        <v>1605</v>
      </c>
      <c r="C33" s="142"/>
      <c r="D33" s="142"/>
      <c r="E33" s="143">
        <v>11</v>
      </c>
      <c r="F33" s="144">
        <v>15</v>
      </c>
      <c r="G33" s="169">
        <f t="shared" si="4"/>
        <v>13</v>
      </c>
      <c r="H33" s="169">
        <f t="shared" si="5"/>
        <v>17</v>
      </c>
      <c r="I33" s="146">
        <f t="shared" si="2"/>
        <v>165</v>
      </c>
      <c r="J33" s="142">
        <f t="shared" si="3"/>
        <v>221</v>
      </c>
      <c r="L33" s="147">
        <f t="shared" si="0"/>
        <v>12.5</v>
      </c>
      <c r="M33" s="147">
        <f t="shared" si="1"/>
        <v>16.5</v>
      </c>
      <c r="N33" s="147">
        <f t="shared" si="6"/>
        <v>206.25</v>
      </c>
    </row>
    <row r="34" spans="1:14">
      <c r="A34" s="142">
        <v>24</v>
      </c>
      <c r="B34" s="142" t="s">
        <v>1606</v>
      </c>
      <c r="C34" s="142" t="s">
        <v>1587</v>
      </c>
      <c r="D34" s="142"/>
      <c r="E34" s="143">
        <v>15</v>
      </c>
      <c r="F34" s="144">
        <v>18</v>
      </c>
      <c r="G34" s="170">
        <f t="shared" si="4"/>
        <v>17</v>
      </c>
      <c r="H34" s="170">
        <f t="shared" si="5"/>
        <v>20</v>
      </c>
      <c r="I34" s="146">
        <f t="shared" si="2"/>
        <v>270</v>
      </c>
      <c r="J34" s="142">
        <f t="shared" si="3"/>
        <v>340</v>
      </c>
      <c r="L34" s="147">
        <f t="shared" si="0"/>
        <v>16.5</v>
      </c>
      <c r="M34" s="147">
        <f t="shared" si="1"/>
        <v>19.5</v>
      </c>
      <c r="N34" s="147">
        <f t="shared" si="6"/>
        <v>321.75</v>
      </c>
    </row>
    <row r="35" spans="1:14">
      <c r="A35" s="142">
        <v>25</v>
      </c>
      <c r="B35" s="142" t="s">
        <v>1598</v>
      </c>
      <c r="C35" s="142" t="s">
        <v>1607</v>
      </c>
      <c r="D35" s="142"/>
      <c r="E35" s="143">
        <v>12</v>
      </c>
      <c r="F35" s="144">
        <v>7</v>
      </c>
      <c r="G35" s="171">
        <f t="shared" si="4"/>
        <v>14</v>
      </c>
      <c r="H35" s="171">
        <f t="shared" si="5"/>
        <v>9</v>
      </c>
      <c r="I35" s="146">
        <f t="shared" si="2"/>
        <v>84</v>
      </c>
      <c r="J35" s="142">
        <f t="shared" si="3"/>
        <v>126</v>
      </c>
      <c r="L35" s="147">
        <f t="shared" si="0"/>
        <v>13.5</v>
      </c>
      <c r="M35" s="147">
        <f t="shared" si="1"/>
        <v>8.5</v>
      </c>
      <c r="N35" s="147">
        <f t="shared" si="6"/>
        <v>114.75</v>
      </c>
    </row>
    <row r="36" spans="1:14" ht="13.5" thickBot="1">
      <c r="A36" s="142">
        <v>26</v>
      </c>
      <c r="B36" s="142" t="s">
        <v>1617</v>
      </c>
      <c r="C36" s="142" t="s">
        <v>1607</v>
      </c>
      <c r="D36" s="142"/>
      <c r="E36" s="143">
        <v>14</v>
      </c>
      <c r="F36" s="144">
        <v>17</v>
      </c>
      <c r="G36" s="172">
        <f t="shared" si="4"/>
        <v>16</v>
      </c>
      <c r="H36" s="172">
        <f t="shared" si="5"/>
        <v>19</v>
      </c>
      <c r="I36" s="146">
        <f t="shared" ref="I36" si="7">E36*F36</f>
        <v>238</v>
      </c>
      <c r="J36" s="142">
        <f t="shared" ref="J36" si="8">G36*H36</f>
        <v>304</v>
      </c>
      <c r="L36" s="173">
        <f t="shared" si="0"/>
        <v>15.5</v>
      </c>
      <c r="M36" s="173">
        <f t="shared" si="1"/>
        <v>18.5</v>
      </c>
      <c r="N36" s="147">
        <f t="shared" si="6"/>
        <v>286.75</v>
      </c>
    </row>
    <row r="37" spans="1:14">
      <c r="E37" s="174"/>
      <c r="F37" s="174"/>
    </row>
    <row r="38" spans="1:14">
      <c r="E38" s="174"/>
      <c r="F38" s="174"/>
    </row>
    <row r="39" spans="1:14">
      <c r="I39" s="127">
        <f>SUM(I11:I38)</f>
        <v>3572</v>
      </c>
      <c r="J39" s="127">
        <f>SUM(J11:J38)</f>
        <v>4866</v>
      </c>
      <c r="N39" s="175">
        <f>SUM(N11:N38)</f>
        <v>4523</v>
      </c>
    </row>
    <row r="41" spans="1:14">
      <c r="J41" s="127">
        <f>J8-J39</f>
        <v>-205</v>
      </c>
    </row>
    <row r="43" spans="1:14">
      <c r="I43" s="127" t="s">
        <v>1608</v>
      </c>
    </row>
    <row r="44" spans="1:14">
      <c r="H44" s="127" t="s">
        <v>1609</v>
      </c>
      <c r="I44" s="127">
        <f>59+59+80+80</f>
        <v>278</v>
      </c>
    </row>
    <row r="45" spans="1:14">
      <c r="H45" s="127" t="s">
        <v>1610</v>
      </c>
      <c r="I45" s="127">
        <v>1.5</v>
      </c>
      <c r="J45" s="127">
        <f>I44*I45</f>
        <v>417</v>
      </c>
    </row>
  </sheetData>
  <mergeCells count="1">
    <mergeCell ref="L7:M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A4D67-29DF-472C-BF57-AB66CAEA14E4}">
  <dimension ref="A1:CG56"/>
  <sheetViews>
    <sheetView tabSelected="1" zoomScale="85" zoomScaleNormal="85" workbookViewId="0"/>
  </sheetViews>
  <sheetFormatPr defaultRowHeight="12.75"/>
  <cols>
    <col min="1" max="1" width="16.42578125" style="1" bestFit="1" customWidth="1"/>
    <col min="2" max="11" width="13.85546875" style="1" bestFit="1" customWidth="1"/>
    <col min="12" max="12" width="10.5703125" style="1" bestFit="1" customWidth="1"/>
    <col min="13" max="14" width="10.28515625" style="1" bestFit="1" customWidth="1"/>
    <col min="15" max="15" width="22.140625" style="1" bestFit="1" customWidth="1"/>
    <col min="16" max="21" width="17.140625" style="1" bestFit="1" customWidth="1"/>
    <col min="22" max="22" width="22" style="1" bestFit="1" customWidth="1"/>
    <col min="23" max="23" width="21.42578125" style="1" bestFit="1" customWidth="1"/>
    <col min="24" max="43" width="17.140625" style="1" bestFit="1" customWidth="1"/>
    <col min="44" max="44" width="22" style="1" bestFit="1" customWidth="1"/>
    <col min="45" max="45" width="21.42578125" style="1" bestFit="1" customWidth="1"/>
    <col min="46" max="65" width="17.140625" style="1" bestFit="1" customWidth="1"/>
    <col min="66" max="66" width="22" style="1" bestFit="1" customWidth="1"/>
    <col min="67" max="67" width="21.42578125" style="1" bestFit="1" customWidth="1"/>
    <col min="68" max="77" width="17.140625" style="1" bestFit="1" customWidth="1"/>
    <col min="78" max="78" width="22" style="1" bestFit="1" customWidth="1"/>
    <col min="79" max="79" width="21.42578125" style="1" bestFit="1" customWidth="1"/>
    <col min="80" max="81" width="17.140625" style="1" bestFit="1" customWidth="1"/>
    <col min="82" max="82" width="24.28515625" style="1" bestFit="1" customWidth="1"/>
    <col min="83" max="83" width="24" style="1" bestFit="1" customWidth="1"/>
    <col min="84" max="84" width="22.42578125" style="1" bestFit="1" customWidth="1"/>
    <col min="85" max="85" width="22.140625" style="1" bestFit="1" customWidth="1"/>
    <col min="86" max="16384" width="9.140625" style="1"/>
  </cols>
  <sheetData>
    <row r="1" spans="1:85" ht="13.5" thickBot="1"/>
    <row r="2" spans="1:85" s="17" customFormat="1" ht="21" thickBot="1">
      <c r="A2" s="395"/>
      <c r="B2" s="396" t="s">
        <v>3670</v>
      </c>
      <c r="C2" s="396" t="s">
        <v>111</v>
      </c>
      <c r="D2" s="396"/>
      <c r="E2" s="396"/>
      <c r="F2" s="396"/>
      <c r="G2" s="396"/>
      <c r="H2" s="396"/>
      <c r="I2" s="396"/>
      <c r="J2" s="396"/>
      <c r="K2" s="396"/>
      <c r="L2" s="396"/>
      <c r="M2" s="397"/>
      <c r="N2" s="1"/>
      <c r="O2" s="547" t="s">
        <v>4094</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spans="1:85" ht="27.75" thickBot="1">
      <c r="A3" s="398"/>
      <c r="B3" s="441">
        <v>2016</v>
      </c>
      <c r="C3" s="442"/>
      <c r="D3" s="525">
        <v>2017</v>
      </c>
      <c r="E3" s="442"/>
      <c r="F3" s="525">
        <v>2018</v>
      </c>
      <c r="G3" s="442"/>
      <c r="H3" s="525">
        <v>2019</v>
      </c>
      <c r="I3" s="442"/>
      <c r="J3" s="525">
        <v>2020</v>
      </c>
      <c r="K3" s="525"/>
      <c r="L3" s="393" t="s">
        <v>3786</v>
      </c>
      <c r="M3" s="517" t="s">
        <v>3787</v>
      </c>
      <c r="O3" s="548">
        <f>(GETPIVOTDATA("Sale",$A$22)-GETPIVOTDATA("Cost",$A$22))/GETPIVOTDATA("Sale",$A$22)</f>
        <v>0.19904801366739991</v>
      </c>
    </row>
    <row r="4" spans="1:85" s="17" customFormat="1" ht="13.5" thickBot="1">
      <c r="A4" s="508" t="s">
        <v>4062</v>
      </c>
      <c r="B4" s="508" t="s">
        <v>1761</v>
      </c>
      <c r="C4" s="393" t="s">
        <v>3788</v>
      </c>
      <c r="D4" s="508" t="s">
        <v>1761</v>
      </c>
      <c r="E4" s="393" t="s">
        <v>3788</v>
      </c>
      <c r="F4" s="508" t="s">
        <v>1761</v>
      </c>
      <c r="G4" s="393" t="s">
        <v>3788</v>
      </c>
      <c r="H4" s="508" t="s">
        <v>1761</v>
      </c>
      <c r="I4" s="393" t="s">
        <v>3788</v>
      </c>
      <c r="J4" s="508" t="s">
        <v>1761</v>
      </c>
      <c r="K4" s="393" t="s">
        <v>3788</v>
      </c>
      <c r="L4" s="394"/>
      <c r="M4" s="509"/>
      <c r="N4" s="1"/>
    </row>
    <row r="5" spans="1:85">
      <c r="A5" s="298" t="s">
        <v>4064</v>
      </c>
      <c r="B5" s="520"/>
      <c r="C5" s="513"/>
      <c r="D5" s="524">
        <v>14</v>
      </c>
      <c r="E5" s="513">
        <v>534</v>
      </c>
      <c r="F5" s="524">
        <v>17</v>
      </c>
      <c r="G5" s="513">
        <v>716</v>
      </c>
      <c r="H5" s="524">
        <v>11</v>
      </c>
      <c r="I5" s="513">
        <v>471</v>
      </c>
      <c r="J5" s="524">
        <v>14</v>
      </c>
      <c r="K5" s="513">
        <v>564</v>
      </c>
      <c r="L5" s="513">
        <v>56</v>
      </c>
      <c r="M5" s="513">
        <v>2285</v>
      </c>
    </row>
    <row r="6" spans="1:85">
      <c r="A6" s="298" t="s">
        <v>3638</v>
      </c>
      <c r="B6" s="521"/>
      <c r="C6" s="514"/>
      <c r="D6" s="510"/>
      <c r="E6" s="514"/>
      <c r="F6" s="510"/>
      <c r="G6" s="514"/>
      <c r="H6" s="510"/>
      <c r="I6" s="514"/>
      <c r="J6" s="510">
        <v>2</v>
      </c>
      <c r="K6" s="514">
        <v>45</v>
      </c>
      <c r="L6" s="514">
        <v>2</v>
      </c>
      <c r="M6" s="514">
        <v>45</v>
      </c>
    </row>
    <row r="7" spans="1:85">
      <c r="A7" s="298" t="s">
        <v>4067</v>
      </c>
      <c r="B7" s="521"/>
      <c r="C7" s="514"/>
      <c r="D7" s="510"/>
      <c r="E7" s="514"/>
      <c r="F7" s="510">
        <v>2</v>
      </c>
      <c r="G7" s="514">
        <v>100</v>
      </c>
      <c r="H7" s="510"/>
      <c r="I7" s="514"/>
      <c r="J7" s="510"/>
      <c r="K7" s="514"/>
      <c r="L7" s="514">
        <v>2</v>
      </c>
      <c r="M7" s="514">
        <v>100</v>
      </c>
    </row>
    <row r="8" spans="1:85">
      <c r="A8" s="298" t="s">
        <v>4074</v>
      </c>
      <c r="B8" s="521"/>
      <c r="C8" s="514"/>
      <c r="D8" s="510"/>
      <c r="E8" s="514"/>
      <c r="F8" s="510">
        <v>3</v>
      </c>
      <c r="G8" s="514">
        <v>46</v>
      </c>
      <c r="H8" s="510"/>
      <c r="I8" s="514"/>
      <c r="J8" s="510"/>
      <c r="K8" s="514"/>
      <c r="L8" s="514">
        <v>3</v>
      </c>
      <c r="M8" s="514">
        <v>46</v>
      </c>
    </row>
    <row r="9" spans="1:85">
      <c r="A9" s="298" t="s">
        <v>3834</v>
      </c>
      <c r="B9" s="521"/>
      <c r="C9" s="514"/>
      <c r="D9" s="510"/>
      <c r="E9" s="514"/>
      <c r="F9" s="510">
        <v>8</v>
      </c>
      <c r="G9" s="514">
        <v>120</v>
      </c>
      <c r="H9" s="510"/>
      <c r="I9" s="514"/>
      <c r="J9" s="510">
        <v>4</v>
      </c>
      <c r="K9" s="514">
        <v>64</v>
      </c>
      <c r="L9" s="514">
        <v>12</v>
      </c>
      <c r="M9" s="514">
        <v>184</v>
      </c>
    </row>
    <row r="10" spans="1:85">
      <c r="A10" s="298" t="s">
        <v>4063</v>
      </c>
      <c r="B10" s="521">
        <v>3</v>
      </c>
      <c r="C10" s="514">
        <v>92</v>
      </c>
      <c r="D10" s="510"/>
      <c r="E10" s="514"/>
      <c r="F10" s="510">
        <v>1</v>
      </c>
      <c r="G10" s="514">
        <v>13</v>
      </c>
      <c r="H10" s="510"/>
      <c r="I10" s="514"/>
      <c r="J10" s="510"/>
      <c r="K10" s="514"/>
      <c r="L10" s="514">
        <v>4</v>
      </c>
      <c r="M10" s="514">
        <v>105</v>
      </c>
    </row>
    <row r="11" spans="1:85">
      <c r="A11" s="298" t="s">
        <v>4065</v>
      </c>
      <c r="B11" s="521"/>
      <c r="C11" s="514"/>
      <c r="D11" s="510">
        <v>1</v>
      </c>
      <c r="E11" s="514">
        <v>26</v>
      </c>
      <c r="F11" s="510"/>
      <c r="G11" s="514"/>
      <c r="H11" s="510"/>
      <c r="I11" s="514"/>
      <c r="J11" s="510"/>
      <c r="K11" s="514"/>
      <c r="L11" s="514">
        <v>1</v>
      </c>
      <c r="M11" s="514">
        <v>26</v>
      </c>
    </row>
    <row r="12" spans="1:85">
      <c r="A12" s="298" t="s">
        <v>4069</v>
      </c>
      <c r="B12" s="521"/>
      <c r="C12" s="514"/>
      <c r="D12" s="510"/>
      <c r="E12" s="514"/>
      <c r="F12" s="510">
        <v>1</v>
      </c>
      <c r="G12" s="514">
        <v>12</v>
      </c>
      <c r="H12" s="510"/>
      <c r="I12" s="514"/>
      <c r="J12" s="510"/>
      <c r="K12" s="514"/>
      <c r="L12" s="514">
        <v>1</v>
      </c>
      <c r="M12" s="514">
        <v>12</v>
      </c>
    </row>
    <row r="13" spans="1:85">
      <c r="A13" s="298" t="s">
        <v>4075</v>
      </c>
      <c r="B13" s="521">
        <v>1</v>
      </c>
      <c r="C13" s="514">
        <v>12</v>
      </c>
      <c r="D13" s="510"/>
      <c r="E13" s="514"/>
      <c r="F13" s="510">
        <v>1</v>
      </c>
      <c r="G13" s="514">
        <v>30</v>
      </c>
      <c r="H13" s="510"/>
      <c r="I13" s="514"/>
      <c r="J13" s="510"/>
      <c r="K13" s="514"/>
      <c r="L13" s="514">
        <v>2</v>
      </c>
      <c r="M13" s="514">
        <v>42</v>
      </c>
    </row>
    <row r="14" spans="1:85">
      <c r="A14" s="298" t="s">
        <v>4066</v>
      </c>
      <c r="B14" s="521"/>
      <c r="C14" s="514"/>
      <c r="D14" s="510"/>
      <c r="E14" s="514"/>
      <c r="F14" s="510">
        <v>3</v>
      </c>
      <c r="G14" s="514">
        <v>110</v>
      </c>
      <c r="H14" s="510">
        <v>1</v>
      </c>
      <c r="I14" s="514">
        <v>60</v>
      </c>
      <c r="J14" s="510"/>
      <c r="K14" s="514"/>
      <c r="L14" s="514">
        <v>4</v>
      </c>
      <c r="M14" s="514">
        <v>170</v>
      </c>
    </row>
    <row r="15" spans="1:85">
      <c r="A15" s="298" t="s">
        <v>4072</v>
      </c>
      <c r="B15" s="521"/>
      <c r="C15" s="514"/>
      <c r="D15" s="510"/>
      <c r="E15" s="514"/>
      <c r="F15" s="510">
        <v>1</v>
      </c>
      <c r="G15" s="514">
        <v>15</v>
      </c>
      <c r="H15" s="510">
        <v>1</v>
      </c>
      <c r="I15" s="514">
        <v>20</v>
      </c>
      <c r="J15" s="510">
        <v>1</v>
      </c>
      <c r="K15" s="514">
        <v>11</v>
      </c>
      <c r="L15" s="514">
        <v>3</v>
      </c>
      <c r="M15" s="514">
        <v>46</v>
      </c>
    </row>
    <row r="16" spans="1:85">
      <c r="A16" s="298" t="s">
        <v>4073</v>
      </c>
      <c r="B16" s="521"/>
      <c r="C16" s="514"/>
      <c r="D16" s="510"/>
      <c r="E16" s="514"/>
      <c r="F16" s="510"/>
      <c r="G16" s="514"/>
      <c r="H16" s="510"/>
      <c r="I16" s="514"/>
      <c r="J16" s="510">
        <v>1</v>
      </c>
      <c r="K16" s="514">
        <v>25</v>
      </c>
      <c r="L16" s="514">
        <v>1</v>
      </c>
      <c r="M16" s="514">
        <v>25</v>
      </c>
    </row>
    <row r="17" spans="1:13">
      <c r="A17" s="298" t="s">
        <v>3971</v>
      </c>
      <c r="B17" s="521"/>
      <c r="C17" s="514"/>
      <c r="D17" s="510">
        <v>4</v>
      </c>
      <c r="E17" s="514">
        <v>107</v>
      </c>
      <c r="F17" s="510">
        <v>7</v>
      </c>
      <c r="G17" s="514">
        <v>104</v>
      </c>
      <c r="H17" s="510">
        <v>1</v>
      </c>
      <c r="I17" s="514">
        <v>32</v>
      </c>
      <c r="J17" s="510">
        <v>4</v>
      </c>
      <c r="K17" s="514">
        <v>43</v>
      </c>
      <c r="L17" s="514">
        <v>16</v>
      </c>
      <c r="M17" s="514">
        <v>286</v>
      </c>
    </row>
    <row r="18" spans="1:13" ht="13.5" thickBot="1">
      <c r="A18" s="298" t="s">
        <v>4070</v>
      </c>
      <c r="B18" s="521"/>
      <c r="C18" s="514"/>
      <c r="D18" s="510"/>
      <c r="E18" s="514"/>
      <c r="F18" s="510">
        <v>2</v>
      </c>
      <c r="G18" s="514">
        <v>43</v>
      </c>
      <c r="H18" s="510">
        <v>2</v>
      </c>
      <c r="I18" s="514">
        <v>74</v>
      </c>
      <c r="J18" s="510"/>
      <c r="K18" s="514"/>
      <c r="L18" s="514">
        <v>4</v>
      </c>
      <c r="M18" s="514">
        <v>117</v>
      </c>
    </row>
    <row r="19" spans="1:13" ht="13.5" thickBot="1">
      <c r="A19" s="399" t="s">
        <v>18</v>
      </c>
      <c r="B19" s="522">
        <v>4</v>
      </c>
      <c r="C19" s="516">
        <v>104</v>
      </c>
      <c r="D19" s="515">
        <v>19</v>
      </c>
      <c r="E19" s="516">
        <v>667</v>
      </c>
      <c r="F19" s="515">
        <v>46</v>
      </c>
      <c r="G19" s="516">
        <v>1309</v>
      </c>
      <c r="H19" s="515">
        <v>16</v>
      </c>
      <c r="I19" s="516">
        <v>657</v>
      </c>
      <c r="J19" s="515">
        <v>26</v>
      </c>
      <c r="K19" s="516">
        <v>752</v>
      </c>
      <c r="L19" s="516">
        <v>111</v>
      </c>
      <c r="M19" s="516">
        <v>3489</v>
      </c>
    </row>
    <row r="21" spans="1:13" ht="13.5" thickBot="1"/>
    <row r="22" spans="1:13" ht="13.5" thickBot="1">
      <c r="A22" s="395"/>
      <c r="B22" s="396" t="s">
        <v>3670</v>
      </c>
      <c r="C22" s="396" t="s">
        <v>111</v>
      </c>
      <c r="D22" s="396"/>
      <c r="E22" s="396"/>
      <c r="F22" s="396"/>
      <c r="G22" s="396"/>
      <c r="H22" s="396"/>
      <c r="I22" s="396"/>
      <c r="J22" s="396"/>
      <c r="K22" s="396"/>
      <c r="L22" s="396"/>
      <c r="M22" s="397"/>
    </row>
    <row r="23" spans="1:13" ht="13.5" thickBot="1">
      <c r="A23" s="398"/>
      <c r="B23" s="518">
        <v>2016</v>
      </c>
      <c r="C23" s="519"/>
      <c r="D23" s="523">
        <v>2017</v>
      </c>
      <c r="E23" s="523"/>
      <c r="F23" s="518">
        <v>2018</v>
      </c>
      <c r="G23" s="519"/>
      <c r="H23" s="523">
        <v>2019</v>
      </c>
      <c r="I23" s="523"/>
      <c r="J23" s="518">
        <v>2020</v>
      </c>
      <c r="K23" s="523"/>
      <c r="L23" s="531" t="s">
        <v>4085</v>
      </c>
      <c r="M23" s="531" t="s">
        <v>3787</v>
      </c>
    </row>
    <row r="24" spans="1:13" ht="13.5" thickBot="1">
      <c r="A24" s="508" t="s">
        <v>4062</v>
      </c>
      <c r="B24" s="531" t="s">
        <v>1571</v>
      </c>
      <c r="C24" s="507" t="s">
        <v>3788</v>
      </c>
      <c r="D24" s="531" t="s">
        <v>1571</v>
      </c>
      <c r="E24" s="507" t="s">
        <v>3788</v>
      </c>
      <c r="F24" s="531" t="s">
        <v>1571</v>
      </c>
      <c r="G24" s="507" t="s">
        <v>3788</v>
      </c>
      <c r="H24" s="531" t="s">
        <v>1571</v>
      </c>
      <c r="I24" s="507" t="s">
        <v>3788</v>
      </c>
      <c r="J24" s="531" t="s">
        <v>1571</v>
      </c>
      <c r="K24" s="507" t="s">
        <v>3788</v>
      </c>
      <c r="L24" s="534"/>
      <c r="M24" s="534"/>
    </row>
    <row r="25" spans="1:13">
      <c r="A25" s="298" t="s">
        <v>4064</v>
      </c>
      <c r="B25" s="532"/>
      <c r="C25" s="530"/>
      <c r="D25" s="532">
        <v>432.01641301819882</v>
      </c>
      <c r="E25" s="524">
        <v>534</v>
      </c>
      <c r="F25" s="532">
        <v>627.65861246337431</v>
      </c>
      <c r="G25" s="530">
        <v>716</v>
      </c>
      <c r="H25" s="532">
        <v>406.73988894703177</v>
      </c>
      <c r="I25" s="524">
        <v>471</v>
      </c>
      <c r="J25" s="532">
        <v>493.03675165222785</v>
      </c>
      <c r="K25" s="524">
        <v>564</v>
      </c>
      <c r="L25" s="532">
        <v>1959.4516660808326</v>
      </c>
      <c r="M25" s="530">
        <v>2285</v>
      </c>
    </row>
    <row r="26" spans="1:13">
      <c r="A26" s="298" t="s">
        <v>3638</v>
      </c>
      <c r="B26" s="533"/>
      <c r="C26" s="511"/>
      <c r="D26" s="533"/>
      <c r="E26" s="510"/>
      <c r="F26" s="533"/>
      <c r="G26" s="511"/>
      <c r="H26" s="533"/>
      <c r="I26" s="510"/>
      <c r="J26" s="533">
        <v>37.100529100529101</v>
      </c>
      <c r="K26" s="510">
        <v>45</v>
      </c>
      <c r="L26" s="533">
        <v>37.100529100529101</v>
      </c>
      <c r="M26" s="511">
        <v>45</v>
      </c>
    </row>
    <row r="27" spans="1:13">
      <c r="A27" s="298" t="s">
        <v>4067</v>
      </c>
      <c r="B27" s="533"/>
      <c r="C27" s="511"/>
      <c r="D27" s="533"/>
      <c r="E27" s="510"/>
      <c r="F27" s="533">
        <v>63.298581965742983</v>
      </c>
      <c r="G27" s="511">
        <v>100</v>
      </c>
      <c r="H27" s="533"/>
      <c r="I27" s="510"/>
      <c r="J27" s="533"/>
      <c r="K27" s="510"/>
      <c r="L27" s="533">
        <v>63.298581965742983</v>
      </c>
      <c r="M27" s="511">
        <v>100</v>
      </c>
    </row>
    <row r="28" spans="1:13">
      <c r="A28" s="298" t="s">
        <v>4074</v>
      </c>
      <c r="B28" s="533"/>
      <c r="C28" s="511"/>
      <c r="D28" s="533"/>
      <c r="E28" s="510"/>
      <c r="F28" s="533">
        <v>21.288888888888891</v>
      </c>
      <c r="G28" s="511">
        <v>46</v>
      </c>
      <c r="H28" s="533"/>
      <c r="I28" s="510"/>
      <c r="J28" s="533"/>
      <c r="K28" s="510"/>
      <c r="L28" s="533">
        <v>21.288888888888891</v>
      </c>
      <c r="M28" s="511">
        <v>46</v>
      </c>
    </row>
    <row r="29" spans="1:13">
      <c r="A29" s="298" t="s">
        <v>3834</v>
      </c>
      <c r="B29" s="533"/>
      <c r="C29" s="511"/>
      <c r="D29" s="533"/>
      <c r="E29" s="510"/>
      <c r="F29" s="533">
        <v>99.990314769975782</v>
      </c>
      <c r="G29" s="511">
        <v>120</v>
      </c>
      <c r="H29" s="533"/>
      <c r="I29" s="510"/>
      <c r="J29" s="533">
        <v>49.995157384987891</v>
      </c>
      <c r="K29" s="510">
        <v>64</v>
      </c>
      <c r="L29" s="533">
        <v>149.98547215496367</v>
      </c>
      <c r="M29" s="511">
        <v>184</v>
      </c>
    </row>
    <row r="30" spans="1:13">
      <c r="A30" s="298" t="s">
        <v>4063</v>
      </c>
      <c r="B30" s="533">
        <v>52</v>
      </c>
      <c r="C30" s="511">
        <v>92</v>
      </c>
      <c r="D30" s="533"/>
      <c r="E30" s="510"/>
      <c r="F30" s="533">
        <v>8</v>
      </c>
      <c r="G30" s="511">
        <v>13</v>
      </c>
      <c r="H30" s="533"/>
      <c r="I30" s="510"/>
      <c r="J30" s="533"/>
      <c r="K30" s="510"/>
      <c r="L30" s="533">
        <v>60</v>
      </c>
      <c r="M30" s="511">
        <v>105</v>
      </c>
    </row>
    <row r="31" spans="1:13">
      <c r="A31" s="298" t="s">
        <v>4065</v>
      </c>
      <c r="B31" s="533"/>
      <c r="C31" s="511"/>
      <c r="D31" s="533">
        <v>18</v>
      </c>
      <c r="E31" s="510">
        <v>26</v>
      </c>
      <c r="F31" s="533"/>
      <c r="G31" s="511"/>
      <c r="H31" s="533"/>
      <c r="I31" s="510"/>
      <c r="J31" s="533"/>
      <c r="K31" s="510"/>
      <c r="L31" s="533">
        <v>18</v>
      </c>
      <c r="M31" s="511">
        <v>26</v>
      </c>
    </row>
    <row r="32" spans="1:13">
      <c r="A32" s="298" t="s">
        <v>4069</v>
      </c>
      <c r="B32" s="533"/>
      <c r="C32" s="511"/>
      <c r="D32" s="533"/>
      <c r="E32" s="510"/>
      <c r="F32" s="533">
        <v>8</v>
      </c>
      <c r="G32" s="511">
        <v>12</v>
      </c>
      <c r="H32" s="533"/>
      <c r="I32" s="510"/>
      <c r="J32" s="533"/>
      <c r="K32" s="510"/>
      <c r="L32" s="533">
        <v>8</v>
      </c>
      <c r="M32" s="511">
        <v>12</v>
      </c>
    </row>
    <row r="33" spans="1:13">
      <c r="A33" s="298" t="s">
        <v>4075</v>
      </c>
      <c r="B33" s="533">
        <v>21.172619047619047</v>
      </c>
      <c r="C33" s="511">
        <v>12</v>
      </c>
      <c r="D33" s="533"/>
      <c r="E33" s="510"/>
      <c r="F33" s="533">
        <v>21.172619047619047</v>
      </c>
      <c r="G33" s="511">
        <v>30</v>
      </c>
      <c r="H33" s="533"/>
      <c r="I33" s="510"/>
      <c r="J33" s="533"/>
      <c r="K33" s="510"/>
      <c r="L33" s="533">
        <v>42.345238095238095</v>
      </c>
      <c r="M33" s="511">
        <v>42</v>
      </c>
    </row>
    <row r="34" spans="1:13">
      <c r="A34" s="298" t="s">
        <v>4066</v>
      </c>
      <c r="B34" s="533"/>
      <c r="C34" s="511"/>
      <c r="D34" s="533"/>
      <c r="E34" s="510"/>
      <c r="F34" s="533">
        <v>106.31269841269841</v>
      </c>
      <c r="G34" s="511">
        <v>110</v>
      </c>
      <c r="H34" s="533">
        <v>51.571428571428569</v>
      </c>
      <c r="I34" s="510">
        <v>60</v>
      </c>
      <c r="J34" s="533"/>
      <c r="K34" s="510"/>
      <c r="L34" s="533">
        <v>157.88412698412696</v>
      </c>
      <c r="M34" s="511">
        <v>170</v>
      </c>
    </row>
    <row r="35" spans="1:13">
      <c r="A35" s="298" t="s">
        <v>4072</v>
      </c>
      <c r="B35" s="533"/>
      <c r="C35" s="511"/>
      <c r="D35" s="533"/>
      <c r="E35" s="510"/>
      <c r="F35" s="533">
        <v>14.521950271950272</v>
      </c>
      <c r="G35" s="511">
        <v>15</v>
      </c>
      <c r="H35" s="533">
        <v>14.521950271950272</v>
      </c>
      <c r="I35" s="510">
        <v>20</v>
      </c>
      <c r="J35" s="533">
        <v>14.521950271950272</v>
      </c>
      <c r="K35" s="510">
        <v>11</v>
      </c>
      <c r="L35" s="533">
        <v>43.565850815850816</v>
      </c>
      <c r="M35" s="511">
        <v>46</v>
      </c>
    </row>
    <row r="36" spans="1:13">
      <c r="A36" s="298" t="s">
        <v>4073</v>
      </c>
      <c r="B36" s="533"/>
      <c r="C36" s="511"/>
      <c r="D36" s="533"/>
      <c r="E36" s="510"/>
      <c r="F36" s="533"/>
      <c r="G36" s="511"/>
      <c r="H36" s="533"/>
      <c r="I36" s="510"/>
      <c r="J36" s="533">
        <v>19.135714285714286</v>
      </c>
      <c r="K36" s="510">
        <v>25</v>
      </c>
      <c r="L36" s="533">
        <v>19.135714285714286</v>
      </c>
      <c r="M36" s="511">
        <v>25</v>
      </c>
    </row>
    <row r="37" spans="1:13">
      <c r="A37" s="298" t="s">
        <v>3971</v>
      </c>
      <c r="B37" s="533"/>
      <c r="C37" s="511"/>
      <c r="D37" s="533">
        <v>28.52941798941799</v>
      </c>
      <c r="E37" s="510">
        <v>107</v>
      </c>
      <c r="F37" s="533">
        <v>60.425714285714278</v>
      </c>
      <c r="G37" s="511">
        <v>104</v>
      </c>
      <c r="H37" s="533">
        <v>6.1989417989417985</v>
      </c>
      <c r="I37" s="510">
        <v>32</v>
      </c>
      <c r="J37" s="533">
        <v>33.717989417989415</v>
      </c>
      <c r="K37" s="510">
        <v>43</v>
      </c>
      <c r="L37" s="533">
        <v>128.87206349206349</v>
      </c>
      <c r="M37" s="511">
        <v>286</v>
      </c>
    </row>
    <row r="38" spans="1:13" ht="13.5" thickBot="1">
      <c r="A38" s="298" t="s">
        <v>4070</v>
      </c>
      <c r="B38" s="533"/>
      <c r="C38" s="511"/>
      <c r="D38" s="533"/>
      <c r="E38" s="510"/>
      <c r="F38" s="533">
        <v>33.560846560846556</v>
      </c>
      <c r="G38" s="511">
        <v>43</v>
      </c>
      <c r="H38" s="533">
        <v>52.032501889644749</v>
      </c>
      <c r="I38" s="510">
        <v>74</v>
      </c>
      <c r="J38" s="533"/>
      <c r="K38" s="510"/>
      <c r="L38" s="533">
        <v>85.593348450491305</v>
      </c>
      <c r="M38" s="511">
        <v>117</v>
      </c>
    </row>
    <row r="39" spans="1:13" ht="13.5" thickBot="1">
      <c r="A39" s="512" t="s">
        <v>18</v>
      </c>
      <c r="B39" s="529">
        <v>73.172619047619051</v>
      </c>
      <c r="C39" s="529">
        <v>104</v>
      </c>
      <c r="D39" s="529">
        <v>478.54583100761681</v>
      </c>
      <c r="E39" s="528">
        <v>667</v>
      </c>
      <c r="F39" s="529">
        <v>1064.2302266668105</v>
      </c>
      <c r="G39" s="529">
        <v>1309</v>
      </c>
      <c r="H39" s="529">
        <v>531.0647114789972</v>
      </c>
      <c r="I39" s="528">
        <v>657</v>
      </c>
      <c r="J39" s="529">
        <v>647.50809211339879</v>
      </c>
      <c r="K39" s="528">
        <v>752</v>
      </c>
      <c r="L39" s="529">
        <v>2794.5214803144418</v>
      </c>
      <c r="M39" s="529">
        <v>3489</v>
      </c>
    </row>
    <row r="40" spans="1:13" ht="15">
      <c r="A40"/>
      <c r="B40"/>
      <c r="C40"/>
      <c r="D40"/>
    </row>
    <row r="41" spans="1:13" ht="13.5" thickBot="1">
      <c r="A41"/>
      <c r="B41"/>
      <c r="C41"/>
      <c r="D41"/>
    </row>
    <row r="42" spans="1:13" ht="13.5" thickBot="1">
      <c r="A42"/>
      <c r="B42"/>
      <c r="C42"/>
      <c r="D42"/>
    </row>
    <row r="43" spans="1:13">
      <c r="A43"/>
      <c r="B43"/>
      <c r="C43"/>
      <c r="D43"/>
    </row>
    <row r="44" spans="1:13">
      <c r="A44"/>
      <c r="B44"/>
      <c r="C44"/>
      <c r="D44"/>
    </row>
    <row r="45" spans="1:13">
      <c r="A45"/>
      <c r="B45"/>
      <c r="C45"/>
      <c r="D45"/>
    </row>
    <row r="46" spans="1:13">
      <c r="A46"/>
      <c r="B46"/>
      <c r="C46"/>
      <c r="D46"/>
    </row>
    <row r="47" spans="1:13" ht="13.5" thickBot="1">
      <c r="A47"/>
      <c r="B47"/>
      <c r="C47"/>
      <c r="D47"/>
    </row>
    <row r="48" spans="1:13" ht="13.5" thickBot="1">
      <c r="A48"/>
      <c r="B48"/>
      <c r="C48"/>
      <c r="D48"/>
    </row>
    <row r="49" spans="1:4">
      <c r="A49"/>
      <c r="B49"/>
      <c r="C49"/>
      <c r="D49"/>
    </row>
    <row r="50" spans="1:4">
      <c r="A50"/>
      <c r="B50"/>
      <c r="C50"/>
      <c r="D50"/>
    </row>
    <row r="51" spans="1:4">
      <c r="A51"/>
      <c r="B51"/>
      <c r="C51"/>
      <c r="D51"/>
    </row>
    <row r="52" spans="1:4">
      <c r="A52"/>
      <c r="B52"/>
      <c r="C52"/>
      <c r="D52"/>
    </row>
    <row r="53" spans="1:4">
      <c r="A53"/>
      <c r="B53"/>
      <c r="C53"/>
      <c r="D53"/>
    </row>
    <row r="54" spans="1:4" ht="13.5" thickBot="1">
      <c r="A54"/>
      <c r="B54"/>
      <c r="C54"/>
      <c r="D54"/>
    </row>
    <row r="55" spans="1:4" ht="13.5" thickBot="1">
      <c r="A55"/>
      <c r="B55"/>
      <c r="C55"/>
      <c r="D55"/>
    </row>
    <row r="56" spans="1:4" ht="13.5" thickBot="1">
      <c r="A56"/>
      <c r="B56"/>
      <c r="C56"/>
      <c r="D56"/>
    </row>
  </sheetData>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35E8E-9B2D-4B78-8CB4-8F91F37F59BA}">
  <dimension ref="A1:G26"/>
  <sheetViews>
    <sheetView workbookViewId="0">
      <selection activeCell="G26" sqref="G26"/>
    </sheetView>
  </sheetViews>
  <sheetFormatPr defaultRowHeight="15"/>
  <cols>
    <col min="1" max="1" width="9.7109375" bestFit="1" customWidth="1"/>
    <col min="2" max="2" width="15.42578125" bestFit="1" customWidth="1"/>
    <col min="3" max="3" width="27.140625" bestFit="1" customWidth="1"/>
    <col min="4" max="4" width="11" bestFit="1" customWidth="1"/>
    <col min="5" max="5" width="5.85546875" bestFit="1" customWidth="1"/>
    <col min="6" max="6" width="11.28515625" bestFit="1" customWidth="1"/>
    <col min="7" max="7" width="5.7109375" bestFit="1" customWidth="1"/>
  </cols>
  <sheetData>
    <row r="1" spans="1:6" ht="15.75" thickBot="1">
      <c r="A1" s="382" t="s">
        <v>0</v>
      </c>
      <c r="B1" s="377" t="s">
        <v>3775</v>
      </c>
      <c r="C1" s="377" t="s">
        <v>3665</v>
      </c>
      <c r="D1" s="377" t="s">
        <v>3776</v>
      </c>
      <c r="E1" s="377" t="s">
        <v>3761</v>
      </c>
      <c r="F1" s="378" t="s">
        <v>3757</v>
      </c>
    </row>
    <row r="2" spans="1:6">
      <c r="A2" s="379"/>
      <c r="B2" s="379" t="s">
        <v>3758</v>
      </c>
      <c r="C2" s="379"/>
      <c r="D2" s="379"/>
      <c r="E2" s="379">
        <v>95</v>
      </c>
      <c r="F2" s="379">
        <v>100</v>
      </c>
    </row>
    <row r="3" spans="1:6">
      <c r="A3" s="381">
        <v>45280</v>
      </c>
      <c r="B3" s="380" t="s">
        <v>3759</v>
      </c>
      <c r="C3" s="380" t="s">
        <v>3769</v>
      </c>
      <c r="D3" s="380"/>
      <c r="E3" s="380">
        <v>20</v>
      </c>
      <c r="F3" s="380"/>
    </row>
    <row r="4" spans="1:6">
      <c r="A4" s="381"/>
      <c r="B4" s="380"/>
      <c r="C4" s="380" t="s">
        <v>3770</v>
      </c>
      <c r="D4" s="380"/>
      <c r="E4" s="380">
        <v>17</v>
      </c>
      <c r="F4" s="380"/>
    </row>
    <row r="5" spans="1:6">
      <c r="A5" s="381"/>
      <c r="B5" s="380"/>
      <c r="C5" s="380" t="s">
        <v>3771</v>
      </c>
      <c r="D5" s="380"/>
      <c r="E5" s="380">
        <v>13</v>
      </c>
      <c r="F5" s="380"/>
    </row>
    <row r="6" spans="1:6">
      <c r="A6" s="381">
        <v>45281</v>
      </c>
      <c r="B6" s="380" t="s">
        <v>3760</v>
      </c>
      <c r="C6" s="380"/>
      <c r="D6" s="380"/>
      <c r="E6" s="380">
        <v>230</v>
      </c>
      <c r="F6" s="380">
        <v>350</v>
      </c>
    </row>
    <row r="7" spans="1:6">
      <c r="A7" s="380"/>
      <c r="B7" s="380" t="s">
        <v>3762</v>
      </c>
      <c r="C7" s="380"/>
      <c r="D7" s="380">
        <v>200</v>
      </c>
      <c r="E7" s="380"/>
      <c r="F7" s="380"/>
    </row>
    <row r="8" spans="1:6">
      <c r="A8" s="381">
        <v>45284</v>
      </c>
      <c r="B8" s="380" t="s">
        <v>3759</v>
      </c>
      <c r="C8" s="380" t="s">
        <v>3772</v>
      </c>
      <c r="D8" s="380"/>
      <c r="E8" s="380">
        <v>43</v>
      </c>
      <c r="F8" s="380"/>
    </row>
    <row r="9" spans="1:6">
      <c r="A9" s="381"/>
      <c r="B9" s="380"/>
      <c r="C9" s="380" t="s">
        <v>3773</v>
      </c>
      <c r="D9" s="380"/>
      <c r="E9" s="380">
        <v>20</v>
      </c>
      <c r="F9" s="380"/>
    </row>
    <row r="10" spans="1:6">
      <c r="A10" s="381"/>
      <c r="B10" s="380"/>
      <c r="C10" s="380" t="s">
        <v>3774</v>
      </c>
      <c r="D10" s="380"/>
      <c r="E10" s="380">
        <v>16</v>
      </c>
      <c r="F10" s="380"/>
    </row>
    <row r="11" spans="1:6">
      <c r="A11" s="381">
        <v>45286</v>
      </c>
      <c r="B11" s="380" t="s">
        <v>3759</v>
      </c>
      <c r="C11" s="380" t="s">
        <v>3763</v>
      </c>
      <c r="D11" s="380"/>
      <c r="E11" s="380">
        <v>135</v>
      </c>
      <c r="F11" s="380"/>
    </row>
    <row r="12" spans="1:6">
      <c r="A12" s="380"/>
      <c r="B12" s="380"/>
      <c r="C12" s="380" t="s">
        <v>3764</v>
      </c>
      <c r="D12" s="380"/>
      <c r="E12" s="380">
        <f>23+8</f>
        <v>31</v>
      </c>
      <c r="F12" s="380"/>
    </row>
    <row r="13" spans="1:6">
      <c r="A13" s="380"/>
      <c r="B13" s="380"/>
      <c r="C13" s="380" t="s">
        <v>3765</v>
      </c>
      <c r="D13" s="380"/>
      <c r="E13" s="380">
        <v>14</v>
      </c>
      <c r="F13" s="380"/>
    </row>
    <row r="14" spans="1:6">
      <c r="A14" s="381">
        <v>45294</v>
      </c>
      <c r="B14" s="380" t="s">
        <v>3757</v>
      </c>
      <c r="C14" s="380"/>
      <c r="D14" s="380"/>
      <c r="E14" s="380"/>
      <c r="F14" s="380">
        <v>150</v>
      </c>
    </row>
    <row r="15" spans="1:6">
      <c r="A15" s="381">
        <v>45303</v>
      </c>
      <c r="B15" s="380" t="s">
        <v>3766</v>
      </c>
      <c r="C15" s="380"/>
      <c r="D15" s="380"/>
      <c r="E15" s="380">
        <v>29</v>
      </c>
      <c r="F15" s="380"/>
    </row>
    <row r="16" spans="1:6">
      <c r="A16" s="381">
        <v>45307</v>
      </c>
      <c r="B16" s="380" t="s">
        <v>3759</v>
      </c>
      <c r="C16" s="380" t="s">
        <v>3768</v>
      </c>
      <c r="D16" s="380"/>
      <c r="E16" s="380">
        <f>92-E17</f>
        <v>38</v>
      </c>
      <c r="F16" s="380"/>
    </row>
    <row r="17" spans="1:7">
      <c r="A17" s="380"/>
      <c r="B17" s="380"/>
      <c r="C17" s="380" t="s">
        <v>3767</v>
      </c>
      <c r="D17" s="380"/>
      <c r="E17" s="380">
        <v>54</v>
      </c>
      <c r="F17" s="380"/>
    </row>
    <row r="18" spans="1:7">
      <c r="A18" s="381">
        <v>45309</v>
      </c>
      <c r="B18" s="380" t="s">
        <v>3777</v>
      </c>
      <c r="C18" s="380" t="s">
        <v>3779</v>
      </c>
      <c r="D18" s="380"/>
      <c r="E18" s="380">
        <f>180-35</f>
        <v>145</v>
      </c>
      <c r="F18" s="380"/>
    </row>
    <row r="19" spans="1:7">
      <c r="A19" s="381">
        <v>45314</v>
      </c>
      <c r="B19" s="380" t="s">
        <v>3762</v>
      </c>
      <c r="C19" s="380" t="s">
        <v>3778</v>
      </c>
      <c r="D19" s="380"/>
      <c r="E19" s="380">
        <v>98</v>
      </c>
      <c r="F19" s="380"/>
    </row>
    <row r="20" spans="1:7">
      <c r="A20" s="381"/>
      <c r="B20" s="380" t="s">
        <v>3780</v>
      </c>
      <c r="C20" s="380" t="s">
        <v>3781</v>
      </c>
      <c r="D20" s="380"/>
      <c r="E20" s="380">
        <f>184-20</f>
        <v>164</v>
      </c>
      <c r="F20" s="380"/>
    </row>
    <row r="21" spans="1:7">
      <c r="A21" s="381">
        <v>45321</v>
      </c>
      <c r="B21" s="380" t="s">
        <v>3782</v>
      </c>
      <c r="C21" s="380"/>
      <c r="D21" s="380"/>
      <c r="E21" s="380">
        <v>250</v>
      </c>
      <c r="F21" s="380"/>
    </row>
    <row r="22" spans="1:7">
      <c r="A22" s="381"/>
      <c r="B22" s="380" t="s">
        <v>3783</v>
      </c>
      <c r="C22" s="380" t="s">
        <v>3784</v>
      </c>
      <c r="D22" s="380"/>
      <c r="E22" s="380">
        <v>180</v>
      </c>
      <c r="F22" s="380"/>
    </row>
    <row r="23" spans="1:7">
      <c r="A23" s="381">
        <v>45329</v>
      </c>
      <c r="B23" s="380" t="s">
        <v>3759</v>
      </c>
      <c r="C23" s="380" t="s">
        <v>3785</v>
      </c>
      <c r="D23" s="380"/>
      <c r="E23" s="380">
        <v>37</v>
      </c>
      <c r="F23" s="380"/>
    </row>
    <row r="24" spans="1:7">
      <c r="A24" s="381"/>
      <c r="B24" s="380"/>
      <c r="C24" s="380"/>
      <c r="D24" s="380"/>
      <c r="E24" s="380"/>
      <c r="F24" s="380"/>
    </row>
    <row r="25" spans="1:7">
      <c r="A25" s="381"/>
      <c r="B25" s="380"/>
      <c r="C25" s="380"/>
      <c r="D25" s="380"/>
      <c r="E25" s="380"/>
      <c r="F25" s="380"/>
    </row>
    <row r="26" spans="1:7">
      <c r="A26" s="380"/>
      <c r="B26" s="380"/>
      <c r="C26" s="380"/>
      <c r="D26" s="380"/>
      <c r="E26" s="380">
        <f>SUM(E2:E23)</f>
        <v>1629</v>
      </c>
      <c r="F26" s="380">
        <f>SUM(F2:F22)</f>
        <v>600</v>
      </c>
      <c r="G26">
        <f>F26-E26</f>
        <v>-1029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A5331-1F3B-44B1-9B12-8CC906D25484}">
  <dimension ref="A1:EG119"/>
  <sheetViews>
    <sheetView zoomScale="85" zoomScaleNormal="85" workbookViewId="0"/>
  </sheetViews>
  <sheetFormatPr defaultColWidth="15.28515625" defaultRowHeight="12.75"/>
  <cols>
    <col min="1" max="1" width="5.7109375" style="179" bestFit="1" customWidth="1"/>
    <col min="2" max="2" width="12.42578125" style="179" bestFit="1" customWidth="1"/>
    <col min="3" max="3" width="15.42578125" style="192" customWidth="1"/>
    <col min="4" max="4" width="19.140625" style="192" bestFit="1" customWidth="1"/>
    <col min="5" max="5" width="18.85546875" style="192" customWidth="1"/>
    <col min="6" max="6" width="21.42578125" style="192" customWidth="1"/>
    <col min="7" max="7" width="20.85546875" style="192" customWidth="1"/>
    <col min="8" max="8" width="15.7109375" style="192" customWidth="1"/>
    <col min="9" max="9" width="9.42578125" style="179" customWidth="1"/>
    <col min="10" max="10" width="12.28515625" style="179" bestFit="1" customWidth="1"/>
    <col min="11" max="12" width="12.28515625" style="179" customWidth="1"/>
    <col min="13" max="13" width="9.85546875" style="179" bestFit="1" customWidth="1"/>
    <col min="14" max="15" width="10.85546875" style="192" customWidth="1"/>
    <col min="16" max="16" width="13.140625" style="536" customWidth="1"/>
    <col min="17" max="16384" width="15.28515625" style="179"/>
  </cols>
  <sheetData>
    <row r="1" spans="1:137" s="349" customFormat="1" ht="26.25" thickBot="1">
      <c r="A1" s="389" t="s">
        <v>1883</v>
      </c>
      <c r="B1" s="390" t="s">
        <v>2043</v>
      </c>
      <c r="C1" s="390" t="s">
        <v>1662</v>
      </c>
      <c r="D1" s="390" t="s">
        <v>4062</v>
      </c>
      <c r="E1" s="390" t="s">
        <v>3665</v>
      </c>
      <c r="F1" s="390" t="s">
        <v>1739</v>
      </c>
      <c r="G1" s="390" t="s">
        <v>71</v>
      </c>
      <c r="H1" s="390" t="s">
        <v>2274</v>
      </c>
      <c r="I1" s="390" t="s">
        <v>1670</v>
      </c>
      <c r="J1" s="390" t="s">
        <v>1654</v>
      </c>
      <c r="K1" s="390" t="s">
        <v>3670</v>
      </c>
      <c r="L1" s="390" t="s">
        <v>3671</v>
      </c>
      <c r="M1" s="390" t="s">
        <v>1663</v>
      </c>
      <c r="N1" s="391" t="s">
        <v>1664</v>
      </c>
      <c r="O1" s="392" t="s">
        <v>2</v>
      </c>
      <c r="P1" s="527" t="s">
        <v>4078</v>
      </c>
    </row>
    <row r="2" spans="1:137">
      <c r="A2" s="383">
        <v>1</v>
      </c>
      <c r="B2" s="217" t="s">
        <v>2044</v>
      </c>
      <c r="C2" s="384" t="s">
        <v>1653</v>
      </c>
      <c r="D2" s="526" t="s">
        <v>3971</v>
      </c>
      <c r="E2" s="385" t="s">
        <v>4021</v>
      </c>
      <c r="F2" s="385" t="s">
        <v>3848</v>
      </c>
      <c r="G2" s="203" t="s">
        <v>4021</v>
      </c>
      <c r="H2" s="386">
        <v>43008</v>
      </c>
      <c r="I2" s="383"/>
      <c r="J2" s="387">
        <v>42971</v>
      </c>
      <c r="K2" s="383">
        <f>YEAR(J2)</f>
        <v>2017</v>
      </c>
      <c r="L2" s="383">
        <f>MONTH(J2)</f>
        <v>8</v>
      </c>
      <c r="M2" s="387">
        <v>42984</v>
      </c>
      <c r="N2" s="450">
        <v>1.1499999999999999</v>
      </c>
      <c r="O2" s="388">
        <v>5</v>
      </c>
      <c r="P2" s="535">
        <f>VLOOKUP(E2,'Cost of items'!$A$3:$C$95,3,0)</f>
        <v>4.8114285714285714</v>
      </c>
    </row>
    <row r="3" spans="1:137" ht="25.5">
      <c r="A3" s="178">
        <v>2</v>
      </c>
      <c r="B3" s="11" t="s">
        <v>2044</v>
      </c>
      <c r="C3" s="189" t="s">
        <v>1653</v>
      </c>
      <c r="D3" s="13" t="s">
        <v>3971</v>
      </c>
      <c r="E3" s="189" t="s">
        <v>3816</v>
      </c>
      <c r="F3" s="13" t="s">
        <v>3849</v>
      </c>
      <c r="G3" s="13" t="s">
        <v>3971</v>
      </c>
      <c r="H3" s="279">
        <v>43008</v>
      </c>
      <c r="I3" s="178"/>
      <c r="J3" s="193">
        <v>42971</v>
      </c>
      <c r="K3" s="178">
        <f t="shared" ref="K3:K48" si="0">YEAR(J3)</f>
        <v>2017</v>
      </c>
      <c r="L3" s="178">
        <f t="shared" ref="L3:L48" si="1">MONTH(J3)</f>
        <v>8</v>
      </c>
      <c r="M3" s="193">
        <v>42984</v>
      </c>
      <c r="N3" s="451"/>
      <c r="O3" s="343">
        <v>7</v>
      </c>
      <c r="P3" s="535">
        <f>VLOOKUP(E3,'Cost of items'!$A$3:$C$95,3,0)</f>
        <v>6.1989417989417985</v>
      </c>
    </row>
    <row r="4" spans="1:137" ht="25.5">
      <c r="A4" s="383">
        <v>3</v>
      </c>
      <c r="B4" s="11" t="s">
        <v>2044</v>
      </c>
      <c r="C4" s="189" t="s">
        <v>1656</v>
      </c>
      <c r="D4" s="385" t="s">
        <v>4064</v>
      </c>
      <c r="E4" s="13" t="s">
        <v>4093</v>
      </c>
      <c r="F4" s="189" t="s">
        <v>3850</v>
      </c>
      <c r="G4" s="189" t="s">
        <v>3972</v>
      </c>
      <c r="H4" s="279">
        <v>42961</v>
      </c>
      <c r="I4" s="202" t="s">
        <v>5</v>
      </c>
      <c r="J4" s="193">
        <v>42938</v>
      </c>
      <c r="K4" s="178">
        <f t="shared" si="0"/>
        <v>2017</v>
      </c>
      <c r="L4" s="178">
        <f t="shared" si="1"/>
        <v>7</v>
      </c>
      <c r="M4" s="193">
        <v>42961</v>
      </c>
      <c r="N4" s="334" t="s">
        <v>4058</v>
      </c>
      <c r="O4" s="343">
        <v>30</v>
      </c>
      <c r="P4" s="535">
        <f>VLOOKUP(E4,'Cost of items'!$A$3:$C$95,3,0)</f>
        <v>28.578689167974883</v>
      </c>
    </row>
    <row r="5" spans="1:137" ht="25.5">
      <c r="A5" s="178">
        <v>4</v>
      </c>
      <c r="B5" s="11" t="s">
        <v>2044</v>
      </c>
      <c r="C5" s="189" t="s">
        <v>1655</v>
      </c>
      <c r="D5" s="385" t="s">
        <v>4064</v>
      </c>
      <c r="E5" s="13" t="s">
        <v>4093</v>
      </c>
      <c r="F5" s="189" t="s">
        <v>3851</v>
      </c>
      <c r="G5" s="189" t="s">
        <v>3973</v>
      </c>
      <c r="H5" s="279">
        <v>43013</v>
      </c>
      <c r="I5" s="178"/>
      <c r="J5" s="193">
        <v>42991</v>
      </c>
      <c r="K5" s="178">
        <f t="shared" si="0"/>
        <v>2017</v>
      </c>
      <c r="L5" s="178">
        <f t="shared" si="1"/>
        <v>9</v>
      </c>
      <c r="M5" s="193">
        <v>43014</v>
      </c>
      <c r="N5" s="333">
        <v>1.7</v>
      </c>
      <c r="O5" s="343">
        <v>30</v>
      </c>
      <c r="P5" s="535">
        <f>VLOOKUP(E5,'Cost of items'!$A$3:$C$95,3,0)</f>
        <v>28.578689167974883</v>
      </c>
    </row>
    <row r="6" spans="1:137" ht="25.5">
      <c r="A6" s="383">
        <v>5</v>
      </c>
      <c r="B6" s="11" t="s">
        <v>2044</v>
      </c>
      <c r="C6" s="190" t="s">
        <v>1657</v>
      </c>
      <c r="D6" s="385" t="s">
        <v>4064</v>
      </c>
      <c r="E6" s="13" t="s">
        <v>4093</v>
      </c>
      <c r="F6" s="190" t="s">
        <v>3852</v>
      </c>
      <c r="G6" s="190" t="s">
        <v>3974</v>
      </c>
      <c r="H6" s="279">
        <v>43013</v>
      </c>
      <c r="I6" s="180"/>
      <c r="J6" s="193">
        <v>42988</v>
      </c>
      <c r="K6" s="178">
        <f t="shared" si="0"/>
        <v>2017</v>
      </c>
      <c r="L6" s="178">
        <f t="shared" si="1"/>
        <v>9</v>
      </c>
      <c r="M6" s="193">
        <v>43014</v>
      </c>
      <c r="N6" s="333">
        <v>1.7</v>
      </c>
      <c r="O6" s="343">
        <v>35</v>
      </c>
      <c r="P6" s="535">
        <f>VLOOKUP(E6,'Cost of items'!$A$3:$C$95,3,0)</f>
        <v>28.578689167974883</v>
      </c>
    </row>
    <row r="7" spans="1:137" ht="25.5">
      <c r="A7" s="178">
        <v>6</v>
      </c>
      <c r="B7" s="11" t="s">
        <v>2044</v>
      </c>
      <c r="C7" s="189" t="s">
        <v>1659</v>
      </c>
      <c r="D7" s="13" t="s">
        <v>4075</v>
      </c>
      <c r="E7" s="189" t="s">
        <v>3817</v>
      </c>
      <c r="F7" s="189" t="s">
        <v>3854</v>
      </c>
      <c r="G7" s="189" t="s">
        <v>3976</v>
      </c>
      <c r="H7" s="279">
        <v>42618</v>
      </c>
      <c r="I7" s="202" t="s">
        <v>5</v>
      </c>
      <c r="J7" s="193">
        <v>42613</v>
      </c>
      <c r="K7" s="178">
        <f t="shared" si="0"/>
        <v>2016</v>
      </c>
      <c r="L7" s="178">
        <f t="shared" si="1"/>
        <v>8</v>
      </c>
      <c r="M7" s="193">
        <v>42618</v>
      </c>
      <c r="N7" s="334" t="s">
        <v>4058</v>
      </c>
      <c r="O7" s="343">
        <v>12</v>
      </c>
      <c r="P7" s="535">
        <f>VLOOKUP(E7,'Cost of items'!$A$3:$C$95,3,0)</f>
        <v>21.172619047619047</v>
      </c>
    </row>
    <row r="8" spans="1:137" ht="25.5">
      <c r="A8" s="383">
        <v>7</v>
      </c>
      <c r="B8" s="11" t="s">
        <v>2044</v>
      </c>
      <c r="C8" s="189" t="s">
        <v>1660</v>
      </c>
      <c r="D8" s="13" t="s">
        <v>4063</v>
      </c>
      <c r="E8" s="189" t="s">
        <v>3818</v>
      </c>
      <c r="F8" s="189" t="s">
        <v>3855</v>
      </c>
      <c r="G8" s="189" t="s">
        <v>3977</v>
      </c>
      <c r="H8" s="279">
        <v>42566</v>
      </c>
      <c r="I8" s="202" t="s">
        <v>5</v>
      </c>
      <c r="J8" s="193">
        <v>42565</v>
      </c>
      <c r="K8" s="178">
        <f t="shared" si="0"/>
        <v>2016</v>
      </c>
      <c r="L8" s="178">
        <f t="shared" si="1"/>
        <v>7</v>
      </c>
      <c r="M8" s="193">
        <v>42566</v>
      </c>
      <c r="N8" s="334" t="s">
        <v>4058</v>
      </c>
      <c r="O8" s="343">
        <v>30</v>
      </c>
      <c r="P8" s="535">
        <f>VLOOKUP(E8,'Cost of items'!$A$3:$C$95,3,0)</f>
        <v>24</v>
      </c>
    </row>
    <row r="9" spans="1:137">
      <c r="A9" s="178">
        <v>8</v>
      </c>
      <c r="B9" s="11" t="s">
        <v>2044</v>
      </c>
      <c r="C9" s="189" t="s">
        <v>1661</v>
      </c>
      <c r="D9" s="13" t="s">
        <v>4063</v>
      </c>
      <c r="E9" s="13" t="s">
        <v>4081</v>
      </c>
      <c r="F9" s="189" t="s">
        <v>3856</v>
      </c>
      <c r="G9" s="189" t="s">
        <v>3819</v>
      </c>
      <c r="H9" s="279">
        <v>42900</v>
      </c>
      <c r="I9" s="178"/>
      <c r="J9" s="193">
        <v>42534</v>
      </c>
      <c r="K9" s="178">
        <f t="shared" si="0"/>
        <v>2016</v>
      </c>
      <c r="L9" s="178">
        <f t="shared" si="1"/>
        <v>6</v>
      </c>
      <c r="M9" s="193">
        <v>42536</v>
      </c>
      <c r="N9" s="333">
        <v>1.1499999999999999</v>
      </c>
      <c r="O9" s="343">
        <v>12</v>
      </c>
      <c r="P9" s="535">
        <f>VLOOKUP(E9,'Cost of items'!$A$3:$C$95,3,0)</f>
        <v>8</v>
      </c>
    </row>
    <row r="10" spans="1:137" ht="25.5">
      <c r="A10" s="383">
        <v>9</v>
      </c>
      <c r="B10" s="11" t="s">
        <v>2044</v>
      </c>
      <c r="C10" s="189" t="s">
        <v>1665</v>
      </c>
      <c r="D10" s="13" t="s">
        <v>4063</v>
      </c>
      <c r="E10" s="189" t="s">
        <v>3820</v>
      </c>
      <c r="F10" s="189" t="s">
        <v>3857</v>
      </c>
      <c r="G10" s="189" t="s">
        <v>3978</v>
      </c>
      <c r="H10" s="279">
        <v>42516</v>
      </c>
      <c r="I10" s="202" t="s">
        <v>5</v>
      </c>
      <c r="J10" s="193">
        <v>42494</v>
      </c>
      <c r="K10" s="178">
        <f t="shared" si="0"/>
        <v>2016</v>
      </c>
      <c r="L10" s="178">
        <f t="shared" si="1"/>
        <v>5</v>
      </c>
      <c r="M10" s="193">
        <v>42516</v>
      </c>
      <c r="N10" s="334" t="s">
        <v>4058</v>
      </c>
      <c r="O10" s="343">
        <v>50</v>
      </c>
      <c r="P10" s="535">
        <f>VLOOKUP(E10,'Cost of items'!$A$3:$C$95,3,0)</f>
        <v>20</v>
      </c>
    </row>
    <row r="11" spans="1:137" s="78" customFormat="1" ht="25.5">
      <c r="A11" s="178">
        <v>10</v>
      </c>
      <c r="B11" s="11" t="s">
        <v>2044</v>
      </c>
      <c r="C11" s="236" t="s">
        <v>1668</v>
      </c>
      <c r="D11" s="385" t="s">
        <v>4064</v>
      </c>
      <c r="E11" s="13" t="s">
        <v>4093</v>
      </c>
      <c r="F11" s="236" t="s">
        <v>3858</v>
      </c>
      <c r="G11" s="236" t="s">
        <v>3979</v>
      </c>
      <c r="H11" s="238">
        <v>43042</v>
      </c>
      <c r="I11" s="235"/>
      <c r="J11" s="237">
        <v>43019</v>
      </c>
      <c r="K11" s="178">
        <f t="shared" si="0"/>
        <v>2017</v>
      </c>
      <c r="L11" s="178">
        <f t="shared" si="1"/>
        <v>10</v>
      </c>
      <c r="M11" s="238" t="s">
        <v>1734</v>
      </c>
      <c r="N11" s="448">
        <f>1.7*3</f>
        <v>5.0999999999999996</v>
      </c>
      <c r="O11" s="343">
        <v>30</v>
      </c>
      <c r="P11" s="535">
        <f>VLOOKUP(E11,'Cost of items'!$A$3:$C$95,3,0)</f>
        <v>28.578689167974883</v>
      </c>
      <c r="Q11" s="179"/>
      <c r="R11" s="179"/>
      <c r="S11" s="179"/>
      <c r="T11" s="179"/>
      <c r="U11" s="179"/>
      <c r="V11" s="179"/>
      <c r="W11" s="179"/>
      <c r="X11" s="179"/>
      <c r="Y11" s="179"/>
      <c r="Z11" s="179"/>
      <c r="AA11" s="179"/>
      <c r="AB11" s="179"/>
      <c r="AC11" s="179"/>
      <c r="AD11" s="179"/>
      <c r="AE11" s="179"/>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c r="BD11" s="179"/>
      <c r="BE11" s="179"/>
      <c r="BF11" s="179"/>
      <c r="BG11" s="179"/>
      <c r="BH11" s="179"/>
      <c r="BI11" s="179"/>
      <c r="BJ11" s="179"/>
      <c r="BK11" s="179"/>
      <c r="BL11" s="179"/>
      <c r="BM11" s="179"/>
      <c r="BN11" s="179"/>
      <c r="BO11" s="179"/>
      <c r="BP11" s="179"/>
      <c r="BQ11" s="179"/>
      <c r="BR11" s="179"/>
      <c r="BS11" s="179"/>
      <c r="BT11" s="179"/>
      <c r="BU11" s="179"/>
      <c r="BV11" s="179"/>
      <c r="BW11" s="179"/>
      <c r="BX11" s="179"/>
      <c r="BY11" s="179"/>
      <c r="BZ11" s="179"/>
      <c r="CA11" s="179"/>
      <c r="CB11" s="179"/>
      <c r="CC11" s="179"/>
      <c r="CD11" s="179"/>
      <c r="CE11" s="179"/>
      <c r="CF11" s="179"/>
      <c r="CG11" s="179"/>
      <c r="CH11" s="179"/>
      <c r="CI11" s="179"/>
      <c r="CJ11" s="179"/>
      <c r="CK11" s="179"/>
      <c r="CL11" s="179"/>
      <c r="CM11" s="179"/>
      <c r="CN11" s="179"/>
      <c r="CO11" s="179"/>
      <c r="CP11" s="179"/>
      <c r="CQ11" s="179"/>
      <c r="CR11" s="179"/>
      <c r="CS11" s="179"/>
      <c r="CT11" s="179"/>
      <c r="CU11" s="179"/>
      <c r="CV11" s="179"/>
      <c r="CW11" s="179"/>
      <c r="CX11" s="179"/>
      <c r="CY11" s="179"/>
      <c r="CZ11" s="179"/>
      <c r="DA11" s="179"/>
      <c r="DB11" s="179"/>
      <c r="DC11" s="179"/>
      <c r="DD11" s="179"/>
      <c r="DE11" s="179"/>
      <c r="DF11" s="179"/>
      <c r="DG11" s="179"/>
      <c r="DH11" s="179"/>
      <c r="DI11" s="179"/>
      <c r="DJ11" s="179"/>
      <c r="DK11" s="179"/>
      <c r="DL11" s="179"/>
      <c r="DM11" s="179"/>
      <c r="DN11" s="179"/>
      <c r="DO11" s="179"/>
      <c r="DP11" s="179"/>
      <c r="DQ11" s="179"/>
      <c r="DR11" s="179"/>
      <c r="DS11" s="179"/>
      <c r="DT11" s="179"/>
      <c r="DU11" s="179"/>
      <c r="DV11" s="179"/>
      <c r="DW11" s="179"/>
      <c r="DX11" s="179"/>
      <c r="DY11" s="179"/>
      <c r="DZ11" s="179"/>
      <c r="EA11" s="179"/>
      <c r="EB11" s="179"/>
      <c r="EC11" s="179"/>
      <c r="ED11" s="179"/>
      <c r="EE11" s="179"/>
      <c r="EF11" s="179"/>
      <c r="EG11" s="179"/>
    </row>
    <row r="12" spans="1:137" s="78" customFormat="1" ht="25.5">
      <c r="A12" s="383">
        <v>11</v>
      </c>
      <c r="B12" s="11" t="s">
        <v>2044</v>
      </c>
      <c r="C12" s="236" t="s">
        <v>1668</v>
      </c>
      <c r="D12" s="13" t="s">
        <v>3971</v>
      </c>
      <c r="E12" s="189" t="s">
        <v>3816</v>
      </c>
      <c r="F12" s="236" t="s">
        <v>3858</v>
      </c>
      <c r="G12" s="236" t="s">
        <v>3980</v>
      </c>
      <c r="H12" s="238">
        <v>43042</v>
      </c>
      <c r="I12" s="235"/>
      <c r="J12" s="237">
        <v>43019</v>
      </c>
      <c r="K12" s="178">
        <f t="shared" si="0"/>
        <v>2017</v>
      </c>
      <c r="L12" s="178">
        <f t="shared" si="1"/>
        <v>10</v>
      </c>
      <c r="M12" s="238" t="s">
        <v>1734</v>
      </c>
      <c r="N12" s="449"/>
      <c r="O12" s="343">
        <v>53</v>
      </c>
      <c r="P12" s="535">
        <f>VLOOKUP(E12,'Cost of items'!$A$3:$C$95,3,0)</f>
        <v>6.1989417989417985</v>
      </c>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9"/>
      <c r="BN12" s="179"/>
      <c r="BO12" s="179"/>
      <c r="BP12" s="179"/>
      <c r="BQ12" s="179"/>
      <c r="BR12" s="179"/>
      <c r="BS12" s="179"/>
      <c r="BT12" s="179"/>
      <c r="BU12" s="179"/>
      <c r="BV12" s="179"/>
      <c r="BW12" s="179"/>
      <c r="BX12" s="179"/>
      <c r="BY12" s="179"/>
      <c r="BZ12" s="179"/>
      <c r="CA12" s="179"/>
      <c r="CB12" s="179"/>
      <c r="CC12" s="179"/>
      <c r="CD12" s="179"/>
      <c r="CE12" s="179"/>
      <c r="CF12" s="179"/>
      <c r="CG12" s="179"/>
      <c r="CH12" s="179"/>
      <c r="CI12" s="179"/>
      <c r="CJ12" s="179"/>
      <c r="CK12" s="179"/>
      <c r="CL12" s="179"/>
      <c r="CM12" s="179"/>
      <c r="CN12" s="179"/>
      <c r="CO12" s="179"/>
      <c r="CP12" s="179"/>
      <c r="CQ12" s="179"/>
      <c r="CR12" s="179"/>
      <c r="CS12" s="179"/>
      <c r="CT12" s="179"/>
      <c r="CU12" s="179"/>
      <c r="CV12" s="179"/>
      <c r="CW12" s="179"/>
      <c r="CX12" s="179"/>
      <c r="CY12" s="179"/>
      <c r="CZ12" s="179"/>
      <c r="DA12" s="179"/>
      <c r="DB12" s="179"/>
      <c r="DC12" s="179"/>
      <c r="DD12" s="179"/>
      <c r="DE12" s="179"/>
      <c r="DF12" s="179"/>
      <c r="DG12" s="179"/>
      <c r="DH12" s="179"/>
      <c r="DI12" s="179"/>
      <c r="DJ12" s="179"/>
      <c r="DK12" s="179"/>
      <c r="DL12" s="179"/>
      <c r="DM12" s="179"/>
      <c r="DN12" s="179"/>
      <c r="DO12" s="179"/>
      <c r="DP12" s="179"/>
      <c r="DQ12" s="179"/>
      <c r="DR12" s="179"/>
      <c r="DS12" s="179"/>
      <c r="DT12" s="179"/>
      <c r="DU12" s="179"/>
      <c r="DV12" s="179"/>
      <c r="DW12" s="179"/>
      <c r="DX12" s="179"/>
      <c r="DY12" s="179"/>
      <c r="DZ12" s="179"/>
      <c r="EA12" s="179"/>
      <c r="EB12" s="179"/>
      <c r="EC12" s="179"/>
      <c r="ED12" s="179"/>
      <c r="EE12" s="179"/>
      <c r="EF12" s="179"/>
      <c r="EG12" s="179"/>
    </row>
    <row r="13" spans="1:137" ht="25.5">
      <c r="A13" s="178">
        <v>12</v>
      </c>
      <c r="B13" s="11" t="s">
        <v>2044</v>
      </c>
      <c r="C13" s="13" t="s">
        <v>1733</v>
      </c>
      <c r="D13" s="13" t="s">
        <v>3971</v>
      </c>
      <c r="E13" s="189" t="s">
        <v>1555</v>
      </c>
      <c r="F13" s="13" t="s">
        <v>3859</v>
      </c>
      <c r="G13" s="13" t="s">
        <v>3981</v>
      </c>
      <c r="H13" s="280">
        <v>43041</v>
      </c>
      <c r="I13" s="202" t="s">
        <v>5</v>
      </c>
      <c r="J13" s="193"/>
      <c r="K13" s="178">
        <v>2017</v>
      </c>
      <c r="L13" s="178"/>
      <c r="M13" s="194">
        <v>43041</v>
      </c>
      <c r="N13" s="334" t="s">
        <v>4059</v>
      </c>
      <c r="O13" s="343">
        <v>42</v>
      </c>
      <c r="P13" s="535">
        <f>VLOOKUP(E13,'Cost of items'!$A$3:$C$95,3,0)</f>
        <v>11.32010582010582</v>
      </c>
    </row>
    <row r="14" spans="1:137" s="351" customFormat="1" ht="25.5">
      <c r="A14" s="383">
        <v>13</v>
      </c>
      <c r="B14" s="11" t="s">
        <v>2044</v>
      </c>
      <c r="C14" s="219" t="s">
        <v>1658</v>
      </c>
      <c r="D14" s="385" t="s">
        <v>4064</v>
      </c>
      <c r="E14" s="189" t="s">
        <v>4093</v>
      </c>
      <c r="F14" s="191" t="s">
        <v>3860</v>
      </c>
      <c r="G14" s="219" t="s">
        <v>3975</v>
      </c>
      <c r="H14" s="281">
        <v>43053</v>
      </c>
      <c r="I14" s="186"/>
      <c r="J14" s="195">
        <v>43047</v>
      </c>
      <c r="K14" s="178">
        <f t="shared" si="0"/>
        <v>2017</v>
      </c>
      <c r="L14" s="178">
        <f t="shared" si="1"/>
        <v>11</v>
      </c>
      <c r="M14" s="195">
        <v>43053</v>
      </c>
      <c r="N14" s="335">
        <v>3.94</v>
      </c>
      <c r="O14" s="343">
        <v>40</v>
      </c>
      <c r="P14" s="535">
        <f>VLOOKUP(E14,'Cost of items'!$A$3:$C$95,3,0)</f>
        <v>28.578689167974883</v>
      </c>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79"/>
      <c r="BL14" s="179"/>
      <c r="BM14" s="179"/>
      <c r="BN14" s="179"/>
      <c r="BO14" s="179"/>
      <c r="BP14" s="179"/>
      <c r="BQ14" s="179"/>
      <c r="BR14" s="179"/>
      <c r="BS14" s="179"/>
      <c r="BT14" s="179"/>
      <c r="BU14" s="179"/>
      <c r="BV14" s="179"/>
      <c r="BW14" s="179"/>
      <c r="BX14" s="179"/>
      <c r="BY14" s="179"/>
      <c r="BZ14" s="179"/>
      <c r="CA14" s="179"/>
      <c r="CB14" s="179"/>
      <c r="CC14" s="179"/>
      <c r="CD14" s="179"/>
      <c r="CE14" s="179"/>
      <c r="CF14" s="179"/>
      <c r="CG14" s="179"/>
      <c r="CH14" s="179"/>
      <c r="CI14" s="179"/>
      <c r="CJ14" s="179"/>
      <c r="CK14" s="179"/>
      <c r="CL14" s="179"/>
      <c r="CM14" s="179"/>
      <c r="CN14" s="179"/>
      <c r="CO14" s="179"/>
      <c r="CP14" s="179"/>
      <c r="CQ14" s="179"/>
      <c r="CR14" s="179"/>
      <c r="CS14" s="179"/>
      <c r="CT14" s="179"/>
      <c r="CU14" s="179"/>
      <c r="CV14" s="179"/>
      <c r="CW14" s="179"/>
      <c r="CX14" s="179"/>
      <c r="CY14" s="179"/>
      <c r="CZ14" s="179"/>
      <c r="DA14" s="179"/>
      <c r="DB14" s="179"/>
      <c r="DC14" s="179"/>
      <c r="DD14" s="179"/>
      <c r="DE14" s="179"/>
      <c r="DF14" s="179"/>
      <c r="DG14" s="179"/>
      <c r="DH14" s="179"/>
      <c r="DI14" s="179"/>
      <c r="DJ14" s="179"/>
      <c r="DK14" s="179"/>
      <c r="DL14" s="179"/>
      <c r="DM14" s="179"/>
      <c r="DN14" s="179"/>
      <c r="DO14" s="179"/>
      <c r="DP14" s="179"/>
      <c r="DQ14" s="179"/>
      <c r="DR14" s="179"/>
      <c r="DS14" s="179"/>
      <c r="DT14" s="179"/>
      <c r="DU14" s="179"/>
      <c r="DV14" s="179"/>
      <c r="DW14" s="179"/>
      <c r="DX14" s="179"/>
      <c r="DY14" s="179"/>
      <c r="DZ14" s="179"/>
      <c r="EA14" s="179"/>
      <c r="EB14" s="179"/>
      <c r="EC14" s="179"/>
      <c r="ED14" s="179"/>
      <c r="EE14" s="179"/>
      <c r="EF14" s="179"/>
      <c r="EG14" s="179"/>
    </row>
    <row r="15" spans="1:137" ht="38.25">
      <c r="A15" s="178">
        <v>14</v>
      </c>
      <c r="B15" s="11" t="s">
        <v>2044</v>
      </c>
      <c r="C15" s="191" t="s">
        <v>1735</v>
      </c>
      <c r="D15" s="385" t="s">
        <v>4064</v>
      </c>
      <c r="E15" s="189" t="s">
        <v>4093</v>
      </c>
      <c r="F15" s="191" t="s">
        <v>3861</v>
      </c>
      <c r="G15" s="191" t="s">
        <v>3666</v>
      </c>
      <c r="H15" s="281">
        <v>43075</v>
      </c>
      <c r="I15" s="202" t="s">
        <v>5</v>
      </c>
      <c r="J15" s="195">
        <v>43047</v>
      </c>
      <c r="K15" s="178">
        <f t="shared" si="0"/>
        <v>2017</v>
      </c>
      <c r="L15" s="178">
        <f t="shared" si="1"/>
        <v>11</v>
      </c>
      <c r="M15" s="195">
        <v>43075</v>
      </c>
      <c r="N15" s="334" t="s">
        <v>4058</v>
      </c>
      <c r="O15" s="343">
        <v>37</v>
      </c>
      <c r="P15" s="535">
        <f>VLOOKUP(E15,'Cost of items'!$A$3:$C$95,3,0)</f>
        <v>28.578689167974883</v>
      </c>
    </row>
    <row r="16" spans="1:137" ht="38.25">
      <c r="A16" s="383">
        <v>15</v>
      </c>
      <c r="B16" s="11" t="s">
        <v>2044</v>
      </c>
      <c r="C16" s="191" t="s">
        <v>1735</v>
      </c>
      <c r="D16" s="191" t="s">
        <v>4064</v>
      </c>
      <c r="E16" s="189" t="s">
        <v>3750</v>
      </c>
      <c r="F16" s="191" t="s">
        <v>3861</v>
      </c>
      <c r="G16" s="191" t="s">
        <v>1736</v>
      </c>
      <c r="H16" s="281">
        <v>43075</v>
      </c>
      <c r="I16" s="202" t="s">
        <v>5</v>
      </c>
      <c r="J16" s="195">
        <v>43047</v>
      </c>
      <c r="K16" s="178">
        <f t="shared" si="0"/>
        <v>2017</v>
      </c>
      <c r="L16" s="178">
        <f t="shared" si="1"/>
        <v>11</v>
      </c>
      <c r="M16" s="195">
        <v>43075</v>
      </c>
      <c r="N16" s="334" t="s">
        <v>4058</v>
      </c>
      <c r="O16" s="343">
        <v>32</v>
      </c>
      <c r="P16" s="535">
        <f>VLOOKUP(E16,'Cost of items'!$A$3:$C$95,3,0)</f>
        <v>21.140145502645503</v>
      </c>
    </row>
    <row r="17" spans="1:137" ht="38.25">
      <c r="A17" s="178">
        <v>16</v>
      </c>
      <c r="B17" s="11" t="s">
        <v>2044</v>
      </c>
      <c r="C17" s="191" t="s">
        <v>1735</v>
      </c>
      <c r="D17" s="191" t="s">
        <v>4065</v>
      </c>
      <c r="E17" s="189" t="s">
        <v>3822</v>
      </c>
      <c r="F17" s="191" t="s">
        <v>3861</v>
      </c>
      <c r="G17" s="191" t="s">
        <v>3822</v>
      </c>
      <c r="H17" s="281">
        <v>43075</v>
      </c>
      <c r="I17" s="202" t="s">
        <v>5</v>
      </c>
      <c r="J17" s="195">
        <v>43047</v>
      </c>
      <c r="K17" s="178">
        <f t="shared" si="0"/>
        <v>2017</v>
      </c>
      <c r="L17" s="178">
        <f t="shared" si="1"/>
        <v>11</v>
      </c>
      <c r="M17" s="195">
        <v>43075</v>
      </c>
      <c r="N17" s="334" t="s">
        <v>4058</v>
      </c>
      <c r="O17" s="343">
        <v>26</v>
      </c>
      <c r="P17" s="535">
        <f>VLOOKUP(E17,'Cost of items'!$A$3:$C$95,3,0)</f>
        <v>18</v>
      </c>
    </row>
    <row r="18" spans="1:137" ht="25.5">
      <c r="A18" s="383">
        <v>17</v>
      </c>
      <c r="B18" s="11" t="s">
        <v>2044</v>
      </c>
      <c r="C18" s="203" t="s">
        <v>1738</v>
      </c>
      <c r="D18" s="385" t="s">
        <v>4064</v>
      </c>
      <c r="E18" s="13" t="s">
        <v>4093</v>
      </c>
      <c r="F18" s="203" t="s">
        <v>3862</v>
      </c>
      <c r="G18" s="203" t="s">
        <v>3982</v>
      </c>
      <c r="H18" s="240">
        <v>43061</v>
      </c>
      <c r="I18" s="202"/>
      <c r="J18" s="204">
        <v>43049</v>
      </c>
      <c r="K18" s="178">
        <f t="shared" si="0"/>
        <v>2017</v>
      </c>
      <c r="L18" s="178">
        <f t="shared" si="1"/>
        <v>11</v>
      </c>
      <c r="M18" s="204">
        <v>43061</v>
      </c>
      <c r="N18" s="336">
        <v>1.7</v>
      </c>
      <c r="O18" s="343">
        <v>40</v>
      </c>
      <c r="P18" s="535">
        <f>VLOOKUP(E18,'Cost of items'!$A$3:$C$95,3,0)</f>
        <v>28.578689167974883</v>
      </c>
    </row>
    <row r="19" spans="1:137" ht="63.75">
      <c r="A19" s="178">
        <v>18</v>
      </c>
      <c r="B19" s="11" t="s">
        <v>2044</v>
      </c>
      <c r="C19" s="191" t="s">
        <v>1740</v>
      </c>
      <c r="D19" s="385" t="s">
        <v>4064</v>
      </c>
      <c r="E19" s="13" t="s">
        <v>4093</v>
      </c>
      <c r="F19" s="191" t="s">
        <v>3863</v>
      </c>
      <c r="G19" s="191" t="s">
        <v>3983</v>
      </c>
      <c r="H19" s="281">
        <v>43111</v>
      </c>
      <c r="I19" s="185"/>
      <c r="J19" s="195">
        <v>43056</v>
      </c>
      <c r="K19" s="178">
        <f t="shared" si="0"/>
        <v>2017</v>
      </c>
      <c r="L19" s="178">
        <f t="shared" si="1"/>
        <v>11</v>
      </c>
      <c r="M19" s="195">
        <v>43112</v>
      </c>
      <c r="N19" s="335">
        <v>3.94</v>
      </c>
      <c r="O19" s="343">
        <v>40</v>
      </c>
      <c r="P19" s="535">
        <f>VLOOKUP(E19,'Cost of items'!$A$3:$C$95,3,0)</f>
        <v>28.578689167974883</v>
      </c>
    </row>
    <row r="20" spans="1:137" s="351" customFormat="1" ht="38.25">
      <c r="A20" s="383">
        <v>19</v>
      </c>
      <c r="B20" s="11" t="s">
        <v>2044</v>
      </c>
      <c r="C20" s="13" t="s">
        <v>1741</v>
      </c>
      <c r="D20" s="13" t="s">
        <v>4064</v>
      </c>
      <c r="E20" s="13" t="s">
        <v>2389</v>
      </c>
      <c r="F20" s="13" t="s">
        <v>3864</v>
      </c>
      <c r="G20" s="13" t="s">
        <v>3984</v>
      </c>
      <c r="H20" s="279">
        <v>43097</v>
      </c>
      <c r="I20" s="202" t="s">
        <v>5</v>
      </c>
      <c r="J20" s="193">
        <v>43057</v>
      </c>
      <c r="K20" s="178">
        <f t="shared" si="0"/>
        <v>2017</v>
      </c>
      <c r="L20" s="178">
        <f t="shared" si="1"/>
        <v>11</v>
      </c>
      <c r="M20" s="193">
        <v>43097</v>
      </c>
      <c r="N20" s="334" t="s">
        <v>4058</v>
      </c>
      <c r="O20" s="343">
        <v>45</v>
      </c>
      <c r="P20" s="535">
        <f>VLOOKUP(E20,'Cost of items'!$A$3:$C$95,3,0)</f>
        <v>34.04901738473167</v>
      </c>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79"/>
      <c r="BF20" s="179"/>
      <c r="BG20" s="179"/>
      <c r="BH20" s="179"/>
      <c r="BI20" s="179"/>
      <c r="BJ20" s="179"/>
      <c r="BK20" s="179"/>
      <c r="BL20" s="179"/>
      <c r="BM20" s="179"/>
      <c r="BN20" s="179"/>
      <c r="BO20" s="179"/>
      <c r="BP20" s="179"/>
      <c r="BQ20" s="179"/>
      <c r="BR20" s="179"/>
      <c r="BS20" s="179"/>
      <c r="BT20" s="179"/>
      <c r="BU20" s="179"/>
      <c r="BV20" s="179"/>
      <c r="BW20" s="179"/>
      <c r="BX20" s="179"/>
      <c r="BY20" s="179"/>
      <c r="BZ20" s="179"/>
      <c r="CA20" s="179"/>
      <c r="CB20" s="179"/>
      <c r="CC20" s="179"/>
      <c r="CD20" s="179"/>
      <c r="CE20" s="179"/>
      <c r="CF20" s="179"/>
      <c r="CG20" s="179"/>
      <c r="CH20" s="179"/>
      <c r="CI20" s="179"/>
      <c r="CJ20" s="179"/>
      <c r="CK20" s="179"/>
      <c r="CL20" s="179"/>
      <c r="CM20" s="179"/>
      <c r="CN20" s="179"/>
      <c r="CO20" s="179"/>
      <c r="CP20" s="179"/>
      <c r="CQ20" s="179"/>
      <c r="CR20" s="179"/>
      <c r="CS20" s="179"/>
      <c r="CT20" s="179"/>
      <c r="CU20" s="179"/>
      <c r="CV20" s="179"/>
      <c r="CW20" s="179"/>
      <c r="CX20" s="179"/>
      <c r="CY20" s="179"/>
      <c r="CZ20" s="179"/>
      <c r="DA20" s="179"/>
      <c r="DB20" s="179"/>
      <c r="DC20" s="179"/>
      <c r="DD20" s="179"/>
      <c r="DE20" s="179"/>
      <c r="DF20" s="179"/>
      <c r="DG20" s="179"/>
      <c r="DH20" s="179"/>
      <c r="DI20" s="179"/>
      <c r="DJ20" s="179"/>
      <c r="DK20" s="179"/>
      <c r="DL20" s="179"/>
      <c r="DM20" s="179"/>
      <c r="DN20" s="179"/>
      <c r="DO20" s="179"/>
      <c r="DP20" s="179"/>
      <c r="DQ20" s="179"/>
      <c r="DR20" s="179"/>
      <c r="DS20" s="179"/>
      <c r="DT20" s="179"/>
      <c r="DU20" s="179"/>
      <c r="DV20" s="179"/>
      <c r="DW20" s="179"/>
      <c r="DX20" s="179"/>
      <c r="DY20" s="179"/>
      <c r="DZ20" s="179"/>
      <c r="EA20" s="179"/>
      <c r="EB20" s="179"/>
      <c r="EC20" s="179"/>
      <c r="ED20" s="179"/>
      <c r="EE20" s="179"/>
      <c r="EF20" s="179"/>
      <c r="EG20" s="179"/>
    </row>
    <row r="21" spans="1:137" s="351" customFormat="1" ht="38.25">
      <c r="A21" s="178">
        <v>20</v>
      </c>
      <c r="B21" s="11" t="s">
        <v>2044</v>
      </c>
      <c r="C21" s="191" t="s">
        <v>1750</v>
      </c>
      <c r="D21" s="385" t="s">
        <v>4064</v>
      </c>
      <c r="E21" s="13" t="s">
        <v>4093</v>
      </c>
      <c r="F21" s="191" t="s">
        <v>3865</v>
      </c>
      <c r="G21" s="191" t="s">
        <v>3985</v>
      </c>
      <c r="H21" s="281">
        <v>43114</v>
      </c>
      <c r="I21" s="187" t="s">
        <v>1755</v>
      </c>
      <c r="J21" s="195">
        <v>43064</v>
      </c>
      <c r="K21" s="178">
        <f t="shared" si="0"/>
        <v>2017</v>
      </c>
      <c r="L21" s="178">
        <f t="shared" si="1"/>
        <v>11</v>
      </c>
      <c r="M21" s="195">
        <v>43115</v>
      </c>
      <c r="N21" s="452">
        <v>3.9</v>
      </c>
      <c r="O21" s="343">
        <v>40</v>
      </c>
      <c r="P21" s="535">
        <f>VLOOKUP(E21,'Cost of items'!$A$3:$C$95,3,0)</f>
        <v>28.578689167974883</v>
      </c>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9"/>
      <c r="BN21" s="179"/>
      <c r="BO21" s="179"/>
      <c r="BP21" s="179"/>
      <c r="BQ21" s="179"/>
      <c r="BR21" s="179"/>
      <c r="BS21" s="179"/>
      <c r="BT21" s="179"/>
      <c r="BU21" s="179"/>
      <c r="BV21" s="179"/>
      <c r="BW21" s="179"/>
      <c r="BX21" s="179"/>
      <c r="BY21" s="179"/>
      <c r="BZ21" s="179"/>
      <c r="CA21" s="179"/>
      <c r="CB21" s="179"/>
      <c r="CC21" s="179"/>
      <c r="CD21" s="179"/>
      <c r="CE21" s="179"/>
      <c r="CF21" s="179"/>
      <c r="CG21" s="179"/>
      <c r="CH21" s="179"/>
      <c r="CI21" s="179"/>
      <c r="CJ21" s="179"/>
      <c r="CK21" s="179"/>
      <c r="CL21" s="179"/>
      <c r="CM21" s="179"/>
      <c r="CN21" s="179"/>
      <c r="CO21" s="179"/>
      <c r="CP21" s="179"/>
      <c r="CQ21" s="179"/>
      <c r="CR21" s="179"/>
      <c r="CS21" s="179"/>
      <c r="CT21" s="179"/>
      <c r="CU21" s="179"/>
      <c r="CV21" s="179"/>
      <c r="CW21" s="179"/>
      <c r="CX21" s="179"/>
      <c r="CY21" s="179"/>
      <c r="CZ21" s="179"/>
      <c r="DA21" s="179"/>
      <c r="DB21" s="179"/>
      <c r="DC21" s="179"/>
      <c r="DD21" s="179"/>
      <c r="DE21" s="179"/>
      <c r="DF21" s="179"/>
      <c r="DG21" s="179"/>
      <c r="DH21" s="179"/>
      <c r="DI21" s="179"/>
      <c r="DJ21" s="179"/>
      <c r="DK21" s="179"/>
      <c r="DL21" s="179"/>
      <c r="DM21" s="179"/>
      <c r="DN21" s="179"/>
      <c r="DO21" s="179"/>
      <c r="DP21" s="179"/>
      <c r="DQ21" s="179"/>
      <c r="DR21" s="179"/>
      <c r="DS21" s="179"/>
      <c r="DT21" s="179"/>
      <c r="DU21" s="179"/>
      <c r="DV21" s="179"/>
      <c r="DW21" s="179"/>
      <c r="DX21" s="179"/>
      <c r="DY21" s="179"/>
      <c r="DZ21" s="179"/>
      <c r="EA21" s="179"/>
      <c r="EB21" s="179"/>
      <c r="EC21" s="179"/>
      <c r="ED21" s="179"/>
      <c r="EE21" s="179"/>
      <c r="EF21" s="179"/>
      <c r="EG21" s="179"/>
    </row>
    <row r="22" spans="1:137" s="351" customFormat="1" ht="38.25">
      <c r="A22" s="383">
        <v>21</v>
      </c>
      <c r="B22" s="11" t="s">
        <v>2044</v>
      </c>
      <c r="C22" s="191" t="s">
        <v>1750</v>
      </c>
      <c r="D22" s="385" t="s">
        <v>4064</v>
      </c>
      <c r="E22" s="13" t="s">
        <v>1621</v>
      </c>
      <c r="F22" s="191" t="s">
        <v>3866</v>
      </c>
      <c r="G22" s="191" t="s">
        <v>3985</v>
      </c>
      <c r="H22" s="281">
        <v>43114</v>
      </c>
      <c r="I22" s="191" t="s">
        <v>1756</v>
      </c>
      <c r="J22" s="195">
        <v>43064</v>
      </c>
      <c r="K22" s="178">
        <f t="shared" si="0"/>
        <v>2017</v>
      </c>
      <c r="L22" s="178">
        <f t="shared" si="1"/>
        <v>11</v>
      </c>
      <c r="M22" s="195">
        <v>43115</v>
      </c>
      <c r="N22" s="453"/>
      <c r="O22" s="343">
        <v>45</v>
      </c>
      <c r="P22" s="535">
        <f>VLOOKUP(E22,'Cost of items'!$A$3:$C$95,3,0)</f>
        <v>39.873015873015873</v>
      </c>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9"/>
      <c r="BN22" s="179"/>
      <c r="BO22" s="179"/>
      <c r="BP22" s="179"/>
      <c r="BQ22" s="179"/>
      <c r="BR22" s="179"/>
      <c r="BS22" s="179"/>
      <c r="BT22" s="179"/>
      <c r="BU22" s="179"/>
      <c r="BV22" s="179"/>
      <c r="BW22" s="179"/>
      <c r="BX22" s="179"/>
      <c r="BY22" s="179"/>
      <c r="BZ22" s="179"/>
      <c r="CA22" s="179"/>
      <c r="CB22" s="179"/>
      <c r="CC22" s="179"/>
      <c r="CD22" s="179"/>
      <c r="CE22" s="179"/>
      <c r="CF22" s="179"/>
      <c r="CG22" s="179"/>
      <c r="CH22" s="179"/>
      <c r="CI22" s="179"/>
      <c r="CJ22" s="179"/>
      <c r="CK22" s="179"/>
      <c r="CL22" s="179"/>
      <c r="CM22" s="179"/>
      <c r="CN22" s="179"/>
      <c r="CO22" s="179"/>
      <c r="CP22" s="179"/>
      <c r="CQ22" s="179"/>
      <c r="CR22" s="179"/>
      <c r="CS22" s="179"/>
      <c r="CT22" s="179"/>
      <c r="CU22" s="179"/>
      <c r="CV22" s="179"/>
      <c r="CW22" s="179"/>
      <c r="CX22" s="179"/>
      <c r="CY22" s="179"/>
      <c r="CZ22" s="179"/>
      <c r="DA22" s="179"/>
      <c r="DB22" s="179"/>
      <c r="DC22" s="179"/>
      <c r="DD22" s="179"/>
      <c r="DE22" s="179"/>
      <c r="DF22" s="179"/>
      <c r="DG22" s="179"/>
      <c r="DH22" s="179"/>
      <c r="DI22" s="179"/>
      <c r="DJ22" s="179"/>
      <c r="DK22" s="179"/>
      <c r="DL22" s="179"/>
      <c r="DM22" s="179"/>
      <c r="DN22" s="179"/>
      <c r="DO22" s="179"/>
      <c r="DP22" s="179"/>
      <c r="DQ22" s="179"/>
      <c r="DR22" s="179"/>
      <c r="DS22" s="179"/>
      <c r="DT22" s="179"/>
      <c r="DU22" s="179"/>
      <c r="DV22" s="179"/>
      <c r="DW22" s="179"/>
      <c r="DX22" s="179"/>
      <c r="DY22" s="179"/>
      <c r="DZ22" s="179"/>
      <c r="EA22" s="179"/>
      <c r="EB22" s="179"/>
      <c r="EC22" s="179"/>
      <c r="ED22" s="179"/>
      <c r="EE22" s="179"/>
      <c r="EF22" s="179"/>
      <c r="EG22" s="179"/>
    </row>
    <row r="23" spans="1:137" s="351" customFormat="1" ht="38.25">
      <c r="A23" s="178">
        <v>22</v>
      </c>
      <c r="B23" s="11" t="s">
        <v>2044</v>
      </c>
      <c r="C23" s="191" t="s">
        <v>1772</v>
      </c>
      <c r="D23" s="385" t="s">
        <v>4064</v>
      </c>
      <c r="E23" s="13" t="s">
        <v>1621</v>
      </c>
      <c r="F23" s="191" t="s">
        <v>3868</v>
      </c>
      <c r="G23" s="454" t="s">
        <v>3986</v>
      </c>
      <c r="H23" s="272">
        <v>43133</v>
      </c>
      <c r="I23" s="185"/>
      <c r="J23" s="195">
        <v>43068</v>
      </c>
      <c r="K23" s="178">
        <f t="shared" si="0"/>
        <v>2017</v>
      </c>
      <c r="L23" s="178">
        <f t="shared" si="1"/>
        <v>11</v>
      </c>
      <c r="M23" s="195">
        <v>43134</v>
      </c>
      <c r="N23" s="337">
        <v>3.9</v>
      </c>
      <c r="O23" s="343">
        <v>45</v>
      </c>
      <c r="P23" s="535">
        <f>VLOOKUP(E23,'Cost of items'!$A$3:$C$95,3,0)</f>
        <v>39.873015873015873</v>
      </c>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9"/>
      <c r="BN23" s="179"/>
      <c r="BO23" s="179"/>
      <c r="BP23" s="179"/>
      <c r="BQ23" s="179"/>
      <c r="BR23" s="179"/>
      <c r="BS23" s="179"/>
      <c r="BT23" s="179"/>
      <c r="BU23" s="179"/>
      <c r="BV23" s="179"/>
      <c r="BW23" s="179"/>
      <c r="BX23" s="179"/>
      <c r="BY23" s="179"/>
      <c r="BZ23" s="179"/>
      <c r="CA23" s="179"/>
      <c r="CB23" s="179"/>
      <c r="CC23" s="179"/>
      <c r="CD23" s="179"/>
      <c r="CE23" s="179"/>
      <c r="CF23" s="179"/>
      <c r="CG23" s="179"/>
      <c r="CH23" s="179"/>
      <c r="CI23" s="179"/>
      <c r="CJ23" s="179"/>
      <c r="CK23" s="179"/>
      <c r="CL23" s="179"/>
      <c r="CM23" s="179"/>
      <c r="CN23" s="179"/>
      <c r="CO23" s="179"/>
      <c r="CP23" s="179"/>
      <c r="CQ23" s="179"/>
      <c r="CR23" s="179"/>
      <c r="CS23" s="179"/>
      <c r="CT23" s="179"/>
      <c r="CU23" s="179"/>
      <c r="CV23" s="179"/>
      <c r="CW23" s="179"/>
      <c r="CX23" s="179"/>
      <c r="CY23" s="179"/>
      <c r="CZ23" s="179"/>
      <c r="DA23" s="179"/>
      <c r="DB23" s="179"/>
      <c r="DC23" s="179"/>
      <c r="DD23" s="179"/>
      <c r="DE23" s="179"/>
      <c r="DF23" s="179"/>
      <c r="DG23" s="179"/>
      <c r="DH23" s="179"/>
      <c r="DI23" s="179"/>
      <c r="DJ23" s="179"/>
      <c r="DK23" s="179"/>
      <c r="DL23" s="179"/>
      <c r="DM23" s="179"/>
      <c r="DN23" s="179"/>
      <c r="DO23" s="179"/>
      <c r="DP23" s="179"/>
      <c r="DQ23" s="179"/>
      <c r="DR23" s="179"/>
      <c r="DS23" s="179"/>
      <c r="DT23" s="179"/>
      <c r="DU23" s="179"/>
      <c r="DV23" s="179"/>
      <c r="DW23" s="179"/>
      <c r="DX23" s="179"/>
      <c r="DY23" s="179"/>
      <c r="DZ23" s="179"/>
      <c r="EA23" s="179"/>
      <c r="EB23" s="179"/>
      <c r="EC23" s="179"/>
      <c r="ED23" s="179"/>
      <c r="EE23" s="179"/>
      <c r="EF23" s="179"/>
      <c r="EG23" s="179"/>
    </row>
    <row r="24" spans="1:137" s="351" customFormat="1" ht="51">
      <c r="A24" s="383">
        <v>23</v>
      </c>
      <c r="B24" s="11" t="s">
        <v>2044</v>
      </c>
      <c r="C24" s="191" t="s">
        <v>1772</v>
      </c>
      <c r="D24" s="385" t="s">
        <v>4064</v>
      </c>
      <c r="E24" s="189" t="s">
        <v>1621</v>
      </c>
      <c r="F24" s="191" t="s">
        <v>3869</v>
      </c>
      <c r="G24" s="455"/>
      <c r="H24" s="272">
        <v>43139</v>
      </c>
      <c r="I24" s="185"/>
      <c r="J24" s="195">
        <v>43068</v>
      </c>
      <c r="K24" s="178">
        <f t="shared" si="0"/>
        <v>2017</v>
      </c>
      <c r="L24" s="178">
        <f t="shared" si="1"/>
        <v>11</v>
      </c>
      <c r="M24" s="195">
        <v>43140</v>
      </c>
      <c r="N24" s="338">
        <v>4.8</v>
      </c>
      <c r="O24" s="343">
        <v>45</v>
      </c>
      <c r="P24" s="535">
        <f>VLOOKUP(E24,'Cost of items'!$A$3:$C$95,3,0)</f>
        <v>39.873015873015873</v>
      </c>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9"/>
      <c r="BN24" s="179"/>
      <c r="BO24" s="179"/>
      <c r="BP24" s="179"/>
      <c r="BQ24" s="179"/>
      <c r="BR24" s="179"/>
      <c r="BS24" s="179"/>
      <c r="BT24" s="179"/>
      <c r="BU24" s="179"/>
      <c r="BV24" s="179"/>
      <c r="BW24" s="179"/>
      <c r="BX24" s="179"/>
      <c r="BY24" s="179"/>
      <c r="BZ24" s="179"/>
      <c r="CA24" s="179"/>
      <c r="CB24" s="179"/>
      <c r="CC24" s="179"/>
      <c r="CD24" s="179"/>
      <c r="CE24" s="179"/>
      <c r="CF24" s="179"/>
      <c r="CG24" s="179"/>
      <c r="CH24" s="179"/>
      <c r="CI24" s="179"/>
      <c r="CJ24" s="179"/>
      <c r="CK24" s="179"/>
      <c r="CL24" s="179"/>
      <c r="CM24" s="179"/>
      <c r="CN24" s="179"/>
      <c r="CO24" s="179"/>
      <c r="CP24" s="179"/>
      <c r="CQ24" s="179"/>
      <c r="CR24" s="179"/>
      <c r="CS24" s="179"/>
      <c r="CT24" s="179"/>
      <c r="CU24" s="179"/>
      <c r="CV24" s="179"/>
      <c r="CW24" s="179"/>
      <c r="CX24" s="179"/>
      <c r="CY24" s="179"/>
      <c r="CZ24" s="179"/>
      <c r="DA24" s="179"/>
      <c r="DB24" s="179"/>
      <c r="DC24" s="179"/>
      <c r="DD24" s="179"/>
      <c r="DE24" s="179"/>
      <c r="DF24" s="179"/>
      <c r="DG24" s="179"/>
      <c r="DH24" s="179"/>
      <c r="DI24" s="179"/>
      <c r="DJ24" s="179"/>
      <c r="DK24" s="179"/>
      <c r="DL24" s="179"/>
      <c r="DM24" s="179"/>
      <c r="DN24" s="179"/>
      <c r="DO24" s="179"/>
      <c r="DP24" s="179"/>
      <c r="DQ24" s="179"/>
      <c r="DR24" s="179"/>
      <c r="DS24" s="179"/>
      <c r="DT24" s="179"/>
      <c r="DU24" s="179"/>
      <c r="DV24" s="179"/>
      <c r="DW24" s="179"/>
      <c r="DX24" s="179"/>
      <c r="DY24" s="179"/>
      <c r="DZ24" s="179"/>
      <c r="EA24" s="179"/>
      <c r="EB24" s="179"/>
      <c r="EC24" s="179"/>
      <c r="ED24" s="179"/>
      <c r="EE24" s="179"/>
      <c r="EF24" s="179"/>
      <c r="EG24" s="179"/>
    </row>
    <row r="25" spans="1:137" s="351" customFormat="1" ht="25.5">
      <c r="A25" s="178">
        <v>24</v>
      </c>
      <c r="B25" s="11" t="s">
        <v>2044</v>
      </c>
      <c r="C25" s="191" t="s">
        <v>1735</v>
      </c>
      <c r="D25" s="191" t="s">
        <v>4064</v>
      </c>
      <c r="E25" s="189" t="s">
        <v>3823</v>
      </c>
      <c r="F25" s="191" t="s">
        <v>3872</v>
      </c>
      <c r="G25" s="191" t="s">
        <v>3823</v>
      </c>
      <c r="H25" s="281">
        <v>43145</v>
      </c>
      <c r="I25" s="202" t="s">
        <v>5</v>
      </c>
      <c r="J25" s="195">
        <v>43106</v>
      </c>
      <c r="K25" s="178">
        <f t="shared" si="0"/>
        <v>2018</v>
      </c>
      <c r="L25" s="178">
        <f t="shared" si="1"/>
        <v>1</v>
      </c>
      <c r="M25" s="195">
        <v>43145</v>
      </c>
      <c r="N25" s="456" t="s">
        <v>4058</v>
      </c>
      <c r="O25" s="343">
        <v>25</v>
      </c>
      <c r="P25" s="535">
        <f>VLOOKUP(E25,'Cost of items'!$A$3:$C$95,3,0)</f>
        <v>19</v>
      </c>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9"/>
      <c r="BN25" s="179"/>
      <c r="BO25" s="179"/>
      <c r="BP25" s="179"/>
      <c r="BQ25" s="179"/>
      <c r="BR25" s="179"/>
      <c r="BS25" s="179"/>
      <c r="BT25" s="179"/>
      <c r="BU25" s="179"/>
      <c r="BV25" s="179"/>
      <c r="BW25" s="179"/>
      <c r="BX25" s="179"/>
      <c r="BY25" s="179"/>
      <c r="BZ25" s="179"/>
      <c r="CA25" s="179"/>
      <c r="CB25" s="179"/>
      <c r="CC25" s="179"/>
      <c r="CD25" s="179"/>
      <c r="CE25" s="179"/>
      <c r="CF25" s="179"/>
      <c r="CG25" s="179"/>
      <c r="CH25" s="179"/>
      <c r="CI25" s="179"/>
      <c r="CJ25" s="179"/>
      <c r="CK25" s="179"/>
      <c r="CL25" s="179"/>
      <c r="CM25" s="179"/>
      <c r="CN25" s="179"/>
      <c r="CO25" s="179"/>
      <c r="CP25" s="179"/>
      <c r="CQ25" s="179"/>
      <c r="CR25" s="179"/>
      <c r="CS25" s="179"/>
      <c r="CT25" s="179"/>
      <c r="CU25" s="179"/>
      <c r="CV25" s="179"/>
      <c r="CW25" s="179"/>
      <c r="CX25" s="179"/>
      <c r="CY25" s="179"/>
      <c r="CZ25" s="179"/>
      <c r="DA25" s="179"/>
      <c r="DB25" s="179"/>
      <c r="DC25" s="179"/>
      <c r="DD25" s="179"/>
      <c r="DE25" s="179"/>
      <c r="DF25" s="179"/>
      <c r="DG25" s="179"/>
      <c r="DH25" s="179"/>
      <c r="DI25" s="179"/>
      <c r="DJ25" s="179"/>
      <c r="DK25" s="179"/>
      <c r="DL25" s="179"/>
      <c r="DM25" s="179"/>
      <c r="DN25" s="179"/>
      <c r="DO25" s="179"/>
      <c r="DP25" s="179"/>
      <c r="DQ25" s="179"/>
      <c r="DR25" s="179"/>
      <c r="DS25" s="179"/>
      <c r="DT25" s="179"/>
      <c r="DU25" s="179"/>
      <c r="DV25" s="179"/>
      <c r="DW25" s="179"/>
      <c r="DX25" s="179"/>
      <c r="DY25" s="179"/>
      <c r="DZ25" s="179"/>
      <c r="EA25" s="179"/>
      <c r="EB25" s="179"/>
      <c r="EC25" s="179"/>
      <c r="ED25" s="179"/>
      <c r="EE25" s="179"/>
      <c r="EF25" s="179"/>
      <c r="EG25" s="179"/>
    </row>
    <row r="26" spans="1:137" s="351" customFormat="1" ht="38.25">
      <c r="A26" s="383">
        <v>25</v>
      </c>
      <c r="B26" s="11" t="s">
        <v>2044</v>
      </c>
      <c r="C26" s="191" t="s">
        <v>1735</v>
      </c>
      <c r="D26" s="385" t="s">
        <v>4064</v>
      </c>
      <c r="E26" s="13" t="s">
        <v>1621</v>
      </c>
      <c r="F26" s="191" t="s">
        <v>3873</v>
      </c>
      <c r="G26" s="191" t="s">
        <v>3989</v>
      </c>
      <c r="H26" s="281">
        <v>43145</v>
      </c>
      <c r="I26" s="185"/>
      <c r="J26" s="195">
        <v>43106</v>
      </c>
      <c r="K26" s="178">
        <f t="shared" si="0"/>
        <v>2018</v>
      </c>
      <c r="L26" s="178">
        <f t="shared" si="1"/>
        <v>1</v>
      </c>
      <c r="M26" s="195">
        <v>43145</v>
      </c>
      <c r="N26" s="458"/>
      <c r="O26" s="343">
        <v>40</v>
      </c>
      <c r="P26" s="535">
        <f>VLOOKUP(E26,'Cost of items'!$A$3:$C$95,3,0)</f>
        <v>39.873015873015873</v>
      </c>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9"/>
      <c r="BN26" s="179"/>
      <c r="BO26" s="179"/>
      <c r="BP26" s="179"/>
      <c r="BQ26" s="179"/>
      <c r="BR26" s="179"/>
      <c r="BS26" s="179"/>
      <c r="BT26" s="179"/>
      <c r="BU26" s="179"/>
      <c r="BV26" s="179"/>
      <c r="BW26" s="179"/>
      <c r="BX26" s="179"/>
      <c r="BY26" s="179"/>
      <c r="BZ26" s="179"/>
      <c r="CA26" s="179"/>
      <c r="CB26" s="179"/>
      <c r="CC26" s="179"/>
      <c r="CD26" s="179"/>
      <c r="CE26" s="179"/>
      <c r="CF26" s="179"/>
      <c r="CG26" s="179"/>
      <c r="CH26" s="179"/>
      <c r="CI26" s="179"/>
      <c r="CJ26" s="179"/>
      <c r="CK26" s="179"/>
      <c r="CL26" s="179"/>
      <c r="CM26" s="179"/>
      <c r="CN26" s="179"/>
      <c r="CO26" s="179"/>
      <c r="CP26" s="179"/>
      <c r="CQ26" s="179"/>
      <c r="CR26" s="179"/>
      <c r="CS26" s="179"/>
      <c r="CT26" s="179"/>
      <c r="CU26" s="179"/>
      <c r="CV26" s="179"/>
      <c r="CW26" s="179"/>
      <c r="CX26" s="179"/>
      <c r="CY26" s="179"/>
      <c r="CZ26" s="179"/>
      <c r="DA26" s="179"/>
      <c r="DB26" s="179"/>
      <c r="DC26" s="179"/>
      <c r="DD26" s="179"/>
      <c r="DE26" s="179"/>
      <c r="DF26" s="179"/>
      <c r="DG26" s="179"/>
      <c r="DH26" s="179"/>
      <c r="DI26" s="179"/>
      <c r="DJ26" s="179"/>
      <c r="DK26" s="179"/>
      <c r="DL26" s="179"/>
      <c r="DM26" s="179"/>
      <c r="DN26" s="179"/>
      <c r="DO26" s="179"/>
      <c r="DP26" s="179"/>
      <c r="DQ26" s="179"/>
      <c r="DR26" s="179"/>
      <c r="DS26" s="179"/>
      <c r="DT26" s="179"/>
      <c r="DU26" s="179"/>
      <c r="DV26" s="179"/>
      <c r="DW26" s="179"/>
      <c r="DX26" s="179"/>
      <c r="DY26" s="179"/>
      <c r="DZ26" s="179"/>
      <c r="EA26" s="179"/>
      <c r="EB26" s="179"/>
      <c r="EC26" s="179"/>
      <c r="ED26" s="179"/>
      <c r="EE26" s="179"/>
      <c r="EF26" s="179"/>
      <c r="EG26" s="179"/>
    </row>
    <row r="27" spans="1:137" s="351" customFormat="1" ht="38.25">
      <c r="A27" s="178">
        <v>26</v>
      </c>
      <c r="B27" s="11" t="s">
        <v>2044</v>
      </c>
      <c r="C27" s="191" t="s">
        <v>1820</v>
      </c>
      <c r="D27" s="385" t="s">
        <v>4064</v>
      </c>
      <c r="E27" s="191" t="s">
        <v>3841</v>
      </c>
      <c r="F27" s="191" t="s">
        <v>3874</v>
      </c>
      <c r="G27" s="191" t="s">
        <v>1823</v>
      </c>
      <c r="H27" s="281">
        <v>43162</v>
      </c>
      <c r="I27" s="185"/>
      <c r="J27" s="195">
        <v>43111</v>
      </c>
      <c r="K27" s="178">
        <f t="shared" si="0"/>
        <v>2018</v>
      </c>
      <c r="L27" s="178">
        <f t="shared" si="1"/>
        <v>1</v>
      </c>
      <c r="M27" s="195">
        <v>43162</v>
      </c>
      <c r="N27" s="452">
        <v>3</v>
      </c>
      <c r="O27" s="343">
        <v>50</v>
      </c>
      <c r="P27" s="535">
        <f>VLOOKUP(E27,'Cost of items'!$A$3:$C$95,3,0)</f>
        <v>43.011942554799695</v>
      </c>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c r="BC27" s="179"/>
      <c r="BD27" s="179"/>
      <c r="BE27" s="179"/>
      <c r="BF27" s="179"/>
      <c r="BG27" s="179"/>
      <c r="BH27" s="179"/>
      <c r="BI27" s="179"/>
      <c r="BJ27" s="179"/>
      <c r="BK27" s="179"/>
      <c r="BL27" s="179"/>
      <c r="BM27" s="179"/>
      <c r="BN27" s="179"/>
      <c r="BO27" s="179"/>
      <c r="BP27" s="179"/>
      <c r="BQ27" s="179"/>
      <c r="BR27" s="179"/>
      <c r="BS27" s="179"/>
      <c r="BT27" s="179"/>
      <c r="BU27" s="179"/>
      <c r="BV27" s="179"/>
      <c r="BW27" s="179"/>
      <c r="BX27" s="179"/>
      <c r="BY27" s="179"/>
      <c r="BZ27" s="179"/>
      <c r="CA27" s="179"/>
      <c r="CB27" s="179"/>
      <c r="CC27" s="179"/>
      <c r="CD27" s="179"/>
      <c r="CE27" s="179"/>
      <c r="CF27" s="179"/>
      <c r="CG27" s="179"/>
      <c r="CH27" s="179"/>
      <c r="CI27" s="179"/>
      <c r="CJ27" s="179"/>
      <c r="CK27" s="179"/>
      <c r="CL27" s="179"/>
      <c r="CM27" s="179"/>
      <c r="CN27" s="179"/>
      <c r="CO27" s="179"/>
      <c r="CP27" s="179"/>
      <c r="CQ27" s="179"/>
      <c r="CR27" s="179"/>
      <c r="CS27" s="179"/>
      <c r="CT27" s="179"/>
      <c r="CU27" s="179"/>
      <c r="CV27" s="179"/>
      <c r="CW27" s="179"/>
      <c r="CX27" s="179"/>
      <c r="CY27" s="179"/>
      <c r="CZ27" s="179"/>
      <c r="DA27" s="179"/>
      <c r="DB27" s="179"/>
      <c r="DC27" s="179"/>
      <c r="DD27" s="179"/>
      <c r="DE27" s="179"/>
      <c r="DF27" s="179"/>
      <c r="DG27" s="179"/>
      <c r="DH27" s="179"/>
      <c r="DI27" s="179"/>
      <c r="DJ27" s="179"/>
      <c r="DK27" s="179"/>
      <c r="DL27" s="179"/>
      <c r="DM27" s="179"/>
      <c r="DN27" s="179"/>
      <c r="DO27" s="179"/>
      <c r="DP27" s="179"/>
      <c r="DQ27" s="179"/>
      <c r="DR27" s="179"/>
      <c r="DS27" s="179"/>
      <c r="DT27" s="179"/>
      <c r="DU27" s="179"/>
      <c r="DV27" s="179"/>
      <c r="DW27" s="179"/>
      <c r="DX27" s="179"/>
      <c r="DY27" s="179"/>
      <c r="DZ27" s="179"/>
      <c r="EA27" s="179"/>
      <c r="EB27" s="179"/>
      <c r="EC27" s="179"/>
      <c r="ED27" s="179"/>
      <c r="EE27" s="179"/>
      <c r="EF27" s="179"/>
      <c r="EG27" s="179"/>
    </row>
    <row r="28" spans="1:137" s="351" customFormat="1" ht="25.5">
      <c r="A28" s="383">
        <v>27</v>
      </c>
      <c r="B28" s="11" t="s">
        <v>2044</v>
      </c>
      <c r="C28" s="191" t="s">
        <v>1820</v>
      </c>
      <c r="D28" s="13" t="s">
        <v>4075</v>
      </c>
      <c r="E28" s="189" t="s">
        <v>3817</v>
      </c>
      <c r="F28" s="191" t="s">
        <v>3875</v>
      </c>
      <c r="G28" s="191" t="s">
        <v>3990</v>
      </c>
      <c r="H28" s="281">
        <v>43162</v>
      </c>
      <c r="I28" s="185"/>
      <c r="J28" s="195">
        <v>43111</v>
      </c>
      <c r="K28" s="178">
        <f t="shared" si="0"/>
        <v>2018</v>
      </c>
      <c r="L28" s="178">
        <f t="shared" si="1"/>
        <v>1</v>
      </c>
      <c r="M28" s="195">
        <v>43162</v>
      </c>
      <c r="N28" s="453"/>
      <c r="O28" s="343">
        <v>30</v>
      </c>
      <c r="P28" s="535">
        <f>VLOOKUP(E28,'Cost of items'!$A$3:$C$95,3,0)</f>
        <v>21.172619047619047</v>
      </c>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9"/>
      <c r="BN28" s="179"/>
      <c r="BO28" s="179"/>
      <c r="BP28" s="179"/>
      <c r="BQ28" s="179"/>
      <c r="BR28" s="179"/>
      <c r="BS28" s="179"/>
      <c r="BT28" s="179"/>
      <c r="BU28" s="179"/>
      <c r="BV28" s="179"/>
      <c r="BW28" s="179"/>
      <c r="BX28" s="179"/>
      <c r="BY28" s="179"/>
      <c r="BZ28" s="179"/>
      <c r="CA28" s="179"/>
      <c r="CB28" s="179"/>
      <c r="CC28" s="179"/>
      <c r="CD28" s="179"/>
      <c r="CE28" s="179"/>
      <c r="CF28" s="179"/>
      <c r="CG28" s="179"/>
      <c r="CH28" s="179"/>
      <c r="CI28" s="179"/>
      <c r="CJ28" s="179"/>
      <c r="CK28" s="179"/>
      <c r="CL28" s="179"/>
      <c r="CM28" s="179"/>
      <c r="CN28" s="179"/>
      <c r="CO28" s="179"/>
      <c r="CP28" s="179"/>
      <c r="CQ28" s="179"/>
      <c r="CR28" s="179"/>
      <c r="CS28" s="179"/>
      <c r="CT28" s="179"/>
      <c r="CU28" s="179"/>
      <c r="CV28" s="179"/>
      <c r="CW28" s="179"/>
      <c r="CX28" s="179"/>
      <c r="CY28" s="179"/>
      <c r="CZ28" s="179"/>
      <c r="DA28" s="179"/>
      <c r="DB28" s="179"/>
      <c r="DC28" s="179"/>
      <c r="DD28" s="179"/>
      <c r="DE28" s="179"/>
      <c r="DF28" s="179"/>
      <c r="DG28" s="179"/>
      <c r="DH28" s="179"/>
      <c r="DI28" s="179"/>
      <c r="DJ28" s="179"/>
      <c r="DK28" s="179"/>
      <c r="DL28" s="179"/>
      <c r="DM28" s="179"/>
      <c r="DN28" s="179"/>
      <c r="DO28" s="179"/>
      <c r="DP28" s="179"/>
      <c r="DQ28" s="179"/>
      <c r="DR28" s="179"/>
      <c r="DS28" s="179"/>
      <c r="DT28" s="179"/>
      <c r="DU28" s="179"/>
      <c r="DV28" s="179"/>
      <c r="DW28" s="179"/>
      <c r="DX28" s="179"/>
      <c r="DY28" s="179"/>
      <c r="DZ28" s="179"/>
      <c r="EA28" s="179"/>
      <c r="EB28" s="179"/>
      <c r="EC28" s="179"/>
      <c r="ED28" s="179"/>
      <c r="EE28" s="179"/>
      <c r="EF28" s="179"/>
      <c r="EG28" s="179"/>
    </row>
    <row r="29" spans="1:137" ht="51">
      <c r="A29" s="178">
        <v>28</v>
      </c>
      <c r="B29" s="11" t="s">
        <v>2044</v>
      </c>
      <c r="C29" s="191" t="s">
        <v>1862</v>
      </c>
      <c r="D29" s="385" t="s">
        <v>4064</v>
      </c>
      <c r="E29" s="13" t="s">
        <v>1621</v>
      </c>
      <c r="F29" s="191" t="s">
        <v>3878</v>
      </c>
      <c r="G29" s="191" t="s">
        <v>3993</v>
      </c>
      <c r="H29" s="272">
        <v>43151</v>
      </c>
      <c r="I29" s="185"/>
      <c r="J29" s="218">
        <v>43123</v>
      </c>
      <c r="K29" s="178">
        <f t="shared" si="0"/>
        <v>2018</v>
      </c>
      <c r="L29" s="178">
        <f t="shared" si="1"/>
        <v>1</v>
      </c>
      <c r="M29" s="195">
        <v>43151</v>
      </c>
      <c r="N29" s="335">
        <v>3.9</v>
      </c>
      <c r="O29" s="343">
        <v>55</v>
      </c>
      <c r="P29" s="535">
        <f>VLOOKUP(E29,'Cost of items'!$A$3:$C$95,3,0)</f>
        <v>39.873015873015873</v>
      </c>
    </row>
    <row r="30" spans="1:137" ht="25.5">
      <c r="A30" s="383">
        <v>29</v>
      </c>
      <c r="B30" s="11" t="s">
        <v>2044</v>
      </c>
      <c r="C30" s="191" t="s">
        <v>1875</v>
      </c>
      <c r="D30" s="385" t="s">
        <v>4064</v>
      </c>
      <c r="E30" s="13" t="s">
        <v>1621</v>
      </c>
      <c r="F30" s="13" t="s">
        <v>3879</v>
      </c>
      <c r="G30" s="13" t="s">
        <v>3994</v>
      </c>
      <c r="H30" s="279">
        <v>43150</v>
      </c>
      <c r="I30" s="202" t="s">
        <v>5</v>
      </c>
      <c r="J30" s="193">
        <v>43144</v>
      </c>
      <c r="K30" s="178">
        <f t="shared" si="0"/>
        <v>2018</v>
      </c>
      <c r="L30" s="178">
        <f t="shared" si="1"/>
        <v>2</v>
      </c>
      <c r="M30" s="193">
        <v>43150</v>
      </c>
      <c r="N30" s="334" t="s">
        <v>4058</v>
      </c>
      <c r="O30" s="343">
        <v>40</v>
      </c>
      <c r="P30" s="535">
        <f>VLOOKUP(E30,'Cost of items'!$A$3:$C$95,3,0)</f>
        <v>39.873015873015873</v>
      </c>
    </row>
    <row r="31" spans="1:137" s="351" customFormat="1" ht="25.5">
      <c r="A31" s="178">
        <v>30</v>
      </c>
      <c r="B31" s="11" t="s">
        <v>2044</v>
      </c>
      <c r="C31" s="191" t="s">
        <v>1877</v>
      </c>
      <c r="D31" s="385" t="s">
        <v>4064</v>
      </c>
      <c r="E31" s="191" t="s">
        <v>1884</v>
      </c>
      <c r="F31" s="191" t="s">
        <v>3880</v>
      </c>
      <c r="G31" s="191" t="s">
        <v>1884</v>
      </c>
      <c r="H31" s="272">
        <v>43193</v>
      </c>
      <c r="I31" s="185"/>
      <c r="J31" s="195">
        <v>43144</v>
      </c>
      <c r="K31" s="178">
        <f t="shared" si="0"/>
        <v>2018</v>
      </c>
      <c r="L31" s="178">
        <f t="shared" si="1"/>
        <v>2</v>
      </c>
      <c r="M31" s="195">
        <v>43179</v>
      </c>
      <c r="N31" s="339" t="s">
        <v>4056</v>
      </c>
      <c r="O31" s="343">
        <v>40</v>
      </c>
      <c r="P31" s="535">
        <f>VLOOKUP(E31,'Cost of items'!$A$3:$C$95,3,0)</f>
        <v>43.011942554799695</v>
      </c>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9"/>
      <c r="BN31" s="179"/>
      <c r="BO31" s="179"/>
      <c r="BP31" s="179"/>
      <c r="BQ31" s="179"/>
      <c r="BR31" s="179"/>
      <c r="BS31" s="179"/>
      <c r="BT31" s="179"/>
      <c r="BU31" s="179"/>
      <c r="BV31" s="179"/>
      <c r="BW31" s="179"/>
      <c r="BX31" s="179"/>
      <c r="BY31" s="179"/>
      <c r="BZ31" s="179"/>
      <c r="CA31" s="179"/>
      <c r="CB31" s="179"/>
      <c r="CC31" s="179"/>
      <c r="CD31" s="179"/>
      <c r="CE31" s="179"/>
      <c r="CF31" s="179"/>
      <c r="CG31" s="179"/>
      <c r="CH31" s="179"/>
      <c r="CI31" s="179"/>
      <c r="CJ31" s="179"/>
      <c r="CK31" s="179"/>
      <c r="CL31" s="179"/>
      <c r="CM31" s="179"/>
      <c r="CN31" s="179"/>
      <c r="CO31" s="179"/>
      <c r="CP31" s="179"/>
      <c r="CQ31" s="179"/>
      <c r="CR31" s="179"/>
      <c r="CS31" s="179"/>
      <c r="CT31" s="179"/>
      <c r="CU31" s="179"/>
      <c r="CV31" s="179"/>
      <c r="CW31" s="179"/>
      <c r="CX31" s="179"/>
      <c r="CY31" s="179"/>
      <c r="CZ31" s="179"/>
      <c r="DA31" s="179"/>
      <c r="DB31" s="179"/>
      <c r="DC31" s="179"/>
      <c r="DD31" s="179"/>
      <c r="DE31" s="179"/>
      <c r="DF31" s="179"/>
      <c r="DG31" s="179"/>
      <c r="DH31" s="179"/>
      <c r="DI31" s="179"/>
      <c r="DJ31" s="179"/>
      <c r="DK31" s="179"/>
      <c r="DL31" s="179"/>
      <c r="DM31" s="179"/>
      <c r="DN31" s="179"/>
      <c r="DO31" s="179"/>
      <c r="DP31" s="179"/>
      <c r="DQ31" s="179"/>
      <c r="DR31" s="179"/>
      <c r="DS31" s="179"/>
      <c r="DT31" s="179"/>
      <c r="DU31" s="179"/>
      <c r="DV31" s="179"/>
      <c r="DW31" s="179"/>
      <c r="DX31" s="179"/>
      <c r="DY31" s="179"/>
      <c r="DZ31" s="179"/>
      <c r="EA31" s="179"/>
      <c r="EB31" s="179"/>
      <c r="EC31" s="179"/>
      <c r="ED31" s="179"/>
      <c r="EE31" s="179"/>
      <c r="EF31" s="179"/>
      <c r="EG31" s="179"/>
    </row>
    <row r="32" spans="1:137" s="351" customFormat="1" ht="38.25">
      <c r="A32" s="383">
        <v>31</v>
      </c>
      <c r="B32" s="11" t="s">
        <v>2044</v>
      </c>
      <c r="C32" s="191" t="s">
        <v>1877</v>
      </c>
      <c r="D32" s="17" t="s">
        <v>4067</v>
      </c>
      <c r="E32" s="13" t="s">
        <v>1914</v>
      </c>
      <c r="F32" s="191" t="s">
        <v>3880</v>
      </c>
      <c r="G32" s="191" t="s">
        <v>3995</v>
      </c>
      <c r="H32" s="272">
        <v>43193</v>
      </c>
      <c r="I32" s="185"/>
      <c r="J32" s="195">
        <v>43144</v>
      </c>
      <c r="K32" s="178">
        <f t="shared" si="0"/>
        <v>2018</v>
      </c>
      <c r="L32" s="178">
        <f t="shared" si="1"/>
        <v>2</v>
      </c>
      <c r="M32" s="195">
        <v>43179</v>
      </c>
      <c r="N32" s="339" t="s">
        <v>4056</v>
      </c>
      <c r="O32" s="343">
        <v>50</v>
      </c>
      <c r="P32" s="535">
        <f>VLOOKUP(E32,'Cost of items'!$A$3:$C$95,3,0)</f>
        <v>31.649290982871491</v>
      </c>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79"/>
      <c r="CF32" s="179"/>
      <c r="CG32" s="179"/>
      <c r="CH32" s="179"/>
      <c r="CI32" s="179"/>
      <c r="CJ32" s="179"/>
      <c r="CK32" s="179"/>
      <c r="CL32" s="179"/>
      <c r="CM32" s="179"/>
      <c r="CN32" s="179"/>
      <c r="CO32" s="179"/>
      <c r="CP32" s="179"/>
      <c r="CQ32" s="179"/>
      <c r="CR32" s="179"/>
      <c r="CS32" s="179"/>
      <c r="CT32" s="179"/>
      <c r="CU32" s="179"/>
      <c r="CV32" s="179"/>
      <c r="CW32" s="179"/>
      <c r="CX32" s="179"/>
      <c r="CY32" s="179"/>
      <c r="CZ32" s="179"/>
      <c r="DA32" s="179"/>
      <c r="DB32" s="179"/>
      <c r="DC32" s="179"/>
      <c r="DD32" s="179"/>
      <c r="DE32" s="179"/>
      <c r="DF32" s="179"/>
      <c r="DG32" s="179"/>
      <c r="DH32" s="179"/>
      <c r="DI32" s="179"/>
      <c r="DJ32" s="179"/>
      <c r="DK32" s="179"/>
      <c r="DL32" s="179"/>
      <c r="DM32" s="179"/>
      <c r="DN32" s="179"/>
      <c r="DO32" s="179"/>
      <c r="DP32" s="179"/>
      <c r="DQ32" s="179"/>
      <c r="DR32" s="179"/>
      <c r="DS32" s="179"/>
      <c r="DT32" s="179"/>
      <c r="DU32" s="179"/>
      <c r="DV32" s="179"/>
      <c r="DW32" s="179"/>
      <c r="DX32" s="179"/>
      <c r="DY32" s="179"/>
      <c r="DZ32" s="179"/>
      <c r="EA32" s="179"/>
      <c r="EB32" s="179"/>
      <c r="EC32" s="179"/>
      <c r="ED32" s="179"/>
      <c r="EE32" s="179"/>
      <c r="EF32" s="179"/>
      <c r="EG32" s="179"/>
    </row>
    <row r="33" spans="1:137" s="351" customFormat="1" ht="25.5">
      <c r="A33" s="178">
        <v>32</v>
      </c>
      <c r="B33" s="11" t="s">
        <v>2044</v>
      </c>
      <c r="C33" s="191" t="s">
        <v>1879</v>
      </c>
      <c r="D33" s="203" t="s">
        <v>4066</v>
      </c>
      <c r="E33" s="189" t="s">
        <v>3794</v>
      </c>
      <c r="F33" s="191" t="s">
        <v>3882</v>
      </c>
      <c r="G33" s="191" t="s">
        <v>3998</v>
      </c>
      <c r="H33" s="281">
        <v>43225</v>
      </c>
      <c r="I33" s="185"/>
      <c r="J33" s="195">
        <v>43144</v>
      </c>
      <c r="K33" s="178">
        <f t="shared" si="0"/>
        <v>2018</v>
      </c>
      <c r="L33" s="178">
        <f t="shared" si="1"/>
        <v>2</v>
      </c>
      <c r="M33" s="195">
        <v>43225</v>
      </c>
      <c r="N33" s="457"/>
      <c r="O33" s="343">
        <v>38</v>
      </c>
      <c r="P33" s="535">
        <f>VLOOKUP(E33,'Cost of items'!$A$3:$C$95,3,0)</f>
        <v>35.437566137566137</v>
      </c>
      <c r="Q33" s="179"/>
      <c r="R33" s="179"/>
      <c r="S33" s="179"/>
      <c r="T33" s="179"/>
      <c r="U33" s="179"/>
      <c r="V33" s="179"/>
      <c r="W33" s="179"/>
      <c r="X33" s="179"/>
      <c r="Y33" s="179"/>
      <c r="Z33" s="179"/>
      <c r="AA33" s="179"/>
      <c r="AB33" s="179"/>
      <c r="AC33" s="179"/>
      <c r="AD33" s="179"/>
      <c r="AE33" s="179"/>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79"/>
      <c r="CF33" s="179"/>
      <c r="CG33" s="179"/>
      <c r="CH33" s="179"/>
      <c r="CI33" s="179"/>
      <c r="CJ33" s="179"/>
      <c r="CK33" s="179"/>
      <c r="CL33" s="179"/>
      <c r="CM33" s="179"/>
      <c r="CN33" s="179"/>
      <c r="CO33" s="179"/>
      <c r="CP33" s="179"/>
      <c r="CQ33" s="179"/>
      <c r="CR33" s="179"/>
      <c r="CS33" s="179"/>
      <c r="CT33" s="179"/>
      <c r="CU33" s="179"/>
      <c r="CV33" s="179"/>
      <c r="CW33" s="179"/>
      <c r="CX33" s="179"/>
      <c r="CY33" s="179"/>
      <c r="CZ33" s="179"/>
      <c r="DA33" s="179"/>
      <c r="DB33" s="179"/>
      <c r="DC33" s="179"/>
      <c r="DD33" s="179"/>
      <c r="DE33" s="179"/>
      <c r="DF33" s="179"/>
      <c r="DG33" s="179"/>
      <c r="DH33" s="179"/>
      <c r="DI33" s="179"/>
      <c r="DJ33" s="179"/>
      <c r="DK33" s="179"/>
      <c r="DL33" s="179"/>
      <c r="DM33" s="179"/>
      <c r="DN33" s="179"/>
      <c r="DO33" s="179"/>
      <c r="DP33" s="179"/>
      <c r="DQ33" s="179"/>
      <c r="DR33" s="179"/>
      <c r="DS33" s="179"/>
      <c r="DT33" s="179"/>
      <c r="DU33" s="179"/>
      <c r="DV33" s="179"/>
      <c r="DW33" s="179"/>
      <c r="DX33" s="179"/>
      <c r="DY33" s="179"/>
      <c r="DZ33" s="179"/>
      <c r="EA33" s="179"/>
      <c r="EB33" s="179"/>
      <c r="EC33" s="179"/>
      <c r="ED33" s="179"/>
      <c r="EE33" s="179"/>
      <c r="EF33" s="179"/>
      <c r="EG33" s="179"/>
    </row>
    <row r="34" spans="1:137" s="351" customFormat="1" ht="25.5">
      <c r="A34" s="383">
        <v>33</v>
      </c>
      <c r="B34" s="11" t="s">
        <v>2044</v>
      </c>
      <c r="C34" s="191" t="s">
        <v>1879</v>
      </c>
      <c r="D34" s="203" t="s">
        <v>4066</v>
      </c>
      <c r="E34" s="189" t="s">
        <v>3794</v>
      </c>
      <c r="F34" s="191" t="s">
        <v>3882</v>
      </c>
      <c r="G34" s="191" t="s">
        <v>1881</v>
      </c>
      <c r="H34" s="281">
        <v>43225</v>
      </c>
      <c r="I34" s="185"/>
      <c r="J34" s="195">
        <v>43144</v>
      </c>
      <c r="K34" s="178">
        <f t="shared" si="0"/>
        <v>2018</v>
      </c>
      <c r="L34" s="178">
        <f t="shared" si="1"/>
        <v>2</v>
      </c>
      <c r="M34" s="195">
        <v>43225</v>
      </c>
      <c r="N34" s="457"/>
      <c r="O34" s="343">
        <v>37</v>
      </c>
      <c r="P34" s="535">
        <f>VLOOKUP(E34,'Cost of items'!$A$3:$C$95,3,0)</f>
        <v>35.437566137566137</v>
      </c>
      <c r="Q34" s="179"/>
      <c r="R34" s="179"/>
      <c r="S34" s="179"/>
      <c r="T34" s="179"/>
      <c r="U34" s="179"/>
      <c r="V34" s="179"/>
      <c r="W34" s="179"/>
      <c r="X34" s="179"/>
      <c r="Y34" s="179"/>
      <c r="Z34" s="179"/>
      <c r="AA34" s="179"/>
      <c r="AB34" s="179"/>
      <c r="AC34" s="179"/>
      <c r="AD34" s="179"/>
      <c r="AE34" s="179"/>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79"/>
      <c r="CF34" s="179"/>
      <c r="CG34" s="179"/>
      <c r="CH34" s="179"/>
      <c r="CI34" s="179"/>
      <c r="CJ34" s="179"/>
      <c r="CK34" s="179"/>
      <c r="CL34" s="179"/>
      <c r="CM34" s="179"/>
      <c r="CN34" s="179"/>
      <c r="CO34" s="179"/>
      <c r="CP34" s="179"/>
      <c r="CQ34" s="179"/>
      <c r="CR34" s="179"/>
      <c r="CS34" s="179"/>
      <c r="CT34" s="179"/>
      <c r="CU34" s="179"/>
      <c r="CV34" s="179"/>
      <c r="CW34" s="179"/>
      <c r="CX34" s="179"/>
      <c r="CY34" s="179"/>
      <c r="CZ34" s="179"/>
      <c r="DA34" s="179"/>
      <c r="DB34" s="179"/>
      <c r="DC34" s="179"/>
      <c r="DD34" s="179"/>
      <c r="DE34" s="179"/>
      <c r="DF34" s="179"/>
      <c r="DG34" s="179"/>
      <c r="DH34" s="179"/>
      <c r="DI34" s="179"/>
      <c r="DJ34" s="179"/>
      <c r="DK34" s="179"/>
      <c r="DL34" s="179"/>
      <c r="DM34" s="179"/>
      <c r="DN34" s="179"/>
      <c r="DO34" s="179"/>
      <c r="DP34" s="179"/>
      <c r="DQ34" s="179"/>
      <c r="DR34" s="179"/>
      <c r="DS34" s="179"/>
      <c r="DT34" s="179"/>
      <c r="DU34" s="179"/>
      <c r="DV34" s="179"/>
      <c r="DW34" s="179"/>
      <c r="DX34" s="179"/>
      <c r="DY34" s="179"/>
      <c r="DZ34" s="179"/>
      <c r="EA34" s="179"/>
      <c r="EB34" s="179"/>
      <c r="EC34" s="179"/>
      <c r="ED34" s="179"/>
      <c r="EE34" s="179"/>
      <c r="EF34" s="179"/>
      <c r="EG34" s="179"/>
    </row>
    <row r="35" spans="1:137" s="351" customFormat="1" ht="25.5">
      <c r="A35" s="178">
        <v>34</v>
      </c>
      <c r="B35" s="11" t="s">
        <v>2044</v>
      </c>
      <c r="C35" s="191" t="s">
        <v>1879</v>
      </c>
      <c r="D35" s="203" t="s">
        <v>4066</v>
      </c>
      <c r="E35" s="189" t="s">
        <v>3794</v>
      </c>
      <c r="F35" s="191" t="s">
        <v>3882</v>
      </c>
      <c r="G35" s="191" t="s">
        <v>1882</v>
      </c>
      <c r="H35" s="281">
        <v>43225</v>
      </c>
      <c r="I35" s="185"/>
      <c r="J35" s="195">
        <v>43144</v>
      </c>
      <c r="K35" s="178">
        <f t="shared" si="0"/>
        <v>2018</v>
      </c>
      <c r="L35" s="178">
        <f t="shared" si="1"/>
        <v>2</v>
      </c>
      <c r="M35" s="195">
        <v>43225</v>
      </c>
      <c r="N35" s="458"/>
      <c r="O35" s="343">
        <v>35</v>
      </c>
      <c r="P35" s="535">
        <f>VLOOKUP(E35,'Cost of items'!$A$3:$C$95,3,0)</f>
        <v>35.437566137566137</v>
      </c>
      <c r="Q35" s="179"/>
      <c r="R35" s="179"/>
      <c r="S35" s="179"/>
      <c r="T35" s="179"/>
      <c r="U35" s="179"/>
      <c r="V35" s="179"/>
      <c r="W35" s="179"/>
      <c r="X35" s="179"/>
      <c r="Y35" s="179"/>
      <c r="Z35" s="179"/>
      <c r="AA35" s="179"/>
      <c r="AB35" s="179"/>
      <c r="AC35" s="179"/>
      <c r="AD35" s="179"/>
      <c r="AE35" s="179"/>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79"/>
      <c r="CF35" s="179"/>
      <c r="CG35" s="179"/>
      <c r="CH35" s="179"/>
      <c r="CI35" s="179"/>
      <c r="CJ35" s="179"/>
      <c r="CK35" s="179"/>
      <c r="CL35" s="179"/>
      <c r="CM35" s="179"/>
      <c r="CN35" s="179"/>
      <c r="CO35" s="179"/>
      <c r="CP35" s="179"/>
      <c r="CQ35" s="179"/>
      <c r="CR35" s="179"/>
      <c r="CS35" s="179"/>
      <c r="CT35" s="179"/>
      <c r="CU35" s="179"/>
      <c r="CV35" s="179"/>
      <c r="CW35" s="179"/>
      <c r="CX35" s="179"/>
      <c r="CY35" s="179"/>
      <c r="CZ35" s="179"/>
      <c r="DA35" s="179"/>
      <c r="DB35" s="179"/>
      <c r="DC35" s="179"/>
      <c r="DD35" s="179"/>
      <c r="DE35" s="179"/>
      <c r="DF35" s="179"/>
      <c r="DG35" s="179"/>
      <c r="DH35" s="179"/>
      <c r="DI35" s="179"/>
      <c r="DJ35" s="179"/>
      <c r="DK35" s="179"/>
      <c r="DL35" s="179"/>
      <c r="DM35" s="179"/>
      <c r="DN35" s="179"/>
      <c r="DO35" s="179"/>
      <c r="DP35" s="179"/>
      <c r="DQ35" s="179"/>
      <c r="DR35" s="179"/>
      <c r="DS35" s="179"/>
      <c r="DT35" s="179"/>
      <c r="DU35" s="179"/>
      <c r="DV35" s="179"/>
      <c r="DW35" s="179"/>
      <c r="DX35" s="179"/>
      <c r="DY35" s="179"/>
      <c r="DZ35" s="179"/>
      <c r="EA35" s="179"/>
      <c r="EB35" s="179"/>
      <c r="EC35" s="179"/>
      <c r="ED35" s="179"/>
      <c r="EE35" s="179"/>
      <c r="EF35" s="179"/>
      <c r="EG35" s="179"/>
    </row>
    <row r="36" spans="1:137" s="351" customFormat="1" ht="25.5">
      <c r="A36" s="383">
        <v>35</v>
      </c>
      <c r="B36" s="11" t="s">
        <v>2044</v>
      </c>
      <c r="C36" s="191" t="s">
        <v>1872</v>
      </c>
      <c r="D36" s="385" t="s">
        <v>4064</v>
      </c>
      <c r="E36" s="13" t="s">
        <v>1621</v>
      </c>
      <c r="F36" s="191" t="s">
        <v>3883</v>
      </c>
      <c r="G36" s="191" t="s">
        <v>3999</v>
      </c>
      <c r="H36" s="281">
        <v>43179</v>
      </c>
      <c r="I36" s="202" t="s">
        <v>5</v>
      </c>
      <c r="J36" s="195">
        <v>43145</v>
      </c>
      <c r="K36" s="178">
        <f t="shared" si="0"/>
        <v>2018</v>
      </c>
      <c r="L36" s="178">
        <f t="shared" si="1"/>
        <v>2</v>
      </c>
      <c r="M36" s="195">
        <v>43179</v>
      </c>
      <c r="N36" s="456" t="s">
        <v>4058</v>
      </c>
      <c r="O36" s="343">
        <v>40</v>
      </c>
      <c r="P36" s="535">
        <f>VLOOKUP(E36,'Cost of items'!$A$3:$C$95,3,0)</f>
        <v>39.873015873015873</v>
      </c>
      <c r="Q36" s="179"/>
      <c r="R36" s="179"/>
      <c r="S36" s="179"/>
      <c r="T36" s="179"/>
      <c r="U36" s="179"/>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9"/>
      <c r="BN36" s="179"/>
      <c r="BO36" s="179"/>
      <c r="BP36" s="179"/>
      <c r="BQ36" s="179"/>
      <c r="BR36" s="179"/>
      <c r="BS36" s="179"/>
      <c r="BT36" s="179"/>
      <c r="BU36" s="179"/>
      <c r="BV36" s="179"/>
      <c r="BW36" s="179"/>
      <c r="BX36" s="179"/>
      <c r="BY36" s="179"/>
      <c r="BZ36" s="179"/>
      <c r="CA36" s="179"/>
      <c r="CB36" s="179"/>
      <c r="CC36" s="179"/>
      <c r="CD36" s="179"/>
      <c r="CE36" s="179"/>
      <c r="CF36" s="179"/>
      <c r="CG36" s="179"/>
      <c r="CH36" s="179"/>
      <c r="CI36" s="179"/>
      <c r="CJ36" s="179"/>
      <c r="CK36" s="179"/>
      <c r="CL36" s="179"/>
      <c r="CM36" s="179"/>
      <c r="CN36" s="179"/>
      <c r="CO36" s="179"/>
      <c r="CP36" s="179"/>
      <c r="CQ36" s="179"/>
      <c r="CR36" s="179"/>
      <c r="CS36" s="179"/>
      <c r="CT36" s="179"/>
      <c r="CU36" s="179"/>
      <c r="CV36" s="179"/>
      <c r="CW36" s="179"/>
      <c r="CX36" s="179"/>
      <c r="CY36" s="179"/>
      <c r="CZ36" s="179"/>
      <c r="DA36" s="179"/>
      <c r="DB36" s="179"/>
      <c r="DC36" s="179"/>
      <c r="DD36" s="179"/>
      <c r="DE36" s="179"/>
      <c r="DF36" s="179"/>
      <c r="DG36" s="179"/>
      <c r="DH36" s="179"/>
      <c r="DI36" s="179"/>
      <c r="DJ36" s="179"/>
      <c r="DK36" s="179"/>
      <c r="DL36" s="179"/>
      <c r="DM36" s="179"/>
      <c r="DN36" s="179"/>
      <c r="DO36" s="179"/>
      <c r="DP36" s="179"/>
      <c r="DQ36" s="179"/>
      <c r="DR36" s="179"/>
      <c r="DS36" s="179"/>
      <c r="DT36" s="179"/>
      <c r="DU36" s="179"/>
      <c r="DV36" s="179"/>
      <c r="DW36" s="179"/>
      <c r="DX36" s="179"/>
      <c r="DY36" s="179"/>
      <c r="DZ36" s="179"/>
      <c r="EA36" s="179"/>
      <c r="EB36" s="179"/>
      <c r="EC36" s="179"/>
      <c r="ED36" s="179"/>
      <c r="EE36" s="179"/>
      <c r="EF36" s="179"/>
      <c r="EG36" s="179"/>
    </row>
    <row r="37" spans="1:137" s="351" customFormat="1" ht="25.5">
      <c r="A37" s="178">
        <v>36</v>
      </c>
      <c r="B37" s="11" t="s">
        <v>2044</v>
      </c>
      <c r="C37" s="191" t="s">
        <v>1872</v>
      </c>
      <c r="D37" s="191" t="s">
        <v>4064</v>
      </c>
      <c r="E37" s="189" t="s">
        <v>3827</v>
      </c>
      <c r="F37" s="191" t="s">
        <v>3883</v>
      </c>
      <c r="G37" s="191" t="s">
        <v>3827</v>
      </c>
      <c r="H37" s="281">
        <v>43179</v>
      </c>
      <c r="I37" s="185"/>
      <c r="J37" s="195">
        <v>43161</v>
      </c>
      <c r="K37" s="178">
        <f t="shared" si="0"/>
        <v>2018</v>
      </c>
      <c r="L37" s="178">
        <f t="shared" si="1"/>
        <v>3</v>
      </c>
      <c r="M37" s="195">
        <v>43179</v>
      </c>
      <c r="N37" s="458"/>
      <c r="O37" s="343">
        <v>40</v>
      </c>
      <c r="P37" s="535">
        <f>VLOOKUP(E37,'Cost of items'!$A$3:$C$95,3,0)</f>
        <v>29.501322751322753</v>
      </c>
      <c r="Q37" s="179"/>
      <c r="R37" s="179"/>
      <c r="S37" s="179"/>
      <c r="T37" s="179"/>
      <c r="U37" s="179"/>
      <c r="V37" s="179"/>
      <c r="W37" s="179"/>
      <c r="X37" s="179"/>
      <c r="Y37" s="179"/>
      <c r="Z37" s="179"/>
      <c r="AA37" s="179"/>
      <c r="AB37" s="179"/>
      <c r="AC37" s="179"/>
      <c r="AD37" s="179"/>
      <c r="AE37" s="179"/>
      <c r="AF37" s="179"/>
      <c r="AG37" s="179"/>
      <c r="AH37" s="179"/>
      <c r="AI37" s="179"/>
      <c r="AJ37" s="179"/>
      <c r="AK37" s="179"/>
      <c r="AL37" s="179"/>
      <c r="AM37" s="179"/>
      <c r="AN37" s="179"/>
      <c r="AO37" s="179"/>
      <c r="AP37" s="179"/>
      <c r="AQ37" s="179"/>
      <c r="AR37" s="179"/>
      <c r="AS37" s="179"/>
      <c r="AT37" s="179"/>
      <c r="AU37" s="179"/>
      <c r="AV37" s="179"/>
      <c r="AW37" s="179"/>
      <c r="AX37" s="179"/>
      <c r="AY37" s="179"/>
      <c r="AZ37" s="179"/>
      <c r="BA37" s="179"/>
      <c r="BB37" s="179"/>
      <c r="BC37" s="179"/>
      <c r="BD37" s="179"/>
      <c r="BE37" s="179"/>
      <c r="BF37" s="179"/>
      <c r="BG37" s="179"/>
      <c r="BH37" s="179"/>
      <c r="BI37" s="179"/>
      <c r="BJ37" s="179"/>
      <c r="BK37" s="179"/>
      <c r="BL37" s="179"/>
      <c r="BM37" s="179"/>
      <c r="BN37" s="179"/>
      <c r="BO37" s="179"/>
      <c r="BP37" s="179"/>
      <c r="BQ37" s="179"/>
      <c r="BR37" s="179"/>
      <c r="BS37" s="179"/>
      <c r="BT37" s="179"/>
      <c r="BU37" s="179"/>
      <c r="BV37" s="179"/>
      <c r="BW37" s="179"/>
      <c r="BX37" s="179"/>
      <c r="BY37" s="179"/>
      <c r="BZ37" s="179"/>
      <c r="CA37" s="179"/>
      <c r="CB37" s="179"/>
      <c r="CC37" s="179"/>
      <c r="CD37" s="179"/>
      <c r="CE37" s="179"/>
      <c r="CF37" s="179"/>
      <c r="CG37" s="179"/>
      <c r="CH37" s="179"/>
      <c r="CI37" s="179"/>
      <c r="CJ37" s="179"/>
      <c r="CK37" s="179"/>
      <c r="CL37" s="179"/>
      <c r="CM37" s="179"/>
      <c r="CN37" s="179"/>
      <c r="CO37" s="179"/>
      <c r="CP37" s="179"/>
      <c r="CQ37" s="179"/>
      <c r="CR37" s="179"/>
      <c r="CS37" s="179"/>
      <c r="CT37" s="179"/>
      <c r="CU37" s="179"/>
      <c r="CV37" s="179"/>
      <c r="CW37" s="179"/>
      <c r="CX37" s="179"/>
      <c r="CY37" s="179"/>
      <c r="CZ37" s="179"/>
      <c r="DA37" s="179"/>
      <c r="DB37" s="179"/>
      <c r="DC37" s="179"/>
      <c r="DD37" s="179"/>
      <c r="DE37" s="179"/>
      <c r="DF37" s="179"/>
      <c r="DG37" s="179"/>
      <c r="DH37" s="179"/>
      <c r="DI37" s="179"/>
      <c r="DJ37" s="179"/>
      <c r="DK37" s="179"/>
      <c r="DL37" s="179"/>
      <c r="DM37" s="179"/>
      <c r="DN37" s="179"/>
      <c r="DO37" s="179"/>
      <c r="DP37" s="179"/>
      <c r="DQ37" s="179"/>
      <c r="DR37" s="179"/>
      <c r="DS37" s="179"/>
      <c r="DT37" s="179"/>
      <c r="DU37" s="179"/>
      <c r="DV37" s="179"/>
      <c r="DW37" s="179"/>
      <c r="DX37" s="179"/>
      <c r="DY37" s="179"/>
      <c r="DZ37" s="179"/>
      <c r="EA37" s="179"/>
      <c r="EB37" s="179"/>
      <c r="EC37" s="179"/>
      <c r="ED37" s="179"/>
      <c r="EE37" s="179"/>
      <c r="EF37" s="179"/>
      <c r="EG37" s="179"/>
    </row>
    <row r="38" spans="1:137" s="351" customFormat="1" ht="38.25">
      <c r="A38" s="383">
        <v>37</v>
      </c>
      <c r="B38" s="11" t="s">
        <v>2044</v>
      </c>
      <c r="C38" s="191" t="s">
        <v>1900</v>
      </c>
      <c r="D38" s="385" t="s">
        <v>4064</v>
      </c>
      <c r="E38" s="13" t="s">
        <v>1621</v>
      </c>
      <c r="F38" s="191" t="s">
        <v>3886</v>
      </c>
      <c r="G38" s="191" t="s">
        <v>4001</v>
      </c>
      <c r="H38" s="281">
        <v>43253</v>
      </c>
      <c r="I38" s="185"/>
      <c r="J38" s="195">
        <v>43165</v>
      </c>
      <c r="K38" s="178">
        <f t="shared" si="0"/>
        <v>2018</v>
      </c>
      <c r="L38" s="178">
        <f t="shared" si="1"/>
        <v>3</v>
      </c>
      <c r="M38" s="195">
        <v>43255</v>
      </c>
      <c r="N38" s="335">
        <v>3.94</v>
      </c>
      <c r="O38" s="343">
        <v>41</v>
      </c>
      <c r="P38" s="535">
        <f>VLOOKUP(E38,'Cost of items'!$A$3:$C$95,3,0)</f>
        <v>39.873015873015873</v>
      </c>
      <c r="Q38" s="179"/>
      <c r="R38" s="179"/>
      <c r="S38" s="179"/>
      <c r="T38" s="179"/>
      <c r="U38" s="179"/>
      <c r="V38" s="179"/>
      <c r="W38" s="179"/>
      <c r="X38" s="179"/>
      <c r="Y38" s="179"/>
      <c r="Z38" s="179"/>
      <c r="AA38" s="179"/>
      <c r="AB38" s="179"/>
      <c r="AC38" s="179"/>
      <c r="AD38" s="179"/>
      <c r="AE38" s="179"/>
      <c r="AF38" s="179"/>
      <c r="AG38" s="179"/>
      <c r="AH38" s="179"/>
      <c r="AI38" s="179"/>
      <c r="AJ38" s="179"/>
      <c r="AK38" s="179"/>
      <c r="AL38" s="179"/>
      <c r="AM38" s="179"/>
      <c r="AN38" s="179"/>
      <c r="AO38" s="179"/>
      <c r="AP38" s="179"/>
      <c r="AQ38" s="179"/>
      <c r="AR38" s="179"/>
      <c r="AS38" s="179"/>
      <c r="AT38" s="179"/>
      <c r="AU38" s="179"/>
      <c r="AV38" s="179"/>
      <c r="AW38" s="179"/>
      <c r="AX38" s="179"/>
      <c r="AY38" s="179"/>
      <c r="AZ38" s="179"/>
      <c r="BA38" s="179"/>
      <c r="BB38" s="179"/>
      <c r="BC38" s="179"/>
      <c r="BD38" s="179"/>
      <c r="BE38" s="179"/>
      <c r="BF38" s="179"/>
      <c r="BG38" s="179"/>
      <c r="BH38" s="179"/>
      <c r="BI38" s="179"/>
      <c r="BJ38" s="179"/>
      <c r="BK38" s="179"/>
      <c r="BL38" s="179"/>
      <c r="BM38" s="179"/>
      <c r="BN38" s="179"/>
      <c r="BO38" s="179"/>
      <c r="BP38" s="179"/>
      <c r="BQ38" s="179"/>
      <c r="BR38" s="179"/>
      <c r="BS38" s="179"/>
      <c r="BT38" s="179"/>
      <c r="BU38" s="179"/>
      <c r="BV38" s="179"/>
      <c r="BW38" s="179"/>
      <c r="BX38" s="179"/>
      <c r="BY38" s="179"/>
      <c r="BZ38" s="179"/>
      <c r="CA38" s="179"/>
      <c r="CB38" s="179"/>
      <c r="CC38" s="179"/>
      <c r="CD38" s="179"/>
      <c r="CE38" s="179"/>
      <c r="CF38" s="179"/>
      <c r="CG38" s="179"/>
      <c r="CH38" s="179"/>
      <c r="CI38" s="179"/>
      <c r="CJ38" s="179"/>
      <c r="CK38" s="179"/>
      <c r="CL38" s="179"/>
      <c r="CM38" s="179"/>
      <c r="CN38" s="179"/>
      <c r="CO38" s="179"/>
      <c r="CP38" s="179"/>
      <c r="CQ38" s="179"/>
      <c r="CR38" s="179"/>
      <c r="CS38" s="179"/>
      <c r="CT38" s="179"/>
      <c r="CU38" s="179"/>
      <c r="CV38" s="179"/>
      <c r="CW38" s="179"/>
      <c r="CX38" s="179"/>
      <c r="CY38" s="179"/>
      <c r="CZ38" s="179"/>
      <c r="DA38" s="179"/>
      <c r="DB38" s="179"/>
      <c r="DC38" s="179"/>
      <c r="DD38" s="179"/>
      <c r="DE38" s="179"/>
      <c r="DF38" s="179"/>
      <c r="DG38" s="179"/>
      <c r="DH38" s="179"/>
      <c r="DI38" s="179"/>
      <c r="DJ38" s="179"/>
      <c r="DK38" s="179"/>
      <c r="DL38" s="179"/>
      <c r="DM38" s="179"/>
      <c r="DN38" s="179"/>
      <c r="DO38" s="179"/>
      <c r="DP38" s="179"/>
      <c r="DQ38" s="179"/>
      <c r="DR38" s="179"/>
      <c r="DS38" s="179"/>
      <c r="DT38" s="179"/>
      <c r="DU38" s="179"/>
      <c r="DV38" s="179"/>
      <c r="DW38" s="179"/>
      <c r="DX38" s="179"/>
      <c r="DY38" s="179"/>
      <c r="DZ38" s="179"/>
      <c r="EA38" s="179"/>
      <c r="EB38" s="179"/>
      <c r="EC38" s="179"/>
      <c r="ED38" s="179"/>
      <c r="EE38" s="179"/>
      <c r="EF38" s="179"/>
      <c r="EG38" s="179"/>
    </row>
    <row r="39" spans="1:137" s="351" customFormat="1" ht="25.5">
      <c r="A39" s="178">
        <v>38</v>
      </c>
      <c r="B39" s="11" t="s">
        <v>2044</v>
      </c>
      <c r="C39" s="191" t="s">
        <v>1933</v>
      </c>
      <c r="D39" s="191" t="s">
        <v>4064</v>
      </c>
      <c r="E39" s="191" t="s">
        <v>1937</v>
      </c>
      <c r="F39" s="191" t="s">
        <v>3887</v>
      </c>
      <c r="G39" s="191" t="s">
        <v>3829</v>
      </c>
      <c r="H39" s="281">
        <v>43259</v>
      </c>
      <c r="I39" s="202" t="s">
        <v>5</v>
      </c>
      <c r="J39" s="195">
        <v>43169</v>
      </c>
      <c r="K39" s="178">
        <f t="shared" si="0"/>
        <v>2018</v>
      </c>
      <c r="L39" s="178">
        <f t="shared" si="1"/>
        <v>3</v>
      </c>
      <c r="M39" s="195">
        <v>43259</v>
      </c>
      <c r="N39" s="456" t="s">
        <v>4058</v>
      </c>
      <c r="O39" s="343">
        <v>40</v>
      </c>
      <c r="P39" s="535">
        <f>VLOOKUP(E39,'Cost of items'!$A$3:$C$95,3,0)</f>
        <v>37.251851851851853</v>
      </c>
      <c r="Q39" s="179"/>
      <c r="R39" s="179"/>
      <c r="S39" s="179"/>
      <c r="T39" s="179"/>
      <c r="U39" s="179"/>
      <c r="V39" s="179"/>
      <c r="W39" s="179"/>
      <c r="X39" s="179"/>
      <c r="Y39" s="179"/>
      <c r="Z39" s="179"/>
      <c r="AA39" s="179"/>
      <c r="AB39" s="179"/>
      <c r="AC39" s="179"/>
      <c r="AD39" s="179"/>
      <c r="AE39" s="179"/>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9"/>
      <c r="BN39" s="179"/>
      <c r="BO39" s="179"/>
      <c r="BP39" s="179"/>
      <c r="BQ39" s="179"/>
      <c r="BR39" s="179"/>
      <c r="BS39" s="179"/>
      <c r="BT39" s="179"/>
      <c r="BU39" s="179"/>
      <c r="BV39" s="179"/>
      <c r="BW39" s="179"/>
      <c r="BX39" s="179"/>
      <c r="BY39" s="179"/>
      <c r="BZ39" s="179"/>
      <c r="CA39" s="179"/>
      <c r="CB39" s="179"/>
      <c r="CC39" s="179"/>
      <c r="CD39" s="179"/>
      <c r="CE39" s="179"/>
      <c r="CF39" s="179"/>
      <c r="CG39" s="179"/>
      <c r="CH39" s="179"/>
      <c r="CI39" s="179"/>
      <c r="CJ39" s="179"/>
      <c r="CK39" s="179"/>
      <c r="CL39" s="179"/>
      <c r="CM39" s="179"/>
      <c r="CN39" s="179"/>
      <c r="CO39" s="179"/>
      <c r="CP39" s="179"/>
      <c r="CQ39" s="179"/>
      <c r="CR39" s="179"/>
      <c r="CS39" s="179"/>
      <c r="CT39" s="179"/>
      <c r="CU39" s="179"/>
      <c r="CV39" s="179"/>
      <c r="CW39" s="179"/>
      <c r="CX39" s="179"/>
      <c r="CY39" s="179"/>
      <c r="CZ39" s="179"/>
      <c r="DA39" s="179"/>
      <c r="DB39" s="179"/>
      <c r="DC39" s="179"/>
      <c r="DD39" s="179"/>
      <c r="DE39" s="179"/>
      <c r="DF39" s="179"/>
      <c r="DG39" s="179"/>
      <c r="DH39" s="179"/>
      <c r="DI39" s="179"/>
      <c r="DJ39" s="179"/>
      <c r="DK39" s="179"/>
      <c r="DL39" s="179"/>
      <c r="DM39" s="179"/>
      <c r="DN39" s="179"/>
      <c r="DO39" s="179"/>
      <c r="DP39" s="179"/>
      <c r="DQ39" s="179"/>
      <c r="DR39" s="179"/>
      <c r="DS39" s="179"/>
      <c r="DT39" s="179"/>
      <c r="DU39" s="179"/>
      <c r="DV39" s="179"/>
      <c r="DW39" s="179"/>
      <c r="DX39" s="179"/>
      <c r="DY39" s="179"/>
      <c r="DZ39" s="179"/>
      <c r="EA39" s="179"/>
      <c r="EB39" s="179"/>
      <c r="EC39" s="179"/>
      <c r="ED39" s="179"/>
      <c r="EE39" s="179"/>
      <c r="EF39" s="179"/>
      <c r="EG39" s="179"/>
    </row>
    <row r="40" spans="1:137" s="351" customFormat="1" ht="25.5">
      <c r="A40" s="383">
        <v>39</v>
      </c>
      <c r="B40" s="11" t="s">
        <v>2044</v>
      </c>
      <c r="C40" s="191" t="s">
        <v>1933</v>
      </c>
      <c r="D40" s="385" t="s">
        <v>4064</v>
      </c>
      <c r="E40" s="189" t="s">
        <v>3830</v>
      </c>
      <c r="F40" s="191" t="s">
        <v>3887</v>
      </c>
      <c r="G40" s="191" t="s">
        <v>4002</v>
      </c>
      <c r="H40" s="281">
        <v>43259</v>
      </c>
      <c r="I40" s="185"/>
      <c r="J40" s="195">
        <v>43171</v>
      </c>
      <c r="K40" s="178">
        <f t="shared" si="0"/>
        <v>2018</v>
      </c>
      <c r="L40" s="178">
        <f t="shared" si="1"/>
        <v>3</v>
      </c>
      <c r="M40" s="195">
        <v>43259</v>
      </c>
      <c r="N40" s="458"/>
      <c r="O40" s="343">
        <v>40</v>
      </c>
      <c r="P40" s="535">
        <f>VLOOKUP(E40,'Cost of items'!$A$3:$C$95,3,0)</f>
        <v>28.904343804343803</v>
      </c>
      <c r="Q40" s="179"/>
      <c r="R40" s="179"/>
      <c r="S40" s="179"/>
      <c r="T40" s="179"/>
      <c r="U40" s="179"/>
      <c r="V40" s="179"/>
      <c r="W40" s="179"/>
      <c r="X40" s="179"/>
      <c r="Y40" s="179"/>
      <c r="Z40" s="179"/>
      <c r="AA40" s="179"/>
      <c r="AB40" s="179"/>
      <c r="AC40" s="179"/>
      <c r="AD40" s="179"/>
      <c r="AE40" s="179"/>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9"/>
      <c r="BN40" s="179"/>
      <c r="BO40" s="179"/>
      <c r="BP40" s="179"/>
      <c r="BQ40" s="179"/>
      <c r="BR40" s="179"/>
      <c r="BS40" s="179"/>
      <c r="BT40" s="179"/>
      <c r="BU40" s="179"/>
      <c r="BV40" s="179"/>
      <c r="BW40" s="179"/>
      <c r="BX40" s="179"/>
      <c r="BY40" s="179"/>
      <c r="BZ40" s="179"/>
      <c r="CA40" s="179"/>
      <c r="CB40" s="179"/>
      <c r="CC40" s="179"/>
      <c r="CD40" s="179"/>
      <c r="CE40" s="179"/>
      <c r="CF40" s="179"/>
      <c r="CG40" s="179"/>
      <c r="CH40" s="179"/>
      <c r="CI40" s="179"/>
      <c r="CJ40" s="179"/>
      <c r="CK40" s="179"/>
      <c r="CL40" s="179"/>
      <c r="CM40" s="179"/>
      <c r="CN40" s="179"/>
      <c r="CO40" s="179"/>
      <c r="CP40" s="179"/>
      <c r="CQ40" s="179"/>
      <c r="CR40" s="179"/>
      <c r="CS40" s="179"/>
      <c r="CT40" s="179"/>
      <c r="CU40" s="179"/>
      <c r="CV40" s="179"/>
      <c r="CW40" s="179"/>
      <c r="CX40" s="179"/>
      <c r="CY40" s="179"/>
      <c r="CZ40" s="179"/>
      <c r="DA40" s="179"/>
      <c r="DB40" s="179"/>
      <c r="DC40" s="179"/>
      <c r="DD40" s="179"/>
      <c r="DE40" s="179"/>
      <c r="DF40" s="179"/>
      <c r="DG40" s="179"/>
      <c r="DH40" s="179"/>
      <c r="DI40" s="179"/>
      <c r="DJ40" s="179"/>
      <c r="DK40" s="179"/>
      <c r="DL40" s="179"/>
      <c r="DM40" s="179"/>
      <c r="DN40" s="179"/>
      <c r="DO40" s="179"/>
      <c r="DP40" s="179"/>
      <c r="DQ40" s="179"/>
      <c r="DR40" s="179"/>
      <c r="DS40" s="179"/>
      <c r="DT40" s="179"/>
      <c r="DU40" s="179"/>
      <c r="DV40" s="179"/>
      <c r="DW40" s="179"/>
      <c r="DX40" s="179"/>
      <c r="DY40" s="179"/>
      <c r="DZ40" s="179"/>
      <c r="EA40" s="179"/>
      <c r="EB40" s="179"/>
      <c r="EC40" s="179"/>
      <c r="ED40" s="179"/>
      <c r="EE40" s="179"/>
      <c r="EF40" s="179"/>
      <c r="EG40" s="179"/>
    </row>
    <row r="41" spans="1:137" s="354" customFormat="1" ht="25.5">
      <c r="A41" s="178">
        <v>40</v>
      </c>
      <c r="B41" s="11" t="s">
        <v>2044</v>
      </c>
      <c r="C41" s="203" t="s">
        <v>1949</v>
      </c>
      <c r="D41" s="385" t="s">
        <v>4064</v>
      </c>
      <c r="E41" s="189" t="s">
        <v>1621</v>
      </c>
      <c r="F41" s="203" t="s">
        <v>3888</v>
      </c>
      <c r="G41" s="203" t="s">
        <v>1621</v>
      </c>
      <c r="H41" s="240">
        <v>43268</v>
      </c>
      <c r="I41" s="202" t="s">
        <v>5</v>
      </c>
      <c r="J41" s="204">
        <v>43174</v>
      </c>
      <c r="K41" s="178">
        <f t="shared" si="0"/>
        <v>2018</v>
      </c>
      <c r="L41" s="178">
        <f t="shared" si="1"/>
        <v>3</v>
      </c>
      <c r="M41" s="204">
        <v>43179</v>
      </c>
      <c r="N41" s="333" t="s">
        <v>4058</v>
      </c>
      <c r="O41" s="343">
        <v>40</v>
      </c>
      <c r="P41" s="535">
        <f>VLOOKUP(E41,'Cost of items'!$A$3:$C$95,3,0)</f>
        <v>39.873015873015873</v>
      </c>
      <c r="Q41" s="179"/>
      <c r="R41" s="179"/>
      <c r="S41" s="179"/>
      <c r="T41" s="179"/>
      <c r="U41" s="179"/>
      <c r="V41" s="179"/>
      <c r="W41" s="179"/>
      <c r="X41" s="179"/>
      <c r="Y41" s="179"/>
      <c r="Z41" s="179"/>
      <c r="AA41" s="179"/>
      <c r="AB41" s="179"/>
      <c r="AC41" s="179"/>
      <c r="AD41" s="179"/>
      <c r="AE41" s="179"/>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9"/>
      <c r="BN41" s="179"/>
      <c r="BO41" s="179"/>
      <c r="BP41" s="179"/>
      <c r="BQ41" s="179"/>
      <c r="BR41" s="179"/>
      <c r="BS41" s="179"/>
      <c r="BT41" s="179"/>
      <c r="BU41" s="179"/>
      <c r="BV41" s="179"/>
      <c r="BW41" s="179"/>
      <c r="BX41" s="179"/>
      <c r="BY41" s="179"/>
      <c r="BZ41" s="179"/>
      <c r="CA41" s="179"/>
      <c r="CB41" s="179"/>
      <c r="CC41" s="179"/>
      <c r="CD41" s="179"/>
      <c r="CE41" s="179"/>
      <c r="CF41" s="179"/>
      <c r="CG41" s="179"/>
      <c r="CH41" s="179"/>
      <c r="CI41" s="179"/>
      <c r="CJ41" s="179"/>
      <c r="CK41" s="179"/>
      <c r="CL41" s="179"/>
      <c r="CM41" s="179"/>
      <c r="CN41" s="179"/>
      <c r="CO41" s="179"/>
      <c r="CP41" s="179"/>
      <c r="CQ41" s="179"/>
      <c r="CR41" s="179"/>
      <c r="CS41" s="179"/>
      <c r="CT41" s="179"/>
      <c r="CU41" s="179"/>
      <c r="CV41" s="179"/>
      <c r="CW41" s="179"/>
      <c r="CX41" s="179"/>
      <c r="CY41" s="179"/>
      <c r="CZ41" s="179"/>
      <c r="DA41" s="179"/>
      <c r="DB41" s="179"/>
      <c r="DC41" s="179"/>
      <c r="DD41" s="179"/>
      <c r="DE41" s="179"/>
      <c r="DF41" s="179"/>
      <c r="DG41" s="179"/>
      <c r="DH41" s="179"/>
      <c r="DI41" s="179"/>
      <c r="DJ41" s="179"/>
      <c r="DK41" s="179"/>
      <c r="DL41" s="179"/>
      <c r="DM41" s="179"/>
      <c r="DN41" s="179"/>
      <c r="DO41" s="179"/>
      <c r="DP41" s="179"/>
      <c r="DQ41" s="179"/>
      <c r="DR41" s="179"/>
      <c r="DS41" s="179"/>
      <c r="DT41" s="179"/>
      <c r="DU41" s="179"/>
      <c r="DV41" s="179"/>
      <c r="DW41" s="179"/>
      <c r="DX41" s="179"/>
      <c r="DY41" s="179"/>
      <c r="DZ41" s="179"/>
      <c r="EA41" s="179"/>
      <c r="EB41" s="179"/>
      <c r="EC41" s="179"/>
      <c r="ED41" s="179"/>
      <c r="EE41" s="179"/>
      <c r="EF41" s="179"/>
      <c r="EG41" s="179"/>
    </row>
    <row r="42" spans="1:137" s="351" customFormat="1" ht="25.5">
      <c r="A42" s="383">
        <v>41</v>
      </c>
      <c r="B42" s="11" t="s">
        <v>2044</v>
      </c>
      <c r="C42" s="191" t="s">
        <v>1952</v>
      </c>
      <c r="D42" s="385" t="s">
        <v>4064</v>
      </c>
      <c r="E42" s="189" t="s">
        <v>1621</v>
      </c>
      <c r="F42" s="191" t="s">
        <v>3883</v>
      </c>
      <c r="G42" s="191" t="s">
        <v>4003</v>
      </c>
      <c r="H42" s="240">
        <v>43255</v>
      </c>
      <c r="I42" s="185"/>
      <c r="J42" s="195">
        <v>43177</v>
      </c>
      <c r="K42" s="178">
        <f t="shared" si="0"/>
        <v>2018</v>
      </c>
      <c r="L42" s="178">
        <f t="shared" si="1"/>
        <v>3</v>
      </c>
      <c r="M42" s="195">
        <v>43255</v>
      </c>
      <c r="N42" s="335">
        <v>3.94</v>
      </c>
      <c r="O42" s="343">
        <v>41</v>
      </c>
      <c r="P42" s="535">
        <f>VLOOKUP(E42,'Cost of items'!$A$3:$C$95,3,0)</f>
        <v>39.873015873015873</v>
      </c>
      <c r="Q42" s="179"/>
      <c r="R42" s="179"/>
      <c r="S42" s="179"/>
      <c r="T42" s="179"/>
      <c r="U42" s="179"/>
      <c r="V42" s="179"/>
      <c r="W42" s="179"/>
      <c r="X42" s="179"/>
      <c r="Y42" s="179"/>
      <c r="Z42" s="179"/>
      <c r="AA42" s="179"/>
      <c r="AB42" s="179"/>
      <c r="AC42" s="179"/>
      <c r="AD42" s="179"/>
      <c r="AE42" s="179"/>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9"/>
      <c r="BN42" s="179"/>
      <c r="BO42" s="179"/>
      <c r="BP42" s="179"/>
      <c r="BQ42" s="179"/>
      <c r="BR42" s="179"/>
      <c r="BS42" s="179"/>
      <c r="BT42" s="179"/>
      <c r="BU42" s="179"/>
      <c r="BV42" s="179"/>
      <c r="BW42" s="179"/>
      <c r="BX42" s="179"/>
      <c r="BY42" s="179"/>
      <c r="BZ42" s="179"/>
      <c r="CA42" s="179"/>
      <c r="CB42" s="179"/>
      <c r="CC42" s="179"/>
      <c r="CD42" s="179"/>
      <c r="CE42" s="179"/>
      <c r="CF42" s="179"/>
      <c r="CG42" s="179"/>
      <c r="CH42" s="179"/>
      <c r="CI42" s="179"/>
      <c r="CJ42" s="179"/>
      <c r="CK42" s="179"/>
      <c r="CL42" s="179"/>
      <c r="CM42" s="179"/>
      <c r="CN42" s="179"/>
      <c r="CO42" s="179"/>
      <c r="CP42" s="179"/>
      <c r="CQ42" s="179"/>
      <c r="CR42" s="179"/>
      <c r="CS42" s="179"/>
      <c r="CT42" s="179"/>
      <c r="CU42" s="179"/>
      <c r="CV42" s="179"/>
      <c r="CW42" s="179"/>
      <c r="CX42" s="179"/>
      <c r="CY42" s="179"/>
      <c r="CZ42" s="179"/>
      <c r="DA42" s="179"/>
      <c r="DB42" s="179"/>
      <c r="DC42" s="179"/>
      <c r="DD42" s="179"/>
      <c r="DE42" s="179"/>
      <c r="DF42" s="179"/>
      <c r="DG42" s="179"/>
      <c r="DH42" s="179"/>
      <c r="DI42" s="179"/>
      <c r="DJ42" s="179"/>
      <c r="DK42" s="179"/>
      <c r="DL42" s="179"/>
      <c r="DM42" s="179"/>
      <c r="DN42" s="179"/>
      <c r="DO42" s="179"/>
      <c r="DP42" s="179"/>
      <c r="DQ42" s="179"/>
      <c r="DR42" s="179"/>
      <c r="DS42" s="179"/>
      <c r="DT42" s="179"/>
      <c r="DU42" s="179"/>
      <c r="DV42" s="179"/>
      <c r="DW42" s="179"/>
      <c r="DX42" s="179"/>
      <c r="DY42" s="179"/>
      <c r="DZ42" s="179"/>
      <c r="EA42" s="179"/>
      <c r="EB42" s="179"/>
      <c r="EC42" s="179"/>
      <c r="ED42" s="179"/>
      <c r="EE42" s="179"/>
      <c r="EF42" s="179"/>
      <c r="EG42" s="179"/>
    </row>
    <row r="43" spans="1:137" s="351" customFormat="1" ht="51">
      <c r="A43" s="178">
        <v>42</v>
      </c>
      <c r="B43" s="187" t="s">
        <v>2044</v>
      </c>
      <c r="C43" s="191" t="s">
        <v>2018</v>
      </c>
      <c r="D43" s="385" t="s">
        <v>4064</v>
      </c>
      <c r="E43" s="13" t="s">
        <v>1621</v>
      </c>
      <c r="F43" s="191" t="s">
        <v>3892</v>
      </c>
      <c r="G43" s="191" t="s">
        <v>4006</v>
      </c>
      <c r="H43" s="272">
        <v>43272</v>
      </c>
      <c r="I43" s="187" t="s">
        <v>2077</v>
      </c>
      <c r="J43" s="195">
        <v>43225</v>
      </c>
      <c r="K43" s="178">
        <f t="shared" si="0"/>
        <v>2018</v>
      </c>
      <c r="L43" s="178">
        <f t="shared" si="1"/>
        <v>5</v>
      </c>
      <c r="M43" s="195">
        <v>43272</v>
      </c>
      <c r="N43" s="463">
        <v>4.5</v>
      </c>
      <c r="O43" s="343">
        <v>43</v>
      </c>
      <c r="P43" s="535">
        <f>VLOOKUP(E43,'Cost of items'!$A$3:$C$95,3,0)</f>
        <v>39.873015873015873</v>
      </c>
      <c r="Q43" s="179"/>
      <c r="R43" s="179"/>
      <c r="S43" s="179"/>
      <c r="T43" s="179"/>
      <c r="U43" s="179"/>
      <c r="V43" s="179"/>
      <c r="W43" s="179"/>
      <c r="X43" s="179"/>
      <c r="Y43" s="179"/>
      <c r="Z43" s="179"/>
      <c r="AA43" s="179"/>
      <c r="AB43" s="179"/>
      <c r="AC43" s="179"/>
      <c r="AD43" s="179"/>
      <c r="AE43" s="179"/>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9"/>
      <c r="BN43" s="179"/>
      <c r="BO43" s="179"/>
      <c r="BP43" s="179"/>
      <c r="BQ43" s="179"/>
      <c r="BR43" s="179"/>
      <c r="BS43" s="179"/>
      <c r="BT43" s="179"/>
      <c r="BU43" s="179"/>
      <c r="BV43" s="179"/>
      <c r="BW43" s="179"/>
      <c r="BX43" s="179"/>
      <c r="BY43" s="179"/>
      <c r="BZ43" s="179"/>
      <c r="CA43" s="179"/>
      <c r="CB43" s="179"/>
      <c r="CC43" s="179"/>
      <c r="CD43" s="179"/>
      <c r="CE43" s="179"/>
      <c r="CF43" s="179"/>
      <c r="CG43" s="179"/>
      <c r="CH43" s="179"/>
      <c r="CI43" s="179"/>
      <c r="CJ43" s="179"/>
      <c r="CK43" s="179"/>
      <c r="CL43" s="179"/>
      <c r="CM43" s="179"/>
      <c r="CN43" s="179"/>
      <c r="CO43" s="179"/>
      <c r="CP43" s="179"/>
      <c r="CQ43" s="179"/>
      <c r="CR43" s="179"/>
      <c r="CS43" s="179"/>
      <c r="CT43" s="179"/>
      <c r="CU43" s="179"/>
      <c r="CV43" s="179"/>
      <c r="CW43" s="179"/>
      <c r="CX43" s="179"/>
      <c r="CY43" s="179"/>
      <c r="CZ43" s="179"/>
      <c r="DA43" s="179"/>
      <c r="DB43" s="179"/>
      <c r="DC43" s="179"/>
      <c r="DD43" s="179"/>
      <c r="DE43" s="179"/>
      <c r="DF43" s="179"/>
      <c r="DG43" s="179"/>
      <c r="DH43" s="179"/>
      <c r="DI43" s="179"/>
      <c r="DJ43" s="179"/>
      <c r="DK43" s="179"/>
      <c r="DL43" s="179"/>
      <c r="DM43" s="179"/>
      <c r="DN43" s="179"/>
      <c r="DO43" s="179"/>
      <c r="DP43" s="179"/>
      <c r="DQ43" s="179"/>
      <c r="DR43" s="179"/>
      <c r="DS43" s="179"/>
      <c r="DT43" s="179"/>
      <c r="DU43" s="179"/>
      <c r="DV43" s="179"/>
      <c r="DW43" s="179"/>
      <c r="DX43" s="179"/>
      <c r="DY43" s="179"/>
      <c r="DZ43" s="179"/>
      <c r="EA43" s="179"/>
      <c r="EB43" s="179"/>
      <c r="EC43" s="179"/>
      <c r="ED43" s="179"/>
      <c r="EE43" s="179"/>
      <c r="EF43" s="179"/>
      <c r="EG43" s="179"/>
    </row>
    <row r="44" spans="1:137" s="351" customFormat="1" ht="25.5">
      <c r="A44" s="383">
        <v>43</v>
      </c>
      <c r="B44" s="187" t="s">
        <v>2044</v>
      </c>
      <c r="C44" s="191" t="s">
        <v>2018</v>
      </c>
      <c r="D44" s="191" t="s">
        <v>4074</v>
      </c>
      <c r="E44" s="189" t="s">
        <v>3831</v>
      </c>
      <c r="F44" s="459" t="s">
        <v>3893</v>
      </c>
      <c r="G44" s="191" t="s">
        <v>4007</v>
      </c>
      <c r="H44" s="272">
        <v>43272</v>
      </c>
      <c r="I44" s="187" t="s">
        <v>2077</v>
      </c>
      <c r="J44" s="195">
        <v>43266</v>
      </c>
      <c r="K44" s="178">
        <f t="shared" si="0"/>
        <v>2018</v>
      </c>
      <c r="L44" s="178">
        <f t="shared" si="1"/>
        <v>6</v>
      </c>
      <c r="M44" s="195">
        <v>43272</v>
      </c>
      <c r="N44" s="464"/>
      <c r="O44" s="343">
        <v>35</v>
      </c>
      <c r="P44" s="535">
        <f>VLOOKUP(E44,'Cost of items'!$A$3:$C$95,3,0)</f>
        <v>7.0962962962962965</v>
      </c>
      <c r="Q44" s="179"/>
      <c r="R44" s="179"/>
      <c r="S44" s="179"/>
      <c r="T44" s="179"/>
      <c r="U44" s="179"/>
      <c r="V44" s="179"/>
      <c r="W44" s="179"/>
      <c r="X44" s="179"/>
      <c r="Y44" s="179"/>
      <c r="Z44" s="179"/>
      <c r="AA44" s="179"/>
      <c r="AB44" s="179"/>
      <c r="AC44" s="179"/>
      <c r="AD44" s="179"/>
      <c r="AE44" s="179"/>
      <c r="AF44" s="179"/>
      <c r="AG44" s="179"/>
      <c r="AH44" s="179"/>
      <c r="AI44" s="179"/>
      <c r="AJ44" s="179"/>
      <c r="AK44" s="179"/>
      <c r="AL44" s="179"/>
      <c r="AM44" s="179"/>
      <c r="AN44" s="179"/>
      <c r="AO44" s="179"/>
      <c r="AP44" s="179"/>
      <c r="AQ44" s="179"/>
      <c r="AR44" s="179"/>
      <c r="AS44" s="179"/>
      <c r="AT44" s="179"/>
      <c r="AU44" s="179"/>
      <c r="AV44" s="179"/>
      <c r="AW44" s="179"/>
      <c r="AX44" s="179"/>
      <c r="AY44" s="179"/>
      <c r="AZ44" s="179"/>
      <c r="BA44" s="179"/>
      <c r="BB44" s="179"/>
      <c r="BC44" s="179"/>
      <c r="BD44" s="179"/>
      <c r="BE44" s="179"/>
      <c r="BF44" s="179"/>
      <c r="BG44" s="179"/>
      <c r="BH44" s="179"/>
      <c r="BI44" s="179"/>
      <c r="BJ44" s="179"/>
      <c r="BK44" s="179"/>
      <c r="BL44" s="179"/>
      <c r="BM44" s="179"/>
      <c r="BN44" s="179"/>
      <c r="BO44" s="179"/>
      <c r="BP44" s="179"/>
      <c r="BQ44" s="179"/>
      <c r="BR44" s="179"/>
      <c r="BS44" s="179"/>
      <c r="BT44" s="179"/>
      <c r="BU44" s="179"/>
      <c r="BV44" s="179"/>
      <c r="BW44" s="179"/>
      <c r="BX44" s="179"/>
      <c r="BY44" s="179"/>
      <c r="BZ44" s="179"/>
      <c r="CA44" s="179"/>
      <c r="CB44" s="179"/>
      <c r="CC44" s="179"/>
      <c r="CD44" s="179"/>
      <c r="CE44" s="179"/>
      <c r="CF44" s="179"/>
      <c r="CG44" s="179"/>
      <c r="CH44" s="179"/>
      <c r="CI44" s="179"/>
      <c r="CJ44" s="179"/>
      <c r="CK44" s="179"/>
      <c r="CL44" s="179"/>
      <c r="CM44" s="179"/>
      <c r="CN44" s="179"/>
      <c r="CO44" s="179"/>
      <c r="CP44" s="179"/>
      <c r="CQ44" s="179"/>
      <c r="CR44" s="179"/>
      <c r="CS44" s="179"/>
      <c r="CT44" s="179"/>
      <c r="CU44" s="179"/>
      <c r="CV44" s="179"/>
      <c r="CW44" s="179"/>
      <c r="CX44" s="179"/>
      <c r="CY44" s="179"/>
      <c r="CZ44" s="179"/>
      <c r="DA44" s="179"/>
      <c r="DB44" s="179"/>
      <c r="DC44" s="179"/>
      <c r="DD44" s="179"/>
      <c r="DE44" s="179"/>
      <c r="DF44" s="179"/>
      <c r="DG44" s="179"/>
      <c r="DH44" s="179"/>
      <c r="DI44" s="179"/>
      <c r="DJ44" s="179"/>
      <c r="DK44" s="179"/>
      <c r="DL44" s="179"/>
      <c r="DM44" s="179"/>
      <c r="DN44" s="179"/>
      <c r="DO44" s="179"/>
      <c r="DP44" s="179"/>
      <c r="DQ44" s="179"/>
      <c r="DR44" s="179"/>
      <c r="DS44" s="179"/>
      <c r="DT44" s="179"/>
      <c r="DU44" s="179"/>
      <c r="DV44" s="179"/>
      <c r="DW44" s="179"/>
      <c r="DX44" s="179"/>
      <c r="DY44" s="179"/>
      <c r="DZ44" s="179"/>
      <c r="EA44" s="179"/>
      <c r="EB44" s="179"/>
      <c r="EC44" s="179"/>
      <c r="ED44" s="179"/>
      <c r="EE44" s="179"/>
      <c r="EF44" s="179"/>
      <c r="EG44" s="179"/>
    </row>
    <row r="45" spans="1:137" s="351" customFormat="1" ht="25.5">
      <c r="A45" s="178">
        <v>44</v>
      </c>
      <c r="B45" s="187" t="s">
        <v>2044</v>
      </c>
      <c r="C45" s="191" t="s">
        <v>2018</v>
      </c>
      <c r="D45" s="191" t="s">
        <v>4074</v>
      </c>
      <c r="E45" s="189" t="s">
        <v>3831</v>
      </c>
      <c r="F45" s="455"/>
      <c r="G45" s="191" t="s">
        <v>4008</v>
      </c>
      <c r="H45" s="272">
        <v>43272</v>
      </c>
      <c r="I45" s="187" t="s">
        <v>2077</v>
      </c>
      <c r="J45" s="195">
        <v>43266</v>
      </c>
      <c r="K45" s="178">
        <f t="shared" si="0"/>
        <v>2018</v>
      </c>
      <c r="L45" s="178">
        <f t="shared" si="1"/>
        <v>6</v>
      </c>
      <c r="M45" s="195">
        <v>43272</v>
      </c>
      <c r="N45" s="465"/>
      <c r="O45" s="343">
        <v>8</v>
      </c>
      <c r="P45" s="535">
        <f>VLOOKUP(E45,'Cost of items'!$A$3:$C$95,3,0)</f>
        <v>7.0962962962962965</v>
      </c>
      <c r="Q45" s="179"/>
      <c r="R45" s="179"/>
      <c r="S45" s="179"/>
      <c r="T45" s="179"/>
      <c r="U45" s="179"/>
      <c r="V45" s="179"/>
      <c r="W45" s="179"/>
      <c r="X45" s="179"/>
      <c r="Y45" s="179"/>
      <c r="Z45" s="179"/>
      <c r="AA45" s="179"/>
      <c r="AB45" s="179"/>
      <c r="AC45" s="179"/>
      <c r="AD45" s="179"/>
      <c r="AE45" s="179"/>
      <c r="AF45" s="179"/>
      <c r="AG45" s="179"/>
      <c r="AH45" s="179"/>
      <c r="AI45" s="179"/>
      <c r="AJ45" s="179"/>
      <c r="AK45" s="179"/>
      <c r="AL45" s="179"/>
      <c r="AM45" s="179"/>
      <c r="AN45" s="179"/>
      <c r="AO45" s="179"/>
      <c r="AP45" s="179"/>
      <c r="AQ45" s="179"/>
      <c r="AR45" s="179"/>
      <c r="AS45" s="179"/>
      <c r="AT45" s="179"/>
      <c r="AU45" s="179"/>
      <c r="AV45" s="179"/>
      <c r="AW45" s="179"/>
      <c r="AX45" s="179"/>
      <c r="AY45" s="179"/>
      <c r="AZ45" s="179"/>
      <c r="BA45" s="179"/>
      <c r="BB45" s="179"/>
      <c r="BC45" s="179"/>
      <c r="BD45" s="179"/>
      <c r="BE45" s="179"/>
      <c r="BF45" s="179"/>
      <c r="BG45" s="179"/>
      <c r="BH45" s="179"/>
      <c r="BI45" s="179"/>
      <c r="BJ45" s="179"/>
      <c r="BK45" s="179"/>
      <c r="BL45" s="179"/>
      <c r="BM45" s="179"/>
      <c r="BN45" s="179"/>
      <c r="BO45" s="179"/>
      <c r="BP45" s="179"/>
      <c r="BQ45" s="179"/>
      <c r="BR45" s="179"/>
      <c r="BS45" s="179"/>
      <c r="BT45" s="179"/>
      <c r="BU45" s="179"/>
      <c r="BV45" s="179"/>
      <c r="BW45" s="179"/>
      <c r="BX45" s="179"/>
      <c r="BY45" s="179"/>
      <c r="BZ45" s="179"/>
      <c r="CA45" s="179"/>
      <c r="CB45" s="179"/>
      <c r="CC45" s="179"/>
      <c r="CD45" s="179"/>
      <c r="CE45" s="179"/>
      <c r="CF45" s="179"/>
      <c r="CG45" s="179"/>
      <c r="CH45" s="179"/>
      <c r="CI45" s="179"/>
      <c r="CJ45" s="179"/>
      <c r="CK45" s="179"/>
      <c r="CL45" s="179"/>
      <c r="CM45" s="179"/>
      <c r="CN45" s="179"/>
      <c r="CO45" s="179"/>
      <c r="CP45" s="179"/>
      <c r="CQ45" s="179"/>
      <c r="CR45" s="179"/>
      <c r="CS45" s="179"/>
      <c r="CT45" s="179"/>
      <c r="CU45" s="179"/>
      <c r="CV45" s="179"/>
      <c r="CW45" s="179"/>
      <c r="CX45" s="179"/>
      <c r="CY45" s="179"/>
      <c r="CZ45" s="179"/>
      <c r="DA45" s="179"/>
      <c r="DB45" s="179"/>
      <c r="DC45" s="179"/>
      <c r="DD45" s="179"/>
      <c r="DE45" s="179"/>
      <c r="DF45" s="179"/>
      <c r="DG45" s="179"/>
      <c r="DH45" s="179"/>
      <c r="DI45" s="179"/>
      <c r="DJ45" s="179"/>
      <c r="DK45" s="179"/>
      <c r="DL45" s="179"/>
      <c r="DM45" s="179"/>
      <c r="DN45" s="179"/>
      <c r="DO45" s="179"/>
      <c r="DP45" s="179"/>
      <c r="DQ45" s="179"/>
      <c r="DR45" s="179"/>
      <c r="DS45" s="179"/>
      <c r="DT45" s="179"/>
      <c r="DU45" s="179"/>
      <c r="DV45" s="179"/>
      <c r="DW45" s="179"/>
      <c r="DX45" s="179"/>
      <c r="DY45" s="179"/>
      <c r="DZ45" s="179"/>
      <c r="EA45" s="179"/>
      <c r="EB45" s="179"/>
      <c r="EC45" s="179"/>
      <c r="ED45" s="179"/>
      <c r="EE45" s="179"/>
      <c r="EF45" s="179"/>
      <c r="EG45" s="179"/>
    </row>
    <row r="46" spans="1:137" s="351" customFormat="1" ht="51">
      <c r="A46" s="383">
        <v>45</v>
      </c>
      <c r="B46" s="187" t="s">
        <v>2044</v>
      </c>
      <c r="C46" s="191" t="s">
        <v>2018</v>
      </c>
      <c r="D46" s="191" t="s">
        <v>4074</v>
      </c>
      <c r="E46" s="189" t="s">
        <v>3831</v>
      </c>
      <c r="F46" s="242" t="s">
        <v>3894</v>
      </c>
      <c r="G46" s="191" t="s">
        <v>4007</v>
      </c>
      <c r="H46" s="272">
        <v>43284</v>
      </c>
      <c r="I46" s="187" t="s">
        <v>2077</v>
      </c>
      <c r="J46" s="195">
        <v>43283</v>
      </c>
      <c r="K46" s="178">
        <f t="shared" si="0"/>
        <v>2018</v>
      </c>
      <c r="L46" s="178">
        <f t="shared" si="1"/>
        <v>7</v>
      </c>
      <c r="M46" s="195">
        <v>43285</v>
      </c>
      <c r="N46" s="341">
        <v>1.7</v>
      </c>
      <c r="O46" s="343">
        <v>3</v>
      </c>
      <c r="P46" s="535">
        <f>VLOOKUP(E46,'Cost of items'!$A$3:$C$95,3,0)</f>
        <v>7.0962962962962965</v>
      </c>
      <c r="Q46" s="179"/>
      <c r="R46" s="179"/>
      <c r="S46" s="179"/>
      <c r="T46" s="179"/>
      <c r="U46" s="179"/>
      <c r="V46" s="179"/>
      <c r="W46" s="179"/>
      <c r="X46" s="179"/>
      <c r="Y46" s="179"/>
      <c r="Z46" s="179"/>
      <c r="AA46" s="179"/>
      <c r="AB46" s="179"/>
      <c r="AC46" s="179"/>
      <c r="AD46" s="179"/>
      <c r="AE46" s="179"/>
      <c r="AF46" s="179"/>
      <c r="AG46" s="179"/>
      <c r="AH46" s="179"/>
      <c r="AI46" s="179"/>
      <c r="AJ46" s="179"/>
      <c r="AK46" s="179"/>
      <c r="AL46" s="179"/>
      <c r="AM46" s="179"/>
      <c r="AN46" s="179"/>
      <c r="AO46" s="179"/>
      <c r="AP46" s="179"/>
      <c r="AQ46" s="179"/>
      <c r="AR46" s="179"/>
      <c r="AS46" s="179"/>
      <c r="AT46" s="179"/>
      <c r="AU46" s="179"/>
      <c r="AV46" s="179"/>
      <c r="AW46" s="179"/>
      <c r="AX46" s="179"/>
      <c r="AY46" s="179"/>
      <c r="AZ46" s="179"/>
      <c r="BA46" s="179"/>
      <c r="BB46" s="179"/>
      <c r="BC46" s="179"/>
      <c r="BD46" s="179"/>
      <c r="BE46" s="179"/>
      <c r="BF46" s="179"/>
      <c r="BG46" s="179"/>
      <c r="BH46" s="179"/>
      <c r="BI46" s="179"/>
      <c r="BJ46" s="179"/>
      <c r="BK46" s="179"/>
      <c r="BL46" s="179"/>
      <c r="BM46" s="179"/>
      <c r="BN46" s="179"/>
      <c r="BO46" s="179"/>
      <c r="BP46" s="179"/>
      <c r="BQ46" s="179"/>
      <c r="BR46" s="179"/>
      <c r="BS46" s="179"/>
      <c r="BT46" s="179"/>
      <c r="BU46" s="179"/>
      <c r="BV46" s="179"/>
      <c r="BW46" s="179"/>
      <c r="BX46" s="179"/>
      <c r="BY46" s="179"/>
      <c r="BZ46" s="179"/>
      <c r="CA46" s="179"/>
      <c r="CB46" s="179"/>
      <c r="CC46" s="179"/>
      <c r="CD46" s="179"/>
      <c r="CE46" s="179"/>
      <c r="CF46" s="179"/>
      <c r="CG46" s="179"/>
      <c r="CH46" s="179"/>
      <c r="CI46" s="179"/>
      <c r="CJ46" s="179"/>
      <c r="CK46" s="179"/>
      <c r="CL46" s="179"/>
      <c r="CM46" s="179"/>
      <c r="CN46" s="179"/>
      <c r="CO46" s="179"/>
      <c r="CP46" s="179"/>
      <c r="CQ46" s="179"/>
      <c r="CR46" s="179"/>
      <c r="CS46" s="179"/>
      <c r="CT46" s="179"/>
      <c r="CU46" s="179"/>
      <c r="CV46" s="179"/>
      <c r="CW46" s="179"/>
      <c r="CX46" s="179"/>
      <c r="CY46" s="179"/>
      <c r="CZ46" s="179"/>
      <c r="DA46" s="179"/>
      <c r="DB46" s="179"/>
      <c r="DC46" s="179"/>
      <c r="DD46" s="179"/>
      <c r="DE46" s="179"/>
      <c r="DF46" s="179"/>
      <c r="DG46" s="179"/>
      <c r="DH46" s="179"/>
      <c r="DI46" s="179"/>
      <c r="DJ46" s="179"/>
      <c r="DK46" s="179"/>
      <c r="DL46" s="179"/>
      <c r="DM46" s="179"/>
      <c r="DN46" s="179"/>
      <c r="DO46" s="179"/>
      <c r="DP46" s="179"/>
      <c r="DQ46" s="179"/>
      <c r="DR46" s="179"/>
      <c r="DS46" s="179"/>
      <c r="DT46" s="179"/>
      <c r="DU46" s="179"/>
      <c r="DV46" s="179"/>
      <c r="DW46" s="179"/>
      <c r="DX46" s="179"/>
      <c r="DY46" s="179"/>
      <c r="DZ46" s="179"/>
      <c r="EA46" s="179"/>
      <c r="EB46" s="179"/>
      <c r="EC46" s="179"/>
      <c r="ED46" s="179"/>
      <c r="EE46" s="179"/>
      <c r="EF46" s="179"/>
      <c r="EG46" s="179"/>
    </row>
    <row r="47" spans="1:137" s="351" customFormat="1" ht="25.5">
      <c r="A47" s="178">
        <v>46</v>
      </c>
      <c r="B47" s="187" t="s">
        <v>2044</v>
      </c>
      <c r="C47" s="191" t="s">
        <v>2020</v>
      </c>
      <c r="D47" s="385" t="s">
        <v>4064</v>
      </c>
      <c r="E47" s="13" t="s">
        <v>2057</v>
      </c>
      <c r="F47" s="191" t="s">
        <v>3895</v>
      </c>
      <c r="G47" s="191" t="s">
        <v>4009</v>
      </c>
      <c r="H47" s="272"/>
      <c r="I47" s="185"/>
      <c r="J47" s="195">
        <v>43226</v>
      </c>
      <c r="K47" s="178">
        <f t="shared" si="0"/>
        <v>2018</v>
      </c>
      <c r="L47" s="178">
        <f t="shared" si="1"/>
        <v>5</v>
      </c>
      <c r="M47" s="469">
        <v>43308</v>
      </c>
      <c r="N47" s="463">
        <v>4</v>
      </c>
      <c r="O47" s="343">
        <v>26</v>
      </c>
      <c r="P47" s="535">
        <f>VLOOKUP(E47,'Cost of items'!$A$3:$C$95,3,0)</f>
        <v>11.466286799620132</v>
      </c>
      <c r="Q47" s="179"/>
      <c r="R47" s="179"/>
      <c r="S47" s="179"/>
      <c r="T47" s="179"/>
      <c r="U47" s="179"/>
      <c r="V47" s="179"/>
      <c r="W47" s="179"/>
      <c r="X47" s="179"/>
      <c r="Y47" s="179"/>
      <c r="Z47" s="179"/>
      <c r="AA47" s="179"/>
      <c r="AB47" s="179"/>
      <c r="AC47" s="179"/>
      <c r="AD47" s="179"/>
      <c r="AE47" s="179"/>
      <c r="AF47" s="179"/>
      <c r="AG47" s="179"/>
      <c r="AH47" s="179"/>
      <c r="AI47" s="179"/>
      <c r="AJ47" s="179"/>
      <c r="AK47" s="179"/>
      <c r="AL47" s="179"/>
      <c r="AM47" s="179"/>
      <c r="AN47" s="179"/>
      <c r="AO47" s="179"/>
      <c r="AP47" s="179"/>
      <c r="AQ47" s="179"/>
      <c r="AR47" s="179"/>
      <c r="AS47" s="179"/>
      <c r="AT47" s="179"/>
      <c r="AU47" s="179"/>
      <c r="AV47" s="179"/>
      <c r="AW47" s="179"/>
      <c r="AX47" s="179"/>
      <c r="AY47" s="179"/>
      <c r="AZ47" s="179"/>
      <c r="BA47" s="179"/>
      <c r="BB47" s="179"/>
      <c r="BC47" s="179"/>
      <c r="BD47" s="179"/>
      <c r="BE47" s="179"/>
      <c r="BF47" s="179"/>
      <c r="BG47" s="179"/>
      <c r="BH47" s="179"/>
      <c r="BI47" s="179"/>
      <c r="BJ47" s="179"/>
      <c r="BK47" s="179"/>
      <c r="BL47" s="179"/>
      <c r="BM47" s="179"/>
      <c r="BN47" s="179"/>
      <c r="BO47" s="179"/>
      <c r="BP47" s="179"/>
      <c r="BQ47" s="179"/>
      <c r="BR47" s="179"/>
      <c r="BS47" s="179"/>
      <c r="BT47" s="179"/>
      <c r="BU47" s="179"/>
      <c r="BV47" s="179"/>
      <c r="BW47" s="179"/>
      <c r="BX47" s="179"/>
      <c r="BY47" s="179"/>
      <c r="BZ47" s="179"/>
      <c r="CA47" s="179"/>
      <c r="CB47" s="179"/>
      <c r="CC47" s="179"/>
      <c r="CD47" s="179"/>
      <c r="CE47" s="179"/>
      <c r="CF47" s="179"/>
      <c r="CG47" s="179"/>
      <c r="CH47" s="179"/>
      <c r="CI47" s="179"/>
      <c r="CJ47" s="179"/>
      <c r="CK47" s="179"/>
      <c r="CL47" s="179"/>
      <c r="CM47" s="179"/>
      <c r="CN47" s="179"/>
      <c r="CO47" s="179"/>
      <c r="CP47" s="179"/>
      <c r="CQ47" s="179"/>
      <c r="CR47" s="179"/>
      <c r="CS47" s="179"/>
      <c r="CT47" s="179"/>
      <c r="CU47" s="179"/>
      <c r="CV47" s="179"/>
      <c r="CW47" s="179"/>
      <c r="CX47" s="179"/>
      <c r="CY47" s="179"/>
      <c r="CZ47" s="179"/>
      <c r="DA47" s="179"/>
      <c r="DB47" s="179"/>
      <c r="DC47" s="179"/>
      <c r="DD47" s="179"/>
      <c r="DE47" s="179"/>
      <c r="DF47" s="179"/>
      <c r="DG47" s="179"/>
      <c r="DH47" s="179"/>
      <c r="DI47" s="179"/>
      <c r="DJ47" s="179"/>
      <c r="DK47" s="179"/>
      <c r="DL47" s="179"/>
      <c r="DM47" s="179"/>
      <c r="DN47" s="179"/>
      <c r="DO47" s="179"/>
      <c r="DP47" s="179"/>
      <c r="DQ47" s="179"/>
      <c r="DR47" s="179"/>
      <c r="DS47" s="179"/>
      <c r="DT47" s="179"/>
      <c r="DU47" s="179"/>
      <c r="DV47" s="179"/>
      <c r="DW47" s="179"/>
      <c r="DX47" s="179"/>
      <c r="DY47" s="179"/>
      <c r="DZ47" s="179"/>
      <c r="EA47" s="179"/>
      <c r="EB47" s="179"/>
      <c r="EC47" s="179"/>
      <c r="ED47" s="179"/>
      <c r="EE47" s="179"/>
      <c r="EF47" s="179"/>
      <c r="EG47" s="179"/>
    </row>
    <row r="48" spans="1:137" s="351" customFormat="1">
      <c r="A48" s="383">
        <v>47</v>
      </c>
      <c r="B48" s="187" t="s">
        <v>2044</v>
      </c>
      <c r="C48" s="191" t="s">
        <v>2020</v>
      </c>
      <c r="D48" s="203" t="s">
        <v>4072</v>
      </c>
      <c r="E48" s="189" t="s">
        <v>2076</v>
      </c>
      <c r="F48" s="191" t="s">
        <v>3895</v>
      </c>
      <c r="G48" s="191" t="s">
        <v>4010</v>
      </c>
      <c r="H48" s="272"/>
      <c r="I48" s="185"/>
      <c r="J48" s="195">
        <v>43287</v>
      </c>
      <c r="K48" s="178">
        <f t="shared" si="0"/>
        <v>2018</v>
      </c>
      <c r="L48" s="178">
        <f t="shared" si="1"/>
        <v>7</v>
      </c>
      <c r="M48" s="470"/>
      <c r="N48" s="464"/>
      <c r="O48" s="343">
        <v>15</v>
      </c>
      <c r="P48" s="535">
        <f>VLOOKUP(E48,'Cost of items'!$A$3:$C$95,3,0)</f>
        <v>14.521950271950272</v>
      </c>
      <c r="Q48" s="179"/>
      <c r="R48" s="179"/>
      <c r="S48" s="179"/>
      <c r="T48" s="179"/>
      <c r="U48" s="179"/>
      <c r="V48" s="179"/>
      <c r="W48" s="179"/>
      <c r="X48" s="179"/>
      <c r="Y48" s="179"/>
      <c r="Z48" s="179"/>
      <c r="AA48" s="179"/>
      <c r="AB48" s="179"/>
      <c r="AC48" s="179"/>
      <c r="AD48" s="179"/>
      <c r="AE48" s="179"/>
      <c r="AF48" s="179"/>
      <c r="AG48" s="179"/>
      <c r="AH48" s="179"/>
      <c r="AI48" s="179"/>
      <c r="AJ48" s="179"/>
      <c r="AK48" s="179"/>
      <c r="AL48" s="179"/>
      <c r="AM48" s="179"/>
      <c r="AN48" s="179"/>
      <c r="AO48" s="179"/>
      <c r="AP48" s="179"/>
      <c r="AQ48" s="179"/>
      <c r="AR48" s="179"/>
      <c r="AS48" s="179"/>
      <c r="AT48" s="179"/>
      <c r="AU48" s="179"/>
      <c r="AV48" s="179"/>
      <c r="AW48" s="179"/>
      <c r="AX48" s="179"/>
      <c r="AY48" s="179"/>
      <c r="AZ48" s="179"/>
      <c r="BA48" s="179"/>
      <c r="BB48" s="179"/>
      <c r="BC48" s="179"/>
      <c r="BD48" s="179"/>
      <c r="BE48" s="179"/>
      <c r="BF48" s="179"/>
      <c r="BG48" s="179"/>
      <c r="BH48" s="179"/>
      <c r="BI48" s="179"/>
      <c r="BJ48" s="179"/>
      <c r="BK48" s="179"/>
      <c r="BL48" s="179"/>
      <c r="BM48" s="179"/>
      <c r="BN48" s="179"/>
      <c r="BO48" s="179"/>
      <c r="BP48" s="179"/>
      <c r="BQ48" s="179"/>
      <c r="BR48" s="179"/>
      <c r="BS48" s="179"/>
      <c r="BT48" s="179"/>
      <c r="BU48" s="179"/>
      <c r="BV48" s="179"/>
      <c r="BW48" s="179"/>
      <c r="BX48" s="179"/>
      <c r="BY48" s="179"/>
      <c r="BZ48" s="179"/>
      <c r="CA48" s="179"/>
      <c r="CB48" s="179"/>
      <c r="CC48" s="179"/>
      <c r="CD48" s="179"/>
      <c r="CE48" s="179"/>
      <c r="CF48" s="179"/>
      <c r="CG48" s="179"/>
      <c r="CH48" s="179"/>
      <c r="CI48" s="179"/>
      <c r="CJ48" s="179"/>
      <c r="CK48" s="179"/>
      <c r="CL48" s="179"/>
      <c r="CM48" s="179"/>
      <c r="CN48" s="179"/>
      <c r="CO48" s="179"/>
      <c r="CP48" s="179"/>
      <c r="CQ48" s="179"/>
      <c r="CR48" s="179"/>
      <c r="CS48" s="179"/>
      <c r="CT48" s="179"/>
      <c r="CU48" s="179"/>
      <c r="CV48" s="179"/>
      <c r="CW48" s="179"/>
      <c r="CX48" s="179"/>
      <c r="CY48" s="179"/>
      <c r="CZ48" s="179"/>
      <c r="DA48" s="179"/>
      <c r="DB48" s="179"/>
      <c r="DC48" s="179"/>
      <c r="DD48" s="179"/>
      <c r="DE48" s="179"/>
      <c r="DF48" s="179"/>
      <c r="DG48" s="179"/>
      <c r="DH48" s="179"/>
      <c r="DI48" s="179"/>
      <c r="DJ48" s="179"/>
      <c r="DK48" s="179"/>
      <c r="DL48" s="179"/>
      <c r="DM48" s="179"/>
      <c r="DN48" s="179"/>
      <c r="DO48" s="179"/>
      <c r="DP48" s="179"/>
      <c r="DQ48" s="179"/>
      <c r="DR48" s="179"/>
      <c r="DS48" s="179"/>
      <c r="DT48" s="179"/>
      <c r="DU48" s="179"/>
      <c r="DV48" s="179"/>
      <c r="DW48" s="179"/>
      <c r="DX48" s="179"/>
      <c r="DY48" s="179"/>
      <c r="DZ48" s="179"/>
      <c r="EA48" s="179"/>
      <c r="EB48" s="179"/>
      <c r="EC48" s="179"/>
      <c r="ED48" s="179"/>
      <c r="EE48" s="179"/>
      <c r="EF48" s="179"/>
      <c r="EG48" s="179"/>
    </row>
    <row r="49" spans="1:137" s="355" customFormat="1" ht="38.25">
      <c r="A49" s="178">
        <v>48</v>
      </c>
      <c r="B49" s="187" t="s">
        <v>2044</v>
      </c>
      <c r="C49" s="191" t="s">
        <v>1733</v>
      </c>
      <c r="D49" s="489" t="s">
        <v>4067</v>
      </c>
      <c r="E49" s="189" t="s">
        <v>1914</v>
      </c>
      <c r="F49" s="191" t="s">
        <v>3897</v>
      </c>
      <c r="G49" s="191" t="s">
        <v>4012</v>
      </c>
      <c r="H49" s="272">
        <v>43326</v>
      </c>
      <c r="I49" s="187"/>
      <c r="J49" s="218"/>
      <c r="K49" s="178">
        <v>2018</v>
      </c>
      <c r="L49" s="178"/>
      <c r="M49" s="218">
        <v>43324</v>
      </c>
      <c r="N49" s="339"/>
      <c r="O49" s="343">
        <v>50</v>
      </c>
      <c r="P49" s="535">
        <f>VLOOKUP(E49,'Cost of items'!$A$3:$C$95,3,0)</f>
        <v>31.649290982871491</v>
      </c>
      <c r="Q49" s="179"/>
      <c r="R49" s="179"/>
      <c r="S49" s="179"/>
      <c r="T49" s="179"/>
      <c r="U49" s="179"/>
      <c r="V49" s="179"/>
      <c r="W49" s="179"/>
      <c r="X49" s="179"/>
      <c r="Y49" s="179"/>
      <c r="Z49" s="179"/>
      <c r="AA49" s="179"/>
      <c r="AB49" s="179"/>
      <c r="AC49" s="179"/>
      <c r="AD49" s="179"/>
      <c r="AE49" s="179"/>
      <c r="AF49" s="179"/>
      <c r="AG49" s="179"/>
      <c r="AH49" s="179"/>
      <c r="AI49" s="179"/>
      <c r="AJ49" s="179"/>
      <c r="AK49" s="179"/>
      <c r="AL49" s="179"/>
      <c r="AM49" s="179"/>
      <c r="AN49" s="179"/>
      <c r="AO49" s="179"/>
      <c r="AP49" s="179"/>
      <c r="AQ49" s="179"/>
      <c r="AR49" s="179"/>
      <c r="AS49" s="179"/>
      <c r="AT49" s="179"/>
      <c r="AU49" s="179"/>
      <c r="AV49" s="179"/>
      <c r="AW49" s="179"/>
      <c r="AX49" s="179"/>
      <c r="AY49" s="179"/>
      <c r="AZ49" s="179"/>
      <c r="BA49" s="179"/>
      <c r="BB49" s="179"/>
      <c r="BC49" s="179"/>
      <c r="BD49" s="179"/>
      <c r="BE49" s="179"/>
      <c r="BF49" s="179"/>
      <c r="BG49" s="179"/>
      <c r="BH49" s="179"/>
      <c r="BI49" s="179"/>
      <c r="BJ49" s="179"/>
      <c r="BK49" s="179"/>
      <c r="BL49" s="179"/>
      <c r="BM49" s="179"/>
      <c r="BN49" s="179"/>
      <c r="BO49" s="179"/>
      <c r="BP49" s="179"/>
      <c r="BQ49" s="179"/>
      <c r="BR49" s="179"/>
      <c r="BS49" s="179"/>
      <c r="BT49" s="179"/>
      <c r="BU49" s="179"/>
      <c r="BV49" s="179"/>
      <c r="BW49" s="179"/>
      <c r="BX49" s="179"/>
      <c r="BY49" s="179"/>
      <c r="BZ49" s="179"/>
      <c r="CA49" s="179"/>
      <c r="CB49" s="179"/>
      <c r="CC49" s="179"/>
      <c r="CD49" s="179"/>
      <c r="CE49" s="179"/>
      <c r="CF49" s="179"/>
      <c r="CG49" s="179"/>
      <c r="CH49" s="179"/>
      <c r="CI49" s="179"/>
      <c r="CJ49" s="179"/>
      <c r="CK49" s="179"/>
      <c r="CL49" s="179"/>
      <c r="CM49" s="179"/>
      <c r="CN49" s="179"/>
      <c r="CO49" s="179"/>
      <c r="CP49" s="179"/>
      <c r="CQ49" s="179"/>
      <c r="CR49" s="179"/>
      <c r="CS49" s="179"/>
      <c r="CT49" s="179"/>
      <c r="CU49" s="179"/>
      <c r="CV49" s="179"/>
      <c r="CW49" s="179"/>
      <c r="CX49" s="179"/>
      <c r="CY49" s="179"/>
      <c r="CZ49" s="179"/>
      <c r="DA49" s="179"/>
      <c r="DB49" s="179"/>
      <c r="DC49" s="179"/>
      <c r="DD49" s="179"/>
      <c r="DE49" s="179"/>
      <c r="DF49" s="179"/>
      <c r="DG49" s="179"/>
      <c r="DH49" s="179"/>
      <c r="DI49" s="179"/>
      <c r="DJ49" s="179"/>
      <c r="DK49" s="179"/>
      <c r="DL49" s="179"/>
      <c r="DM49" s="179"/>
      <c r="DN49" s="179"/>
      <c r="DO49" s="179"/>
      <c r="DP49" s="179"/>
      <c r="DQ49" s="179"/>
      <c r="DR49" s="179"/>
      <c r="DS49" s="179"/>
      <c r="DT49" s="179"/>
      <c r="DU49" s="179"/>
      <c r="DV49" s="179"/>
      <c r="DW49" s="179"/>
      <c r="DX49" s="179"/>
      <c r="DY49" s="179"/>
      <c r="DZ49" s="179"/>
      <c r="EA49" s="179"/>
      <c r="EB49" s="179"/>
      <c r="EC49" s="179"/>
      <c r="ED49" s="179"/>
      <c r="EE49" s="179"/>
      <c r="EF49" s="179"/>
      <c r="EG49" s="179"/>
    </row>
    <row r="50" spans="1:137" s="353" customFormat="1" ht="25.5">
      <c r="A50" s="383">
        <v>49</v>
      </c>
      <c r="B50" s="187" t="s">
        <v>2044</v>
      </c>
      <c r="C50" s="203" t="s">
        <v>2028</v>
      </c>
      <c r="D50" s="13" t="s">
        <v>3971</v>
      </c>
      <c r="E50" s="189" t="s">
        <v>1555</v>
      </c>
      <c r="F50" s="203" t="s">
        <v>3899</v>
      </c>
      <c r="G50" s="203" t="s">
        <v>4014</v>
      </c>
      <c r="H50" s="272">
        <v>43250</v>
      </c>
      <c r="I50" s="233"/>
      <c r="J50" s="204">
        <v>43250</v>
      </c>
      <c r="K50" s="178">
        <f t="shared" ref="K50:K90" si="2">YEAR(J50)</f>
        <v>2018</v>
      </c>
      <c r="L50" s="178">
        <f t="shared" ref="L50:L90" si="3">MONTH(J50)</f>
        <v>5</v>
      </c>
      <c r="M50" s="204">
        <v>43296</v>
      </c>
      <c r="N50" s="340"/>
      <c r="O50" s="343">
        <v>20</v>
      </c>
      <c r="P50" s="535">
        <f>VLOOKUP(E50,'Cost of items'!$A$3:$C$95,3,0)</f>
        <v>11.32010582010582</v>
      </c>
      <c r="Q50" s="179"/>
      <c r="R50" s="179"/>
      <c r="S50" s="179"/>
      <c r="T50" s="179"/>
      <c r="U50" s="179"/>
      <c r="V50" s="179"/>
      <c r="W50" s="179"/>
      <c r="X50" s="179"/>
      <c r="Y50" s="179"/>
      <c r="Z50" s="179"/>
      <c r="AA50" s="179"/>
      <c r="AB50" s="179"/>
      <c r="AC50" s="179"/>
      <c r="AD50" s="179"/>
      <c r="AE50" s="179"/>
      <c r="AF50" s="179"/>
      <c r="AG50" s="179"/>
      <c r="AH50" s="179"/>
      <c r="AI50" s="179"/>
      <c r="AJ50" s="179"/>
      <c r="AK50" s="179"/>
      <c r="AL50" s="179"/>
      <c r="AM50" s="179"/>
      <c r="AN50" s="179"/>
      <c r="AO50" s="179"/>
      <c r="AP50" s="179"/>
      <c r="AQ50" s="179"/>
      <c r="AR50" s="179"/>
      <c r="AS50" s="179"/>
      <c r="AT50" s="179"/>
      <c r="AU50" s="179"/>
      <c r="AV50" s="179"/>
      <c r="AW50" s="179"/>
      <c r="AX50" s="179"/>
      <c r="AY50" s="179"/>
      <c r="AZ50" s="179"/>
      <c r="BA50" s="179"/>
      <c r="BB50" s="179"/>
      <c r="BC50" s="179"/>
      <c r="BD50" s="179"/>
      <c r="BE50" s="179"/>
      <c r="BF50" s="179"/>
      <c r="BG50" s="179"/>
      <c r="BH50" s="179"/>
      <c r="BI50" s="179"/>
      <c r="BJ50" s="179"/>
      <c r="BK50" s="179"/>
      <c r="BL50" s="179"/>
      <c r="BM50" s="179"/>
      <c r="BN50" s="179"/>
      <c r="BO50" s="179"/>
      <c r="BP50" s="179"/>
      <c r="BQ50" s="179"/>
      <c r="BR50" s="179"/>
      <c r="BS50" s="179"/>
      <c r="BT50" s="179"/>
      <c r="BU50" s="179"/>
      <c r="BV50" s="179"/>
      <c r="BW50" s="179"/>
      <c r="BX50" s="179"/>
      <c r="BY50" s="179"/>
      <c r="BZ50" s="179"/>
      <c r="CA50" s="179"/>
      <c r="CB50" s="179"/>
      <c r="CC50" s="179"/>
      <c r="CD50" s="179"/>
      <c r="CE50" s="179"/>
      <c r="CF50" s="179"/>
      <c r="CG50" s="179"/>
      <c r="CH50" s="179"/>
      <c r="CI50" s="179"/>
      <c r="CJ50" s="179"/>
      <c r="CK50" s="179"/>
      <c r="CL50" s="179"/>
      <c r="CM50" s="179"/>
      <c r="CN50" s="179"/>
      <c r="CO50" s="179"/>
      <c r="CP50" s="179"/>
      <c r="CQ50" s="179"/>
      <c r="CR50" s="179"/>
      <c r="CS50" s="179"/>
      <c r="CT50" s="179"/>
      <c r="CU50" s="179"/>
      <c r="CV50" s="179"/>
      <c r="CW50" s="179"/>
      <c r="CX50" s="179"/>
      <c r="CY50" s="179"/>
      <c r="CZ50" s="179"/>
      <c r="DA50" s="179"/>
      <c r="DB50" s="179"/>
      <c r="DC50" s="179"/>
      <c r="DD50" s="179"/>
      <c r="DE50" s="179"/>
      <c r="DF50" s="179"/>
      <c r="DG50" s="179"/>
      <c r="DH50" s="179"/>
      <c r="DI50" s="179"/>
      <c r="DJ50" s="179"/>
      <c r="DK50" s="179"/>
      <c r="DL50" s="179"/>
      <c r="DM50" s="179"/>
      <c r="DN50" s="179"/>
      <c r="DO50" s="179"/>
      <c r="DP50" s="179"/>
      <c r="DQ50" s="179"/>
      <c r="DR50" s="179"/>
      <c r="DS50" s="179"/>
      <c r="DT50" s="179"/>
      <c r="DU50" s="179"/>
      <c r="DV50" s="179"/>
      <c r="DW50" s="179"/>
      <c r="DX50" s="179"/>
      <c r="DY50" s="179"/>
      <c r="DZ50" s="179"/>
      <c r="EA50" s="179"/>
      <c r="EB50" s="179"/>
      <c r="EC50" s="179"/>
      <c r="ED50" s="179"/>
      <c r="EE50" s="179"/>
      <c r="EF50" s="179"/>
      <c r="EG50" s="179"/>
    </row>
    <row r="51" spans="1:137" s="353" customFormat="1" ht="51">
      <c r="A51" s="178">
        <v>50</v>
      </c>
      <c r="B51" s="187" t="s">
        <v>2044</v>
      </c>
      <c r="C51" s="203" t="s">
        <v>2029</v>
      </c>
      <c r="D51" s="13" t="s">
        <v>3971</v>
      </c>
      <c r="E51" s="189" t="s">
        <v>1555</v>
      </c>
      <c r="F51" s="203" t="s">
        <v>3900</v>
      </c>
      <c r="G51" s="203" t="s">
        <v>4013</v>
      </c>
      <c r="H51" s="282"/>
      <c r="I51" s="233"/>
      <c r="J51" s="204">
        <v>43250</v>
      </c>
      <c r="K51" s="178">
        <f t="shared" si="2"/>
        <v>2018</v>
      </c>
      <c r="L51" s="178">
        <f t="shared" si="3"/>
        <v>5</v>
      </c>
      <c r="M51" s="204">
        <v>43296</v>
      </c>
      <c r="N51" s="340"/>
      <c r="O51" s="343">
        <v>20</v>
      </c>
      <c r="P51" s="535">
        <f>VLOOKUP(E51,'Cost of items'!$A$3:$C$95,3,0)</f>
        <v>11.32010582010582</v>
      </c>
      <c r="Q51" s="179"/>
      <c r="R51" s="179"/>
      <c r="S51" s="179"/>
      <c r="T51" s="179"/>
      <c r="U51" s="179"/>
      <c r="V51" s="179"/>
      <c r="W51" s="179"/>
      <c r="X51" s="179"/>
      <c r="Y51" s="179"/>
      <c r="Z51" s="179"/>
      <c r="AA51" s="179"/>
      <c r="AB51" s="179"/>
      <c r="AC51" s="179"/>
      <c r="AD51" s="179"/>
      <c r="AE51" s="179"/>
      <c r="AF51" s="179"/>
      <c r="AG51" s="179"/>
      <c r="AH51" s="179"/>
      <c r="AI51" s="179"/>
      <c r="AJ51" s="179"/>
      <c r="AK51" s="179"/>
      <c r="AL51" s="179"/>
      <c r="AM51" s="179"/>
      <c r="AN51" s="179"/>
      <c r="AO51" s="179"/>
      <c r="AP51" s="179"/>
      <c r="AQ51" s="179"/>
      <c r="AR51" s="179"/>
      <c r="AS51" s="179"/>
      <c r="AT51" s="179"/>
      <c r="AU51" s="179"/>
      <c r="AV51" s="179"/>
      <c r="AW51" s="179"/>
      <c r="AX51" s="179"/>
      <c r="AY51" s="179"/>
      <c r="AZ51" s="179"/>
      <c r="BA51" s="179"/>
      <c r="BB51" s="179"/>
      <c r="BC51" s="179"/>
      <c r="BD51" s="179"/>
      <c r="BE51" s="179"/>
      <c r="BF51" s="179"/>
      <c r="BG51" s="179"/>
      <c r="BH51" s="179"/>
      <c r="BI51" s="179"/>
      <c r="BJ51" s="179"/>
      <c r="BK51" s="179"/>
      <c r="BL51" s="179"/>
      <c r="BM51" s="179"/>
      <c r="BN51" s="179"/>
      <c r="BO51" s="179"/>
      <c r="BP51" s="179"/>
      <c r="BQ51" s="179"/>
      <c r="BR51" s="179"/>
      <c r="BS51" s="179"/>
      <c r="BT51" s="179"/>
      <c r="BU51" s="179"/>
      <c r="BV51" s="179"/>
      <c r="BW51" s="179"/>
      <c r="BX51" s="179"/>
      <c r="BY51" s="179"/>
      <c r="BZ51" s="179"/>
      <c r="CA51" s="179"/>
      <c r="CB51" s="179"/>
      <c r="CC51" s="179"/>
      <c r="CD51" s="179"/>
      <c r="CE51" s="179"/>
      <c r="CF51" s="179"/>
      <c r="CG51" s="179"/>
      <c r="CH51" s="179"/>
      <c r="CI51" s="179"/>
      <c r="CJ51" s="179"/>
      <c r="CK51" s="179"/>
      <c r="CL51" s="179"/>
      <c r="CM51" s="179"/>
      <c r="CN51" s="179"/>
      <c r="CO51" s="179"/>
      <c r="CP51" s="179"/>
      <c r="CQ51" s="179"/>
      <c r="CR51" s="179"/>
      <c r="CS51" s="179"/>
      <c r="CT51" s="179"/>
      <c r="CU51" s="179"/>
      <c r="CV51" s="179"/>
      <c r="CW51" s="179"/>
      <c r="CX51" s="179"/>
      <c r="CY51" s="179"/>
      <c r="CZ51" s="179"/>
      <c r="DA51" s="179"/>
      <c r="DB51" s="179"/>
      <c r="DC51" s="179"/>
      <c r="DD51" s="179"/>
      <c r="DE51" s="179"/>
      <c r="DF51" s="179"/>
      <c r="DG51" s="179"/>
      <c r="DH51" s="179"/>
      <c r="DI51" s="179"/>
      <c r="DJ51" s="179"/>
      <c r="DK51" s="179"/>
      <c r="DL51" s="179"/>
      <c r="DM51" s="179"/>
      <c r="DN51" s="179"/>
      <c r="DO51" s="179"/>
      <c r="DP51" s="179"/>
      <c r="DQ51" s="179"/>
      <c r="DR51" s="179"/>
      <c r="DS51" s="179"/>
      <c r="DT51" s="179"/>
      <c r="DU51" s="179"/>
      <c r="DV51" s="179"/>
      <c r="DW51" s="179"/>
      <c r="DX51" s="179"/>
      <c r="DY51" s="179"/>
      <c r="DZ51" s="179"/>
      <c r="EA51" s="179"/>
      <c r="EB51" s="179"/>
      <c r="EC51" s="179"/>
      <c r="ED51" s="179"/>
      <c r="EE51" s="179"/>
      <c r="EF51" s="179"/>
      <c r="EG51" s="179"/>
    </row>
    <row r="52" spans="1:137" s="353" customFormat="1" ht="25.5">
      <c r="A52" s="383">
        <v>51</v>
      </c>
      <c r="B52" s="187" t="s">
        <v>2044</v>
      </c>
      <c r="C52" s="203" t="s">
        <v>2079</v>
      </c>
      <c r="D52" s="13" t="s">
        <v>3971</v>
      </c>
      <c r="E52" s="189" t="s">
        <v>1555</v>
      </c>
      <c r="F52" s="203" t="s">
        <v>3902</v>
      </c>
      <c r="G52" s="203" t="s">
        <v>4013</v>
      </c>
      <c r="H52" s="240" t="s">
        <v>2080</v>
      </c>
      <c r="I52" s="233"/>
      <c r="J52" s="204">
        <v>43250</v>
      </c>
      <c r="K52" s="178">
        <f t="shared" si="2"/>
        <v>2018</v>
      </c>
      <c r="L52" s="178">
        <f t="shared" si="3"/>
        <v>5</v>
      </c>
      <c r="M52" s="204">
        <v>43296</v>
      </c>
      <c r="N52" s="340"/>
      <c r="O52" s="343">
        <v>20</v>
      </c>
      <c r="P52" s="535">
        <f>VLOOKUP(E52,'Cost of items'!$A$3:$C$95,3,0)</f>
        <v>11.32010582010582</v>
      </c>
      <c r="Q52" s="179"/>
      <c r="R52" s="179"/>
      <c r="S52" s="179"/>
      <c r="T52" s="179"/>
      <c r="U52" s="179"/>
      <c r="V52" s="179"/>
      <c r="W52" s="179"/>
      <c r="X52" s="179"/>
      <c r="Y52" s="179"/>
      <c r="Z52" s="179"/>
      <c r="AA52" s="179"/>
      <c r="AB52" s="179"/>
      <c r="AC52" s="179"/>
      <c r="AD52" s="179"/>
      <c r="AE52" s="179"/>
      <c r="AF52" s="179"/>
      <c r="AG52" s="179"/>
      <c r="AH52" s="179"/>
      <c r="AI52" s="179"/>
      <c r="AJ52" s="179"/>
      <c r="AK52" s="179"/>
      <c r="AL52" s="179"/>
      <c r="AM52" s="179"/>
      <c r="AN52" s="179"/>
      <c r="AO52" s="179"/>
      <c r="AP52" s="179"/>
      <c r="AQ52" s="179"/>
      <c r="AR52" s="179"/>
      <c r="AS52" s="179"/>
      <c r="AT52" s="179"/>
      <c r="AU52" s="179"/>
      <c r="AV52" s="179"/>
      <c r="AW52" s="179"/>
      <c r="AX52" s="179"/>
      <c r="AY52" s="179"/>
      <c r="AZ52" s="179"/>
      <c r="BA52" s="179"/>
      <c r="BB52" s="179"/>
      <c r="BC52" s="179"/>
      <c r="BD52" s="179"/>
      <c r="BE52" s="179"/>
      <c r="BF52" s="179"/>
      <c r="BG52" s="179"/>
      <c r="BH52" s="179"/>
      <c r="BI52" s="179"/>
      <c r="BJ52" s="179"/>
      <c r="BK52" s="179"/>
      <c r="BL52" s="179"/>
      <c r="BM52" s="179"/>
      <c r="BN52" s="179"/>
      <c r="BO52" s="179"/>
      <c r="BP52" s="179"/>
      <c r="BQ52" s="179"/>
      <c r="BR52" s="179"/>
      <c r="BS52" s="179"/>
      <c r="BT52" s="179"/>
      <c r="BU52" s="179"/>
      <c r="BV52" s="179"/>
      <c r="BW52" s="179"/>
      <c r="BX52" s="179"/>
      <c r="BY52" s="179"/>
      <c r="BZ52" s="179"/>
      <c r="CA52" s="179"/>
      <c r="CB52" s="179"/>
      <c r="CC52" s="179"/>
      <c r="CD52" s="179"/>
      <c r="CE52" s="179"/>
      <c r="CF52" s="179"/>
      <c r="CG52" s="179"/>
      <c r="CH52" s="179"/>
      <c r="CI52" s="179"/>
      <c r="CJ52" s="179"/>
      <c r="CK52" s="179"/>
      <c r="CL52" s="179"/>
      <c r="CM52" s="179"/>
      <c r="CN52" s="179"/>
      <c r="CO52" s="179"/>
      <c r="CP52" s="179"/>
      <c r="CQ52" s="179"/>
      <c r="CR52" s="179"/>
      <c r="CS52" s="179"/>
      <c r="CT52" s="179"/>
      <c r="CU52" s="179"/>
      <c r="CV52" s="179"/>
      <c r="CW52" s="179"/>
      <c r="CX52" s="179"/>
      <c r="CY52" s="179"/>
      <c r="CZ52" s="179"/>
      <c r="DA52" s="179"/>
      <c r="DB52" s="179"/>
      <c r="DC52" s="179"/>
      <c r="DD52" s="179"/>
      <c r="DE52" s="179"/>
      <c r="DF52" s="179"/>
      <c r="DG52" s="179"/>
      <c r="DH52" s="179"/>
      <c r="DI52" s="179"/>
      <c r="DJ52" s="179"/>
      <c r="DK52" s="179"/>
      <c r="DL52" s="179"/>
      <c r="DM52" s="179"/>
      <c r="DN52" s="179"/>
      <c r="DO52" s="179"/>
      <c r="DP52" s="179"/>
      <c r="DQ52" s="179"/>
      <c r="DR52" s="179"/>
      <c r="DS52" s="179"/>
      <c r="DT52" s="179"/>
      <c r="DU52" s="179"/>
      <c r="DV52" s="179"/>
      <c r="DW52" s="179"/>
      <c r="DX52" s="179"/>
      <c r="DY52" s="179"/>
      <c r="DZ52" s="179"/>
      <c r="EA52" s="179"/>
      <c r="EB52" s="179"/>
      <c r="EC52" s="179"/>
      <c r="ED52" s="179"/>
      <c r="EE52" s="179"/>
      <c r="EF52" s="179"/>
      <c r="EG52" s="179"/>
    </row>
    <row r="53" spans="1:137" s="356" customFormat="1" ht="25.5">
      <c r="A53" s="178">
        <v>52</v>
      </c>
      <c r="B53" s="187" t="s">
        <v>2044</v>
      </c>
      <c r="C53" s="203" t="s">
        <v>2079</v>
      </c>
      <c r="D53" s="13" t="s">
        <v>3971</v>
      </c>
      <c r="E53" s="189" t="s">
        <v>1555</v>
      </c>
      <c r="F53" s="203" t="s">
        <v>3903</v>
      </c>
      <c r="G53" s="203" t="s">
        <v>4013</v>
      </c>
      <c r="H53" s="240" t="s">
        <v>2080</v>
      </c>
      <c r="I53" s="233"/>
      <c r="J53" s="204">
        <v>43250</v>
      </c>
      <c r="K53" s="178">
        <f t="shared" si="2"/>
        <v>2018</v>
      </c>
      <c r="L53" s="178">
        <f t="shared" si="3"/>
        <v>5</v>
      </c>
      <c r="M53" s="204">
        <v>43296</v>
      </c>
      <c r="N53" s="340"/>
      <c r="O53" s="343">
        <v>20</v>
      </c>
      <c r="P53" s="535">
        <f>VLOOKUP(E53,'Cost of items'!$A$3:$C$95,3,0)</f>
        <v>11.32010582010582</v>
      </c>
      <c r="Q53" s="179"/>
      <c r="R53" s="179"/>
      <c r="S53" s="179"/>
      <c r="T53" s="179"/>
      <c r="U53" s="179"/>
      <c r="V53" s="179"/>
      <c r="W53" s="179"/>
      <c r="X53" s="179"/>
      <c r="Y53" s="179"/>
      <c r="Z53" s="179"/>
      <c r="AA53" s="179"/>
      <c r="AB53" s="179"/>
      <c r="AC53" s="179"/>
      <c r="AD53" s="179"/>
      <c r="AE53" s="179"/>
      <c r="AF53" s="179"/>
      <c r="AG53" s="179"/>
      <c r="AH53" s="179"/>
      <c r="AI53" s="179"/>
      <c r="AJ53" s="179"/>
      <c r="AK53" s="179"/>
      <c r="AL53" s="179"/>
      <c r="AM53" s="179"/>
      <c r="AN53" s="179"/>
      <c r="AO53" s="179"/>
      <c r="AP53" s="179"/>
      <c r="AQ53" s="179"/>
      <c r="AR53" s="179"/>
      <c r="AS53" s="179"/>
      <c r="AT53" s="179"/>
      <c r="AU53" s="179"/>
      <c r="AV53" s="179"/>
      <c r="AW53" s="179"/>
      <c r="AX53" s="179"/>
      <c r="AY53" s="179"/>
      <c r="AZ53" s="179"/>
      <c r="BA53" s="179"/>
      <c r="BB53" s="179"/>
      <c r="BC53" s="179"/>
      <c r="BD53" s="179"/>
      <c r="BE53" s="179"/>
      <c r="BF53" s="179"/>
      <c r="BG53" s="179"/>
      <c r="BH53" s="179"/>
      <c r="BI53" s="179"/>
      <c r="BJ53" s="179"/>
      <c r="BK53" s="179"/>
      <c r="BL53" s="179"/>
      <c r="BM53" s="179"/>
      <c r="BN53" s="179"/>
      <c r="BO53" s="179"/>
      <c r="BP53" s="179"/>
      <c r="BQ53" s="179"/>
      <c r="BR53" s="179"/>
      <c r="BS53" s="179"/>
      <c r="BT53" s="179"/>
      <c r="BU53" s="179"/>
      <c r="BV53" s="179"/>
      <c r="BW53" s="179"/>
      <c r="BX53" s="179"/>
      <c r="BY53" s="179"/>
      <c r="BZ53" s="179"/>
      <c r="CA53" s="179"/>
      <c r="CB53" s="179"/>
      <c r="CC53" s="179"/>
      <c r="CD53" s="179"/>
      <c r="CE53" s="179"/>
      <c r="CF53" s="179"/>
      <c r="CG53" s="179"/>
      <c r="CH53" s="179"/>
      <c r="CI53" s="179"/>
      <c r="CJ53" s="179"/>
      <c r="CK53" s="179"/>
      <c r="CL53" s="179"/>
      <c r="CM53" s="179"/>
      <c r="CN53" s="179"/>
      <c r="CO53" s="179"/>
      <c r="CP53" s="179"/>
      <c r="CQ53" s="179"/>
      <c r="CR53" s="179"/>
      <c r="CS53" s="179"/>
      <c r="CT53" s="179"/>
      <c r="CU53" s="179"/>
      <c r="CV53" s="179"/>
      <c r="CW53" s="179"/>
      <c r="CX53" s="179"/>
      <c r="CY53" s="179"/>
      <c r="CZ53" s="179"/>
      <c r="DA53" s="179"/>
      <c r="DB53" s="179"/>
      <c r="DC53" s="179"/>
      <c r="DD53" s="179"/>
      <c r="DE53" s="179"/>
      <c r="DF53" s="179"/>
      <c r="DG53" s="179"/>
      <c r="DH53" s="179"/>
      <c r="DI53" s="179"/>
      <c r="DJ53" s="179"/>
      <c r="DK53" s="179"/>
      <c r="DL53" s="179"/>
      <c r="DM53" s="179"/>
      <c r="DN53" s="179"/>
      <c r="DO53" s="179"/>
      <c r="DP53" s="179"/>
      <c r="DQ53" s="179"/>
      <c r="DR53" s="179"/>
      <c r="DS53" s="179"/>
      <c r="DT53" s="179"/>
      <c r="DU53" s="179"/>
      <c r="DV53" s="179"/>
      <c r="DW53" s="179"/>
      <c r="DX53" s="179"/>
      <c r="DY53" s="179"/>
      <c r="DZ53" s="179"/>
      <c r="EA53" s="179"/>
      <c r="EB53" s="179"/>
      <c r="EC53" s="179"/>
      <c r="ED53" s="179"/>
      <c r="EE53" s="179"/>
      <c r="EF53" s="179"/>
      <c r="EG53" s="179"/>
    </row>
    <row r="54" spans="1:137" s="355" customFormat="1" ht="38.25">
      <c r="A54" s="383">
        <v>53</v>
      </c>
      <c r="B54" s="187" t="s">
        <v>2044</v>
      </c>
      <c r="C54" s="191" t="s">
        <v>2239</v>
      </c>
      <c r="D54" s="191" t="s">
        <v>4064</v>
      </c>
      <c r="E54" s="13" t="s">
        <v>3668</v>
      </c>
      <c r="F54" s="191" t="s">
        <v>3906</v>
      </c>
      <c r="G54" s="191" t="s">
        <v>4015</v>
      </c>
      <c r="H54" s="272" t="s">
        <v>2262</v>
      </c>
      <c r="I54" s="187"/>
      <c r="J54" s="218">
        <v>43323</v>
      </c>
      <c r="K54" s="178">
        <f t="shared" si="2"/>
        <v>2018</v>
      </c>
      <c r="L54" s="178">
        <f t="shared" si="3"/>
        <v>8</v>
      </c>
      <c r="M54" s="218">
        <v>43375</v>
      </c>
      <c r="N54" s="333" t="s">
        <v>4058</v>
      </c>
      <c r="O54" s="343">
        <v>65</v>
      </c>
      <c r="P54" s="535">
        <f>VLOOKUP(E54,'Cost of items'!$A$3:$C$95,3,0)</f>
        <v>47.956613756613748</v>
      </c>
      <c r="Q54" s="179"/>
      <c r="R54" s="179"/>
      <c r="S54" s="179"/>
      <c r="T54" s="179"/>
      <c r="U54" s="179"/>
      <c r="V54" s="179"/>
      <c r="W54" s="179"/>
      <c r="X54" s="179"/>
      <c r="Y54" s="179"/>
      <c r="Z54" s="179"/>
      <c r="AA54" s="179"/>
      <c r="AB54" s="179"/>
      <c r="AC54" s="179"/>
      <c r="AD54" s="179"/>
      <c r="AE54" s="179"/>
      <c r="AF54" s="179"/>
      <c r="AG54" s="179"/>
      <c r="AH54" s="179"/>
      <c r="AI54" s="179"/>
      <c r="AJ54" s="179"/>
      <c r="AK54" s="179"/>
      <c r="AL54" s="179"/>
      <c r="AM54" s="179"/>
      <c r="AN54" s="179"/>
      <c r="AO54" s="179"/>
      <c r="AP54" s="179"/>
      <c r="AQ54" s="179"/>
      <c r="AR54" s="179"/>
      <c r="AS54" s="179"/>
      <c r="AT54" s="179"/>
      <c r="AU54" s="179"/>
      <c r="AV54" s="179"/>
      <c r="AW54" s="179"/>
      <c r="AX54" s="179"/>
      <c r="AY54" s="179"/>
      <c r="AZ54" s="179"/>
      <c r="BA54" s="179"/>
      <c r="BB54" s="179"/>
      <c r="BC54" s="179"/>
      <c r="BD54" s="179"/>
      <c r="BE54" s="179"/>
      <c r="BF54" s="179"/>
      <c r="BG54" s="179"/>
      <c r="BH54" s="179"/>
      <c r="BI54" s="179"/>
      <c r="BJ54" s="179"/>
      <c r="BK54" s="179"/>
      <c r="BL54" s="179"/>
      <c r="BM54" s="179"/>
      <c r="BN54" s="179"/>
      <c r="BO54" s="179"/>
      <c r="BP54" s="179"/>
      <c r="BQ54" s="179"/>
      <c r="BR54" s="179"/>
      <c r="BS54" s="179"/>
      <c r="BT54" s="179"/>
      <c r="BU54" s="179"/>
      <c r="BV54" s="179"/>
      <c r="BW54" s="179"/>
      <c r="BX54" s="179"/>
      <c r="BY54" s="179"/>
      <c r="BZ54" s="179"/>
      <c r="CA54" s="179"/>
      <c r="CB54" s="179"/>
      <c r="CC54" s="179"/>
      <c r="CD54" s="179"/>
      <c r="CE54" s="179"/>
      <c r="CF54" s="179"/>
      <c r="CG54" s="179"/>
      <c r="CH54" s="179"/>
      <c r="CI54" s="179"/>
      <c r="CJ54" s="179"/>
      <c r="CK54" s="179"/>
      <c r="CL54" s="179"/>
      <c r="CM54" s="179"/>
      <c r="CN54" s="179"/>
      <c r="CO54" s="179"/>
      <c r="CP54" s="179"/>
      <c r="CQ54" s="179"/>
      <c r="CR54" s="179"/>
      <c r="CS54" s="179"/>
      <c r="CT54" s="179"/>
      <c r="CU54" s="179"/>
      <c r="CV54" s="179"/>
      <c r="CW54" s="179"/>
      <c r="CX54" s="179"/>
      <c r="CY54" s="179"/>
      <c r="CZ54" s="179"/>
      <c r="DA54" s="179"/>
      <c r="DB54" s="179"/>
      <c r="DC54" s="179"/>
      <c r="DD54" s="179"/>
      <c r="DE54" s="179"/>
      <c r="DF54" s="179"/>
      <c r="DG54" s="179"/>
      <c r="DH54" s="179"/>
      <c r="DI54" s="179"/>
      <c r="DJ54" s="179"/>
      <c r="DK54" s="179"/>
      <c r="DL54" s="179"/>
      <c r="DM54" s="179"/>
      <c r="DN54" s="179"/>
      <c r="DO54" s="179"/>
      <c r="DP54" s="179"/>
      <c r="DQ54" s="179"/>
      <c r="DR54" s="179"/>
      <c r="DS54" s="179"/>
      <c r="DT54" s="179"/>
      <c r="DU54" s="179"/>
      <c r="DV54" s="179"/>
      <c r="DW54" s="179"/>
      <c r="DX54" s="179"/>
      <c r="DY54" s="179"/>
      <c r="DZ54" s="179"/>
      <c r="EA54" s="179"/>
      <c r="EB54" s="179"/>
      <c r="EC54" s="179"/>
      <c r="ED54" s="179"/>
      <c r="EE54" s="179"/>
      <c r="EF54" s="179"/>
      <c r="EG54" s="179"/>
    </row>
    <row r="55" spans="1:137" s="1" customFormat="1" ht="25.5">
      <c r="A55" s="178">
        <v>54</v>
      </c>
      <c r="B55" s="11" t="s">
        <v>2044</v>
      </c>
      <c r="C55" s="191" t="s">
        <v>2237</v>
      </c>
      <c r="D55" s="191" t="s">
        <v>4069</v>
      </c>
      <c r="E55" s="189" t="s">
        <v>3833</v>
      </c>
      <c r="F55" s="13" t="s">
        <v>3907</v>
      </c>
      <c r="G55" s="13" t="s">
        <v>4016</v>
      </c>
      <c r="H55" s="280">
        <v>43354</v>
      </c>
      <c r="I55" s="11"/>
      <c r="J55" s="194">
        <v>43350</v>
      </c>
      <c r="K55" s="178">
        <f t="shared" si="2"/>
        <v>2018</v>
      </c>
      <c r="L55" s="178">
        <f t="shared" si="3"/>
        <v>9</v>
      </c>
      <c r="M55" s="194">
        <v>43354</v>
      </c>
      <c r="N55" s="334"/>
      <c r="O55" s="343">
        <v>12</v>
      </c>
      <c r="P55" s="535">
        <f>VLOOKUP(E55,'Cost of items'!$A$3:$C$95,3,0)</f>
        <v>8</v>
      </c>
      <c r="Q55" s="179"/>
      <c r="R55" s="179"/>
      <c r="S55" s="179"/>
      <c r="T55" s="179"/>
      <c r="U55" s="179"/>
      <c r="V55" s="179"/>
      <c r="W55" s="179"/>
      <c r="X55" s="179"/>
      <c r="Y55" s="179"/>
      <c r="Z55" s="179"/>
      <c r="AA55" s="179"/>
      <c r="AB55" s="179"/>
      <c r="AC55" s="179"/>
      <c r="AD55" s="179"/>
      <c r="AE55" s="179"/>
      <c r="AF55" s="179"/>
      <c r="AG55" s="179"/>
      <c r="AH55" s="179"/>
      <c r="AI55" s="179"/>
      <c r="AJ55" s="179"/>
      <c r="AK55" s="179"/>
      <c r="AL55" s="179"/>
      <c r="AM55" s="179"/>
      <c r="AN55" s="179"/>
      <c r="AO55" s="179"/>
      <c r="AP55" s="179"/>
      <c r="AQ55" s="179"/>
      <c r="AR55" s="179"/>
      <c r="AS55" s="179"/>
      <c r="AT55" s="179"/>
      <c r="AU55" s="179"/>
      <c r="AV55" s="179"/>
      <c r="AW55" s="179"/>
      <c r="AX55" s="179"/>
      <c r="AY55" s="179"/>
      <c r="AZ55" s="179"/>
      <c r="BA55" s="179"/>
      <c r="BB55" s="179"/>
      <c r="BC55" s="179"/>
      <c r="BD55" s="179"/>
      <c r="BE55" s="179"/>
      <c r="BF55" s="179"/>
      <c r="BG55" s="179"/>
      <c r="BH55" s="179"/>
      <c r="BI55" s="179"/>
      <c r="BJ55" s="179"/>
      <c r="BK55" s="179"/>
      <c r="BL55" s="179"/>
      <c r="BM55" s="179"/>
      <c r="BN55" s="179"/>
      <c r="BO55" s="179"/>
      <c r="BP55" s="179"/>
      <c r="BQ55" s="179"/>
      <c r="BR55" s="179"/>
      <c r="BS55" s="179"/>
      <c r="BT55" s="179"/>
      <c r="BU55" s="179"/>
      <c r="BV55" s="179"/>
      <c r="BW55" s="179"/>
      <c r="BX55" s="179"/>
      <c r="BY55" s="179"/>
      <c r="BZ55" s="179"/>
      <c r="CA55" s="179"/>
      <c r="CB55" s="179"/>
      <c r="CC55" s="179"/>
      <c r="CD55" s="179"/>
      <c r="CE55" s="179"/>
      <c r="CF55" s="179"/>
      <c r="CG55" s="179"/>
      <c r="CH55" s="179"/>
      <c r="CI55" s="179"/>
      <c r="CJ55" s="179"/>
      <c r="CK55" s="179"/>
      <c r="CL55" s="179"/>
      <c r="CM55" s="179"/>
      <c r="CN55" s="179"/>
      <c r="CO55" s="179"/>
      <c r="CP55" s="179"/>
      <c r="CQ55" s="179"/>
      <c r="CR55" s="179"/>
      <c r="CS55" s="179"/>
      <c r="CT55" s="179"/>
      <c r="CU55" s="179"/>
      <c r="CV55" s="179"/>
      <c r="CW55" s="179"/>
      <c r="CX55" s="179"/>
      <c r="CY55" s="179"/>
      <c r="CZ55" s="179"/>
      <c r="DA55" s="179"/>
      <c r="DB55" s="179"/>
      <c r="DC55" s="179"/>
      <c r="DD55" s="179"/>
      <c r="DE55" s="179"/>
      <c r="DF55" s="179"/>
      <c r="DG55" s="179"/>
      <c r="DH55" s="179"/>
      <c r="DI55" s="179"/>
      <c r="DJ55" s="179"/>
      <c r="DK55" s="179"/>
      <c r="DL55" s="179"/>
      <c r="DM55" s="179"/>
      <c r="DN55" s="179"/>
      <c r="DO55" s="179"/>
      <c r="DP55" s="179"/>
      <c r="DQ55" s="179"/>
      <c r="DR55" s="179"/>
      <c r="DS55" s="179"/>
      <c r="DT55" s="179"/>
      <c r="DU55" s="179"/>
      <c r="DV55" s="179"/>
      <c r="DW55" s="179"/>
      <c r="DX55" s="179"/>
      <c r="DY55" s="179"/>
      <c r="DZ55" s="179"/>
      <c r="EA55" s="179"/>
      <c r="EB55" s="179"/>
      <c r="EC55" s="179"/>
      <c r="ED55" s="179"/>
      <c r="EE55" s="179"/>
      <c r="EF55" s="179"/>
      <c r="EG55" s="179"/>
    </row>
    <row r="56" spans="1:137" s="354" customFormat="1" ht="25.5">
      <c r="A56" s="383">
        <v>55</v>
      </c>
      <c r="B56" s="202" t="s">
        <v>2044</v>
      </c>
      <c r="C56" s="203" t="s">
        <v>2263</v>
      </c>
      <c r="D56" s="189" t="s">
        <v>3834</v>
      </c>
      <c r="E56" s="189" t="s">
        <v>3834</v>
      </c>
      <c r="F56" s="203" t="s">
        <v>3909</v>
      </c>
      <c r="G56" s="203" t="s">
        <v>4017</v>
      </c>
      <c r="H56" s="240"/>
      <c r="I56" s="202" t="s">
        <v>5</v>
      </c>
      <c r="J56" s="204">
        <v>43371</v>
      </c>
      <c r="K56" s="178">
        <f t="shared" si="2"/>
        <v>2018</v>
      </c>
      <c r="L56" s="178">
        <f t="shared" si="3"/>
        <v>9</v>
      </c>
      <c r="M56" s="204">
        <v>43378</v>
      </c>
      <c r="N56" s="333" t="s">
        <v>4058</v>
      </c>
      <c r="O56" s="343">
        <v>15</v>
      </c>
      <c r="P56" s="535">
        <f>VLOOKUP(E56,'Cost of items'!$A$3:$C$95,3,0)</f>
        <v>12.498789346246973</v>
      </c>
      <c r="Q56" s="179"/>
      <c r="R56" s="179"/>
      <c r="S56" s="179"/>
      <c r="T56" s="179"/>
      <c r="U56" s="179"/>
      <c r="V56" s="179"/>
      <c r="W56" s="179"/>
      <c r="X56" s="179"/>
      <c r="Y56" s="179"/>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c r="BE56" s="179"/>
      <c r="BF56" s="179"/>
      <c r="BG56" s="179"/>
      <c r="BH56" s="179"/>
      <c r="BI56" s="179"/>
      <c r="BJ56" s="179"/>
      <c r="BK56" s="179"/>
      <c r="BL56" s="179"/>
      <c r="BM56" s="179"/>
      <c r="BN56" s="179"/>
      <c r="BO56" s="179"/>
      <c r="BP56" s="179"/>
      <c r="BQ56" s="179"/>
      <c r="BR56" s="179"/>
      <c r="BS56" s="179"/>
      <c r="BT56" s="179"/>
      <c r="BU56" s="179"/>
      <c r="BV56" s="179"/>
      <c r="BW56" s="179"/>
      <c r="BX56" s="179"/>
      <c r="BY56" s="179"/>
      <c r="BZ56" s="179"/>
      <c r="CA56" s="179"/>
      <c r="CB56" s="179"/>
      <c r="CC56" s="179"/>
      <c r="CD56" s="179"/>
      <c r="CE56" s="179"/>
      <c r="CF56" s="179"/>
      <c r="CG56" s="179"/>
      <c r="CH56" s="179"/>
      <c r="CI56" s="179"/>
      <c r="CJ56" s="179"/>
      <c r="CK56" s="179"/>
      <c r="CL56" s="179"/>
      <c r="CM56" s="179"/>
      <c r="CN56" s="179"/>
      <c r="CO56" s="179"/>
      <c r="CP56" s="179"/>
      <c r="CQ56" s="179"/>
      <c r="CR56" s="179"/>
      <c r="CS56" s="179"/>
      <c r="CT56" s="179"/>
      <c r="CU56" s="179"/>
      <c r="CV56" s="179"/>
      <c r="CW56" s="179"/>
      <c r="CX56" s="179"/>
      <c r="CY56" s="179"/>
      <c r="CZ56" s="179"/>
      <c r="DA56" s="179"/>
      <c r="DB56" s="179"/>
      <c r="DC56" s="179"/>
      <c r="DD56" s="179"/>
      <c r="DE56" s="179"/>
      <c r="DF56" s="179"/>
      <c r="DG56" s="179"/>
      <c r="DH56" s="179"/>
      <c r="DI56" s="179"/>
      <c r="DJ56" s="179"/>
      <c r="DK56" s="179"/>
      <c r="DL56" s="179"/>
      <c r="DM56" s="179"/>
      <c r="DN56" s="179"/>
      <c r="DO56" s="179"/>
      <c r="DP56" s="179"/>
      <c r="DQ56" s="179"/>
      <c r="DR56" s="179"/>
      <c r="DS56" s="179"/>
      <c r="DT56" s="179"/>
      <c r="DU56" s="179"/>
      <c r="DV56" s="179"/>
      <c r="DW56" s="179"/>
      <c r="DX56" s="179"/>
      <c r="DY56" s="179"/>
      <c r="DZ56" s="179"/>
      <c r="EA56" s="179"/>
      <c r="EB56" s="179"/>
      <c r="EC56" s="179"/>
      <c r="ED56" s="179"/>
      <c r="EE56" s="179"/>
      <c r="EF56" s="179"/>
      <c r="EG56" s="179"/>
    </row>
    <row r="57" spans="1:137" s="357" customFormat="1" ht="25.5">
      <c r="A57" s="178">
        <v>56</v>
      </c>
      <c r="B57" s="202" t="s">
        <v>2044</v>
      </c>
      <c r="C57" s="277" t="s">
        <v>2263</v>
      </c>
      <c r="D57" s="189" t="s">
        <v>3834</v>
      </c>
      <c r="E57" s="189" t="s">
        <v>3834</v>
      </c>
      <c r="F57" s="277" t="s">
        <v>3909</v>
      </c>
      <c r="G57" s="277" t="s">
        <v>4017</v>
      </c>
      <c r="H57" s="283"/>
      <c r="I57" s="202" t="s">
        <v>5</v>
      </c>
      <c r="J57" s="278">
        <v>43378</v>
      </c>
      <c r="K57" s="178">
        <f t="shared" si="2"/>
        <v>2018</v>
      </c>
      <c r="L57" s="178">
        <f t="shared" si="3"/>
        <v>10</v>
      </c>
      <c r="M57" s="278">
        <v>43498</v>
      </c>
      <c r="N57" s="333" t="s">
        <v>4058</v>
      </c>
      <c r="O57" s="343">
        <v>15</v>
      </c>
      <c r="P57" s="535">
        <f>VLOOKUP(E57,'Cost of items'!$A$3:$C$95,3,0)</f>
        <v>12.498789346246973</v>
      </c>
      <c r="Q57" s="179"/>
      <c r="R57" s="179"/>
      <c r="S57" s="179"/>
      <c r="T57" s="179"/>
      <c r="U57" s="179"/>
      <c r="V57" s="179"/>
      <c r="W57" s="179"/>
      <c r="X57" s="179"/>
      <c r="Y57" s="179"/>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c r="BE57" s="179"/>
      <c r="BF57" s="179"/>
      <c r="BG57" s="179"/>
      <c r="BH57" s="179"/>
      <c r="BI57" s="179"/>
      <c r="BJ57" s="179"/>
      <c r="BK57" s="179"/>
      <c r="BL57" s="179"/>
      <c r="BM57" s="179"/>
      <c r="BN57" s="179"/>
      <c r="BO57" s="179"/>
      <c r="BP57" s="179"/>
      <c r="BQ57" s="179"/>
      <c r="BR57" s="179"/>
      <c r="BS57" s="179"/>
      <c r="BT57" s="179"/>
      <c r="BU57" s="179"/>
      <c r="BV57" s="179"/>
      <c r="BW57" s="179"/>
      <c r="BX57" s="179"/>
      <c r="BY57" s="179"/>
      <c r="BZ57" s="179"/>
      <c r="CA57" s="179"/>
      <c r="CB57" s="179"/>
      <c r="CC57" s="179"/>
      <c r="CD57" s="179"/>
      <c r="CE57" s="179"/>
      <c r="CF57" s="179"/>
      <c r="CG57" s="179"/>
      <c r="CH57" s="179"/>
      <c r="CI57" s="179"/>
      <c r="CJ57" s="179"/>
      <c r="CK57" s="179"/>
      <c r="CL57" s="179"/>
      <c r="CM57" s="179"/>
      <c r="CN57" s="179"/>
      <c r="CO57" s="179"/>
      <c r="CP57" s="179"/>
      <c r="CQ57" s="179"/>
      <c r="CR57" s="179"/>
      <c r="CS57" s="179"/>
      <c r="CT57" s="179"/>
      <c r="CU57" s="179"/>
      <c r="CV57" s="179"/>
      <c r="CW57" s="179"/>
      <c r="CX57" s="179"/>
      <c r="CY57" s="179"/>
      <c r="CZ57" s="179"/>
      <c r="DA57" s="179"/>
      <c r="DB57" s="179"/>
      <c r="DC57" s="179"/>
      <c r="DD57" s="179"/>
      <c r="DE57" s="179"/>
      <c r="DF57" s="179"/>
      <c r="DG57" s="179"/>
      <c r="DH57" s="179"/>
      <c r="DI57" s="179"/>
      <c r="DJ57" s="179"/>
      <c r="DK57" s="179"/>
      <c r="DL57" s="179"/>
      <c r="DM57" s="179"/>
      <c r="DN57" s="179"/>
      <c r="DO57" s="179"/>
      <c r="DP57" s="179"/>
      <c r="DQ57" s="179"/>
      <c r="DR57" s="179"/>
      <c r="DS57" s="179"/>
      <c r="DT57" s="179"/>
      <c r="DU57" s="179"/>
      <c r="DV57" s="179"/>
      <c r="DW57" s="179"/>
      <c r="DX57" s="179"/>
      <c r="DY57" s="179"/>
      <c r="DZ57" s="179"/>
      <c r="EA57" s="179"/>
      <c r="EB57" s="179"/>
      <c r="EC57" s="179"/>
      <c r="ED57" s="179"/>
      <c r="EE57" s="179"/>
      <c r="EF57" s="179"/>
      <c r="EG57" s="179"/>
    </row>
    <row r="58" spans="1:137" s="357" customFormat="1" ht="25.5">
      <c r="A58" s="383">
        <v>57</v>
      </c>
      <c r="B58" s="202" t="s">
        <v>2044</v>
      </c>
      <c r="C58" s="277" t="s">
        <v>2263</v>
      </c>
      <c r="D58" s="189" t="s">
        <v>3834</v>
      </c>
      <c r="E58" s="189" t="s">
        <v>3834</v>
      </c>
      <c r="F58" s="277" t="s">
        <v>3909</v>
      </c>
      <c r="G58" s="277" t="s">
        <v>4017</v>
      </c>
      <c r="H58" s="283"/>
      <c r="I58" s="202" t="s">
        <v>5</v>
      </c>
      <c r="J58" s="278">
        <v>43378</v>
      </c>
      <c r="K58" s="178">
        <f t="shared" si="2"/>
        <v>2018</v>
      </c>
      <c r="L58" s="178">
        <f t="shared" si="3"/>
        <v>10</v>
      </c>
      <c r="M58" s="278">
        <v>43498</v>
      </c>
      <c r="N58" s="333" t="s">
        <v>4058</v>
      </c>
      <c r="O58" s="343">
        <v>15</v>
      </c>
      <c r="P58" s="535">
        <f>VLOOKUP(E58,'Cost of items'!$A$3:$C$95,3,0)</f>
        <v>12.498789346246973</v>
      </c>
      <c r="Q58" s="179"/>
      <c r="R58" s="179"/>
      <c r="S58" s="179"/>
      <c r="T58" s="179"/>
      <c r="U58" s="179"/>
      <c r="V58" s="179"/>
      <c r="W58" s="179"/>
      <c r="X58" s="179"/>
      <c r="Y58" s="179"/>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c r="BE58" s="179"/>
      <c r="BF58" s="179"/>
      <c r="BG58" s="179"/>
      <c r="BH58" s="179"/>
      <c r="BI58" s="179"/>
      <c r="BJ58" s="179"/>
      <c r="BK58" s="179"/>
      <c r="BL58" s="179"/>
      <c r="BM58" s="179"/>
      <c r="BN58" s="179"/>
      <c r="BO58" s="179"/>
      <c r="BP58" s="179"/>
      <c r="BQ58" s="179"/>
      <c r="BR58" s="179"/>
      <c r="BS58" s="179"/>
      <c r="BT58" s="179"/>
      <c r="BU58" s="179"/>
      <c r="BV58" s="179"/>
      <c r="BW58" s="179"/>
      <c r="BX58" s="179"/>
      <c r="BY58" s="179"/>
      <c r="BZ58" s="179"/>
      <c r="CA58" s="179"/>
      <c r="CB58" s="179"/>
      <c r="CC58" s="179"/>
      <c r="CD58" s="179"/>
      <c r="CE58" s="179"/>
      <c r="CF58" s="179"/>
      <c r="CG58" s="179"/>
      <c r="CH58" s="179"/>
      <c r="CI58" s="179"/>
      <c r="CJ58" s="179"/>
      <c r="CK58" s="179"/>
      <c r="CL58" s="179"/>
      <c r="CM58" s="179"/>
      <c r="CN58" s="179"/>
      <c r="CO58" s="179"/>
      <c r="CP58" s="179"/>
      <c r="CQ58" s="179"/>
      <c r="CR58" s="179"/>
      <c r="CS58" s="179"/>
      <c r="CT58" s="179"/>
      <c r="CU58" s="179"/>
      <c r="CV58" s="179"/>
      <c r="CW58" s="179"/>
      <c r="CX58" s="179"/>
      <c r="CY58" s="179"/>
      <c r="CZ58" s="179"/>
      <c r="DA58" s="179"/>
      <c r="DB58" s="179"/>
      <c r="DC58" s="179"/>
      <c r="DD58" s="179"/>
      <c r="DE58" s="179"/>
      <c r="DF58" s="179"/>
      <c r="DG58" s="179"/>
      <c r="DH58" s="179"/>
      <c r="DI58" s="179"/>
      <c r="DJ58" s="179"/>
      <c r="DK58" s="179"/>
      <c r="DL58" s="179"/>
      <c r="DM58" s="179"/>
      <c r="DN58" s="179"/>
      <c r="DO58" s="179"/>
      <c r="DP58" s="179"/>
      <c r="DQ58" s="179"/>
      <c r="DR58" s="179"/>
      <c r="DS58" s="179"/>
      <c r="DT58" s="179"/>
      <c r="DU58" s="179"/>
      <c r="DV58" s="179"/>
      <c r="DW58" s="179"/>
      <c r="DX58" s="179"/>
      <c r="DY58" s="179"/>
      <c r="DZ58" s="179"/>
      <c r="EA58" s="179"/>
      <c r="EB58" s="179"/>
      <c r="EC58" s="179"/>
      <c r="ED58" s="179"/>
      <c r="EE58" s="179"/>
      <c r="EF58" s="179"/>
      <c r="EG58" s="179"/>
    </row>
    <row r="59" spans="1:137" s="357" customFormat="1" ht="25.5">
      <c r="A59" s="178">
        <v>58</v>
      </c>
      <c r="B59" s="202" t="s">
        <v>2044</v>
      </c>
      <c r="C59" s="277" t="s">
        <v>2263</v>
      </c>
      <c r="D59" s="189" t="s">
        <v>3834</v>
      </c>
      <c r="E59" s="189" t="s">
        <v>3834</v>
      </c>
      <c r="F59" s="277" t="s">
        <v>3909</v>
      </c>
      <c r="G59" s="277" t="s">
        <v>4017</v>
      </c>
      <c r="H59" s="283"/>
      <c r="I59" s="202" t="s">
        <v>5</v>
      </c>
      <c r="J59" s="278">
        <v>43378</v>
      </c>
      <c r="K59" s="178">
        <f t="shared" si="2"/>
        <v>2018</v>
      </c>
      <c r="L59" s="178">
        <f t="shared" si="3"/>
        <v>10</v>
      </c>
      <c r="M59" s="278">
        <v>43498</v>
      </c>
      <c r="N59" s="333" t="s">
        <v>4058</v>
      </c>
      <c r="O59" s="343">
        <v>15</v>
      </c>
      <c r="P59" s="535">
        <f>VLOOKUP(E59,'Cost of items'!$A$3:$C$95,3,0)</f>
        <v>12.498789346246973</v>
      </c>
      <c r="Q59" s="179"/>
      <c r="R59" s="179"/>
      <c r="S59" s="179"/>
      <c r="T59" s="179"/>
      <c r="U59" s="179"/>
      <c r="V59" s="179"/>
      <c r="W59" s="179"/>
      <c r="X59" s="179"/>
      <c r="Y59" s="179"/>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c r="BE59" s="179"/>
      <c r="BF59" s="179"/>
      <c r="BG59" s="179"/>
      <c r="BH59" s="179"/>
      <c r="BI59" s="179"/>
      <c r="BJ59" s="179"/>
      <c r="BK59" s="179"/>
      <c r="BL59" s="179"/>
      <c r="BM59" s="179"/>
      <c r="BN59" s="179"/>
      <c r="BO59" s="179"/>
      <c r="BP59" s="179"/>
      <c r="BQ59" s="179"/>
      <c r="BR59" s="179"/>
      <c r="BS59" s="179"/>
      <c r="BT59" s="179"/>
      <c r="BU59" s="179"/>
      <c r="BV59" s="179"/>
      <c r="BW59" s="179"/>
      <c r="BX59" s="179"/>
      <c r="BY59" s="179"/>
      <c r="BZ59" s="179"/>
      <c r="CA59" s="179"/>
      <c r="CB59" s="179"/>
      <c r="CC59" s="179"/>
      <c r="CD59" s="179"/>
      <c r="CE59" s="179"/>
      <c r="CF59" s="179"/>
      <c r="CG59" s="179"/>
      <c r="CH59" s="179"/>
      <c r="CI59" s="179"/>
      <c r="CJ59" s="179"/>
      <c r="CK59" s="179"/>
      <c r="CL59" s="179"/>
      <c r="CM59" s="179"/>
      <c r="CN59" s="179"/>
      <c r="CO59" s="179"/>
      <c r="CP59" s="179"/>
      <c r="CQ59" s="179"/>
      <c r="CR59" s="179"/>
      <c r="CS59" s="179"/>
      <c r="CT59" s="179"/>
      <c r="CU59" s="179"/>
      <c r="CV59" s="179"/>
      <c r="CW59" s="179"/>
      <c r="CX59" s="179"/>
      <c r="CY59" s="179"/>
      <c r="CZ59" s="179"/>
      <c r="DA59" s="179"/>
      <c r="DB59" s="179"/>
      <c r="DC59" s="179"/>
      <c r="DD59" s="179"/>
      <c r="DE59" s="179"/>
      <c r="DF59" s="179"/>
      <c r="DG59" s="179"/>
      <c r="DH59" s="179"/>
      <c r="DI59" s="179"/>
      <c r="DJ59" s="179"/>
      <c r="DK59" s="179"/>
      <c r="DL59" s="179"/>
      <c r="DM59" s="179"/>
      <c r="DN59" s="179"/>
      <c r="DO59" s="179"/>
      <c r="DP59" s="179"/>
      <c r="DQ59" s="179"/>
      <c r="DR59" s="179"/>
      <c r="DS59" s="179"/>
      <c r="DT59" s="179"/>
      <c r="DU59" s="179"/>
      <c r="DV59" s="179"/>
      <c r="DW59" s="179"/>
      <c r="DX59" s="179"/>
      <c r="DY59" s="179"/>
      <c r="DZ59" s="179"/>
      <c r="EA59" s="179"/>
      <c r="EB59" s="179"/>
      <c r="EC59" s="179"/>
      <c r="ED59" s="179"/>
      <c r="EE59" s="179"/>
      <c r="EF59" s="179"/>
      <c r="EG59" s="179"/>
    </row>
    <row r="60" spans="1:137" s="357" customFormat="1" ht="25.5">
      <c r="A60" s="383">
        <v>59</v>
      </c>
      <c r="B60" s="202" t="s">
        <v>2044</v>
      </c>
      <c r="C60" s="277" t="s">
        <v>2263</v>
      </c>
      <c r="D60" s="189" t="s">
        <v>3834</v>
      </c>
      <c r="E60" s="189" t="s">
        <v>3834</v>
      </c>
      <c r="F60" s="277" t="s">
        <v>3910</v>
      </c>
      <c r="G60" s="277" t="s">
        <v>4017</v>
      </c>
      <c r="H60" s="283"/>
      <c r="I60" s="202" t="s">
        <v>5</v>
      </c>
      <c r="J60" s="278">
        <v>43378</v>
      </c>
      <c r="K60" s="178">
        <f t="shared" si="2"/>
        <v>2018</v>
      </c>
      <c r="L60" s="178">
        <f t="shared" si="3"/>
        <v>10</v>
      </c>
      <c r="M60" s="278">
        <v>43498</v>
      </c>
      <c r="N60" s="333" t="s">
        <v>4058</v>
      </c>
      <c r="O60" s="343">
        <v>15</v>
      </c>
      <c r="P60" s="535">
        <f>VLOOKUP(E60,'Cost of items'!$A$3:$C$95,3,0)</f>
        <v>12.498789346246973</v>
      </c>
      <c r="Q60" s="179"/>
      <c r="R60" s="179"/>
      <c r="S60" s="179"/>
      <c r="T60" s="179"/>
      <c r="U60" s="179"/>
      <c r="V60" s="179"/>
      <c r="W60" s="179"/>
      <c r="X60" s="179"/>
      <c r="Y60" s="179"/>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c r="BE60" s="179"/>
      <c r="BF60" s="179"/>
      <c r="BG60" s="179"/>
      <c r="BH60" s="179"/>
      <c r="BI60" s="179"/>
      <c r="BJ60" s="179"/>
      <c r="BK60" s="179"/>
      <c r="BL60" s="179"/>
      <c r="BM60" s="179"/>
      <c r="BN60" s="179"/>
      <c r="BO60" s="179"/>
      <c r="BP60" s="179"/>
      <c r="BQ60" s="179"/>
      <c r="BR60" s="179"/>
      <c r="BS60" s="179"/>
      <c r="BT60" s="179"/>
      <c r="BU60" s="179"/>
      <c r="BV60" s="179"/>
      <c r="BW60" s="179"/>
      <c r="BX60" s="179"/>
      <c r="BY60" s="179"/>
      <c r="BZ60" s="179"/>
      <c r="CA60" s="179"/>
      <c r="CB60" s="179"/>
      <c r="CC60" s="179"/>
      <c r="CD60" s="179"/>
      <c r="CE60" s="179"/>
      <c r="CF60" s="179"/>
      <c r="CG60" s="179"/>
      <c r="CH60" s="179"/>
      <c r="CI60" s="179"/>
      <c r="CJ60" s="179"/>
      <c r="CK60" s="179"/>
      <c r="CL60" s="179"/>
      <c r="CM60" s="179"/>
      <c r="CN60" s="179"/>
      <c r="CO60" s="179"/>
      <c r="CP60" s="179"/>
      <c r="CQ60" s="179"/>
      <c r="CR60" s="179"/>
      <c r="CS60" s="179"/>
      <c r="CT60" s="179"/>
      <c r="CU60" s="179"/>
      <c r="CV60" s="179"/>
      <c r="CW60" s="179"/>
      <c r="CX60" s="179"/>
      <c r="CY60" s="179"/>
      <c r="CZ60" s="179"/>
      <c r="DA60" s="179"/>
      <c r="DB60" s="179"/>
      <c r="DC60" s="179"/>
      <c r="DD60" s="179"/>
      <c r="DE60" s="179"/>
      <c r="DF60" s="179"/>
      <c r="DG60" s="179"/>
      <c r="DH60" s="179"/>
      <c r="DI60" s="179"/>
      <c r="DJ60" s="179"/>
      <c r="DK60" s="179"/>
      <c r="DL60" s="179"/>
      <c r="DM60" s="179"/>
      <c r="DN60" s="179"/>
      <c r="DO60" s="179"/>
      <c r="DP60" s="179"/>
      <c r="DQ60" s="179"/>
      <c r="DR60" s="179"/>
      <c r="DS60" s="179"/>
      <c r="DT60" s="179"/>
      <c r="DU60" s="179"/>
      <c r="DV60" s="179"/>
      <c r="DW60" s="179"/>
      <c r="DX60" s="179"/>
      <c r="DY60" s="179"/>
      <c r="DZ60" s="179"/>
      <c r="EA60" s="179"/>
      <c r="EB60" s="179"/>
      <c r="EC60" s="179"/>
      <c r="ED60" s="179"/>
      <c r="EE60" s="179"/>
      <c r="EF60" s="179"/>
      <c r="EG60" s="179"/>
    </row>
    <row r="61" spans="1:137" s="357" customFormat="1" ht="25.5">
      <c r="A61" s="178">
        <v>60</v>
      </c>
      <c r="B61" s="202" t="s">
        <v>2044</v>
      </c>
      <c r="C61" s="277" t="s">
        <v>2263</v>
      </c>
      <c r="D61" s="189" t="s">
        <v>3834</v>
      </c>
      <c r="E61" s="189" t="s">
        <v>3834</v>
      </c>
      <c r="F61" s="277" t="s">
        <v>3911</v>
      </c>
      <c r="G61" s="277" t="s">
        <v>4017</v>
      </c>
      <c r="H61" s="283"/>
      <c r="I61" s="202" t="s">
        <v>5</v>
      </c>
      <c r="J61" s="278">
        <v>43378</v>
      </c>
      <c r="K61" s="178">
        <f t="shared" si="2"/>
        <v>2018</v>
      </c>
      <c r="L61" s="178">
        <f t="shared" si="3"/>
        <v>10</v>
      </c>
      <c r="M61" s="278">
        <v>43498</v>
      </c>
      <c r="N61" s="333" t="s">
        <v>4058</v>
      </c>
      <c r="O61" s="343">
        <v>15</v>
      </c>
      <c r="P61" s="535">
        <f>VLOOKUP(E61,'Cost of items'!$A$3:$C$95,3,0)</f>
        <v>12.498789346246973</v>
      </c>
      <c r="Q61" s="179"/>
      <c r="R61" s="179"/>
      <c r="S61" s="179"/>
      <c r="T61" s="179"/>
      <c r="U61" s="179"/>
      <c r="V61" s="179"/>
      <c r="W61" s="179"/>
      <c r="X61" s="179"/>
      <c r="Y61" s="179"/>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c r="BE61" s="179"/>
      <c r="BF61" s="179"/>
      <c r="BG61" s="179"/>
      <c r="BH61" s="179"/>
      <c r="BI61" s="179"/>
      <c r="BJ61" s="179"/>
      <c r="BK61" s="179"/>
      <c r="BL61" s="179"/>
      <c r="BM61" s="179"/>
      <c r="BN61" s="179"/>
      <c r="BO61" s="179"/>
      <c r="BP61" s="179"/>
      <c r="BQ61" s="179"/>
      <c r="BR61" s="179"/>
      <c r="BS61" s="179"/>
      <c r="BT61" s="179"/>
      <c r="BU61" s="179"/>
      <c r="BV61" s="179"/>
      <c r="BW61" s="179"/>
      <c r="BX61" s="179"/>
      <c r="BY61" s="179"/>
      <c r="BZ61" s="179"/>
      <c r="CA61" s="179"/>
      <c r="CB61" s="179"/>
      <c r="CC61" s="179"/>
      <c r="CD61" s="179"/>
      <c r="CE61" s="179"/>
      <c r="CF61" s="179"/>
      <c r="CG61" s="179"/>
      <c r="CH61" s="179"/>
      <c r="CI61" s="179"/>
      <c r="CJ61" s="179"/>
      <c r="CK61" s="179"/>
      <c r="CL61" s="179"/>
      <c r="CM61" s="179"/>
      <c r="CN61" s="179"/>
      <c r="CO61" s="179"/>
      <c r="CP61" s="179"/>
      <c r="CQ61" s="179"/>
      <c r="CR61" s="179"/>
      <c r="CS61" s="179"/>
      <c r="CT61" s="179"/>
      <c r="CU61" s="179"/>
      <c r="CV61" s="179"/>
      <c r="CW61" s="179"/>
      <c r="CX61" s="179"/>
      <c r="CY61" s="179"/>
      <c r="CZ61" s="179"/>
      <c r="DA61" s="179"/>
      <c r="DB61" s="179"/>
      <c r="DC61" s="179"/>
      <c r="DD61" s="179"/>
      <c r="DE61" s="179"/>
      <c r="DF61" s="179"/>
      <c r="DG61" s="179"/>
      <c r="DH61" s="179"/>
      <c r="DI61" s="179"/>
      <c r="DJ61" s="179"/>
      <c r="DK61" s="179"/>
      <c r="DL61" s="179"/>
      <c r="DM61" s="179"/>
      <c r="DN61" s="179"/>
      <c r="DO61" s="179"/>
      <c r="DP61" s="179"/>
      <c r="DQ61" s="179"/>
      <c r="DR61" s="179"/>
      <c r="DS61" s="179"/>
      <c r="DT61" s="179"/>
      <c r="DU61" s="179"/>
      <c r="DV61" s="179"/>
      <c r="DW61" s="179"/>
      <c r="DX61" s="179"/>
      <c r="DY61" s="179"/>
      <c r="DZ61" s="179"/>
      <c r="EA61" s="179"/>
      <c r="EB61" s="179"/>
      <c r="EC61" s="179"/>
      <c r="ED61" s="179"/>
      <c r="EE61" s="179"/>
      <c r="EF61" s="179"/>
      <c r="EG61" s="179"/>
    </row>
    <row r="62" spans="1:137" s="357" customFormat="1" ht="25.5">
      <c r="A62" s="383">
        <v>61</v>
      </c>
      <c r="B62" s="202" t="s">
        <v>2044</v>
      </c>
      <c r="C62" s="277" t="s">
        <v>2263</v>
      </c>
      <c r="D62" s="189" t="s">
        <v>3834</v>
      </c>
      <c r="E62" s="189" t="s">
        <v>3834</v>
      </c>
      <c r="F62" s="277" t="s">
        <v>3912</v>
      </c>
      <c r="G62" s="277" t="s">
        <v>4017</v>
      </c>
      <c r="H62" s="283"/>
      <c r="I62" s="202" t="s">
        <v>5</v>
      </c>
      <c r="J62" s="278">
        <v>43378</v>
      </c>
      <c r="K62" s="178">
        <f t="shared" si="2"/>
        <v>2018</v>
      </c>
      <c r="L62" s="178">
        <f t="shared" si="3"/>
        <v>10</v>
      </c>
      <c r="M62" s="278">
        <v>43498</v>
      </c>
      <c r="N62" s="333" t="s">
        <v>4058</v>
      </c>
      <c r="O62" s="343">
        <v>15</v>
      </c>
      <c r="P62" s="535">
        <f>VLOOKUP(E62,'Cost of items'!$A$3:$C$95,3,0)</f>
        <v>12.498789346246973</v>
      </c>
      <c r="Q62" s="179"/>
      <c r="R62" s="179"/>
      <c r="S62" s="179"/>
      <c r="T62" s="179"/>
      <c r="U62" s="179"/>
      <c r="V62" s="179"/>
      <c r="W62" s="179"/>
      <c r="X62" s="179"/>
      <c r="Y62" s="179"/>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c r="BE62" s="179"/>
      <c r="BF62" s="179"/>
      <c r="BG62" s="179"/>
      <c r="BH62" s="179"/>
      <c r="BI62" s="179"/>
      <c r="BJ62" s="179"/>
      <c r="BK62" s="179"/>
      <c r="BL62" s="179"/>
      <c r="BM62" s="179"/>
      <c r="BN62" s="179"/>
      <c r="BO62" s="179"/>
      <c r="BP62" s="179"/>
      <c r="BQ62" s="179"/>
      <c r="BR62" s="179"/>
      <c r="BS62" s="179"/>
      <c r="BT62" s="179"/>
      <c r="BU62" s="179"/>
      <c r="BV62" s="179"/>
      <c r="BW62" s="179"/>
      <c r="BX62" s="179"/>
      <c r="BY62" s="179"/>
      <c r="BZ62" s="179"/>
      <c r="CA62" s="179"/>
      <c r="CB62" s="179"/>
      <c r="CC62" s="179"/>
      <c r="CD62" s="179"/>
      <c r="CE62" s="179"/>
      <c r="CF62" s="179"/>
      <c r="CG62" s="179"/>
      <c r="CH62" s="179"/>
      <c r="CI62" s="179"/>
      <c r="CJ62" s="179"/>
      <c r="CK62" s="179"/>
      <c r="CL62" s="179"/>
      <c r="CM62" s="179"/>
      <c r="CN62" s="179"/>
      <c r="CO62" s="179"/>
      <c r="CP62" s="179"/>
      <c r="CQ62" s="179"/>
      <c r="CR62" s="179"/>
      <c r="CS62" s="179"/>
      <c r="CT62" s="179"/>
      <c r="CU62" s="179"/>
      <c r="CV62" s="179"/>
      <c r="CW62" s="179"/>
      <c r="CX62" s="179"/>
      <c r="CY62" s="179"/>
      <c r="CZ62" s="179"/>
      <c r="DA62" s="179"/>
      <c r="DB62" s="179"/>
      <c r="DC62" s="179"/>
      <c r="DD62" s="179"/>
      <c r="DE62" s="179"/>
      <c r="DF62" s="179"/>
      <c r="DG62" s="179"/>
      <c r="DH62" s="179"/>
      <c r="DI62" s="179"/>
      <c r="DJ62" s="179"/>
      <c r="DK62" s="179"/>
      <c r="DL62" s="179"/>
      <c r="DM62" s="179"/>
      <c r="DN62" s="179"/>
      <c r="DO62" s="179"/>
      <c r="DP62" s="179"/>
      <c r="DQ62" s="179"/>
      <c r="DR62" s="179"/>
      <c r="DS62" s="179"/>
      <c r="DT62" s="179"/>
      <c r="DU62" s="179"/>
      <c r="DV62" s="179"/>
      <c r="DW62" s="179"/>
      <c r="DX62" s="179"/>
      <c r="DY62" s="179"/>
      <c r="DZ62" s="179"/>
      <c r="EA62" s="179"/>
      <c r="EB62" s="179"/>
      <c r="EC62" s="179"/>
      <c r="ED62" s="179"/>
      <c r="EE62" s="179"/>
      <c r="EF62" s="179"/>
      <c r="EG62" s="179"/>
    </row>
    <row r="63" spans="1:137" s="357" customFormat="1" ht="25.5">
      <c r="A63" s="178">
        <v>62</v>
      </c>
      <c r="B63" s="202" t="s">
        <v>2044</v>
      </c>
      <c r="C63" s="277" t="s">
        <v>2263</v>
      </c>
      <c r="D63" s="189" t="s">
        <v>3834</v>
      </c>
      <c r="E63" s="189" t="s">
        <v>3834</v>
      </c>
      <c r="F63" s="277" t="s">
        <v>3912</v>
      </c>
      <c r="G63" s="277" t="s">
        <v>4017</v>
      </c>
      <c r="H63" s="283"/>
      <c r="I63" s="202" t="s">
        <v>5</v>
      </c>
      <c r="J63" s="278">
        <v>43378</v>
      </c>
      <c r="K63" s="178">
        <f t="shared" si="2"/>
        <v>2018</v>
      </c>
      <c r="L63" s="178">
        <f t="shared" si="3"/>
        <v>10</v>
      </c>
      <c r="M63" s="278">
        <v>43498</v>
      </c>
      <c r="N63" s="333" t="s">
        <v>4058</v>
      </c>
      <c r="O63" s="343">
        <v>15</v>
      </c>
      <c r="P63" s="535">
        <f>VLOOKUP(E63,'Cost of items'!$A$3:$C$95,3,0)</f>
        <v>12.498789346246973</v>
      </c>
      <c r="Q63" s="179"/>
      <c r="R63" s="179"/>
      <c r="S63" s="179"/>
      <c r="T63" s="179"/>
      <c r="U63" s="179"/>
      <c r="V63" s="179"/>
      <c r="W63" s="179"/>
      <c r="X63" s="179"/>
      <c r="Y63" s="179"/>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c r="BE63" s="179"/>
      <c r="BF63" s="179"/>
      <c r="BG63" s="179"/>
      <c r="BH63" s="179"/>
      <c r="BI63" s="179"/>
      <c r="BJ63" s="179"/>
      <c r="BK63" s="179"/>
      <c r="BL63" s="179"/>
      <c r="BM63" s="179"/>
      <c r="BN63" s="179"/>
      <c r="BO63" s="179"/>
      <c r="BP63" s="179"/>
      <c r="BQ63" s="179"/>
      <c r="BR63" s="179"/>
      <c r="BS63" s="179"/>
      <c r="BT63" s="179"/>
      <c r="BU63" s="179"/>
      <c r="BV63" s="179"/>
      <c r="BW63" s="179"/>
      <c r="BX63" s="179"/>
      <c r="BY63" s="179"/>
      <c r="BZ63" s="179"/>
      <c r="CA63" s="179"/>
      <c r="CB63" s="179"/>
      <c r="CC63" s="179"/>
      <c r="CD63" s="179"/>
      <c r="CE63" s="179"/>
      <c r="CF63" s="179"/>
      <c r="CG63" s="179"/>
      <c r="CH63" s="179"/>
      <c r="CI63" s="179"/>
      <c r="CJ63" s="179"/>
      <c r="CK63" s="179"/>
      <c r="CL63" s="179"/>
      <c r="CM63" s="179"/>
      <c r="CN63" s="179"/>
      <c r="CO63" s="179"/>
      <c r="CP63" s="179"/>
      <c r="CQ63" s="179"/>
      <c r="CR63" s="179"/>
      <c r="CS63" s="179"/>
      <c r="CT63" s="179"/>
      <c r="CU63" s="179"/>
      <c r="CV63" s="179"/>
      <c r="CW63" s="179"/>
      <c r="CX63" s="179"/>
      <c r="CY63" s="179"/>
      <c r="CZ63" s="179"/>
      <c r="DA63" s="179"/>
      <c r="DB63" s="179"/>
      <c r="DC63" s="179"/>
      <c r="DD63" s="179"/>
      <c r="DE63" s="179"/>
      <c r="DF63" s="179"/>
      <c r="DG63" s="179"/>
      <c r="DH63" s="179"/>
      <c r="DI63" s="179"/>
      <c r="DJ63" s="179"/>
      <c r="DK63" s="179"/>
      <c r="DL63" s="179"/>
      <c r="DM63" s="179"/>
      <c r="DN63" s="179"/>
      <c r="DO63" s="179"/>
      <c r="DP63" s="179"/>
      <c r="DQ63" s="179"/>
      <c r="DR63" s="179"/>
      <c r="DS63" s="179"/>
      <c r="DT63" s="179"/>
      <c r="DU63" s="179"/>
      <c r="DV63" s="179"/>
      <c r="DW63" s="179"/>
      <c r="DX63" s="179"/>
      <c r="DY63" s="179"/>
      <c r="DZ63" s="179"/>
      <c r="EA63" s="179"/>
      <c r="EB63" s="179"/>
      <c r="EC63" s="179"/>
      <c r="ED63" s="179"/>
      <c r="EE63" s="179"/>
      <c r="EF63" s="179"/>
      <c r="EG63" s="179"/>
    </row>
    <row r="64" spans="1:137" s="354" customFormat="1" ht="51">
      <c r="A64" s="383">
        <v>63</v>
      </c>
      <c r="B64" s="202" t="s">
        <v>2044</v>
      </c>
      <c r="C64" s="203" t="s">
        <v>2273</v>
      </c>
      <c r="D64" s="203" t="s">
        <v>4070</v>
      </c>
      <c r="E64" s="189" t="s">
        <v>2269</v>
      </c>
      <c r="F64" s="203" t="s">
        <v>3913</v>
      </c>
      <c r="G64" s="203" t="s">
        <v>4019</v>
      </c>
      <c r="H64" s="240"/>
      <c r="I64" s="202" t="s">
        <v>5</v>
      </c>
      <c r="J64" s="204">
        <v>43386</v>
      </c>
      <c r="K64" s="178">
        <f t="shared" si="2"/>
        <v>2018</v>
      </c>
      <c r="L64" s="178">
        <f t="shared" si="3"/>
        <v>10</v>
      </c>
      <c r="M64" s="204">
        <v>43403</v>
      </c>
      <c r="N64" s="333" t="s">
        <v>4058</v>
      </c>
      <c r="O64" s="343">
        <v>23</v>
      </c>
      <c r="P64" s="535">
        <f>VLOOKUP(E64,'Cost of items'!$A$3:$C$95,3,0)</f>
        <v>16.780423280423278</v>
      </c>
      <c r="Q64" s="179"/>
      <c r="R64" s="179"/>
      <c r="S64" s="179"/>
      <c r="T64" s="179"/>
      <c r="U64" s="179"/>
      <c r="V64" s="179"/>
      <c r="W64" s="179"/>
      <c r="X64" s="179"/>
      <c r="Y64" s="179"/>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c r="BE64" s="179"/>
      <c r="BF64" s="179"/>
      <c r="BG64" s="179"/>
      <c r="BH64" s="179"/>
      <c r="BI64" s="179"/>
      <c r="BJ64" s="179"/>
      <c r="BK64" s="179"/>
      <c r="BL64" s="179"/>
      <c r="BM64" s="179"/>
      <c r="BN64" s="179"/>
      <c r="BO64" s="179"/>
      <c r="BP64" s="179"/>
      <c r="BQ64" s="179"/>
      <c r="BR64" s="179"/>
      <c r="BS64" s="179"/>
      <c r="BT64" s="179"/>
      <c r="BU64" s="179"/>
      <c r="BV64" s="179"/>
      <c r="BW64" s="179"/>
      <c r="BX64" s="179"/>
      <c r="BY64" s="179"/>
      <c r="BZ64" s="179"/>
      <c r="CA64" s="179"/>
      <c r="CB64" s="179"/>
      <c r="CC64" s="179"/>
      <c r="CD64" s="179"/>
      <c r="CE64" s="179"/>
      <c r="CF64" s="179"/>
      <c r="CG64" s="179"/>
      <c r="CH64" s="179"/>
      <c r="CI64" s="179"/>
      <c r="CJ64" s="179"/>
      <c r="CK64" s="179"/>
      <c r="CL64" s="179"/>
      <c r="CM64" s="179"/>
      <c r="CN64" s="179"/>
      <c r="CO64" s="179"/>
      <c r="CP64" s="179"/>
      <c r="CQ64" s="179"/>
      <c r="CR64" s="179"/>
      <c r="CS64" s="179"/>
      <c r="CT64" s="179"/>
      <c r="CU64" s="179"/>
      <c r="CV64" s="179"/>
      <c r="CW64" s="179"/>
      <c r="CX64" s="179"/>
      <c r="CY64" s="179"/>
      <c r="CZ64" s="179"/>
      <c r="DA64" s="179"/>
      <c r="DB64" s="179"/>
      <c r="DC64" s="179"/>
      <c r="DD64" s="179"/>
      <c r="DE64" s="179"/>
      <c r="DF64" s="179"/>
      <c r="DG64" s="179"/>
      <c r="DH64" s="179"/>
      <c r="DI64" s="179"/>
      <c r="DJ64" s="179"/>
      <c r="DK64" s="179"/>
      <c r="DL64" s="179"/>
      <c r="DM64" s="179"/>
      <c r="DN64" s="179"/>
      <c r="DO64" s="179"/>
      <c r="DP64" s="179"/>
      <c r="DQ64" s="179"/>
      <c r="DR64" s="179"/>
      <c r="DS64" s="179"/>
      <c r="DT64" s="179"/>
      <c r="DU64" s="179"/>
      <c r="DV64" s="179"/>
      <c r="DW64" s="179"/>
      <c r="DX64" s="179"/>
      <c r="DY64" s="179"/>
      <c r="DZ64" s="179"/>
      <c r="EA64" s="179"/>
      <c r="EB64" s="179"/>
      <c r="EC64" s="179"/>
      <c r="ED64" s="179"/>
      <c r="EE64" s="179"/>
      <c r="EF64" s="179"/>
      <c r="EG64" s="179"/>
    </row>
    <row r="65" spans="1:137" s="354" customFormat="1" ht="26.25" thickBot="1">
      <c r="A65" s="178">
        <v>64</v>
      </c>
      <c r="B65" s="202" t="s">
        <v>2044</v>
      </c>
      <c r="C65" s="203" t="s">
        <v>2273</v>
      </c>
      <c r="D65" s="13" t="s">
        <v>3971</v>
      </c>
      <c r="E65" s="189" t="s">
        <v>3836</v>
      </c>
      <c r="F65" s="203" t="s">
        <v>3914</v>
      </c>
      <c r="G65" s="203" t="s">
        <v>3836</v>
      </c>
      <c r="H65" s="240"/>
      <c r="I65" s="202" t="s">
        <v>5</v>
      </c>
      <c r="J65" s="204">
        <v>43386</v>
      </c>
      <c r="K65" s="178">
        <f t="shared" si="2"/>
        <v>2018</v>
      </c>
      <c r="L65" s="178">
        <f t="shared" si="3"/>
        <v>10</v>
      </c>
      <c r="M65" s="204">
        <v>43403</v>
      </c>
      <c r="N65" s="333" t="s">
        <v>4058</v>
      </c>
      <c r="O65" s="343">
        <v>8</v>
      </c>
      <c r="P65" s="535">
        <f>VLOOKUP(E65,'Cost of items'!$A$3:$C$95,3,0)</f>
        <v>4.1349206349206344</v>
      </c>
      <c r="Q65" s="179"/>
      <c r="R65" s="179"/>
      <c r="S65" s="179"/>
      <c r="T65" s="179"/>
      <c r="U65" s="179"/>
      <c r="V65" s="179"/>
      <c r="W65" s="179"/>
      <c r="X65" s="179"/>
      <c r="Y65" s="179"/>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c r="BE65" s="179"/>
      <c r="BF65" s="179"/>
      <c r="BG65" s="179"/>
      <c r="BH65" s="179"/>
      <c r="BI65" s="179"/>
      <c r="BJ65" s="179"/>
      <c r="BK65" s="179"/>
      <c r="BL65" s="179"/>
      <c r="BM65" s="179"/>
      <c r="BN65" s="179"/>
      <c r="BO65" s="179"/>
      <c r="BP65" s="179"/>
      <c r="BQ65" s="179"/>
      <c r="BR65" s="179"/>
      <c r="BS65" s="179"/>
      <c r="BT65" s="179"/>
      <c r="BU65" s="179"/>
      <c r="BV65" s="179"/>
      <c r="BW65" s="179"/>
      <c r="BX65" s="179"/>
      <c r="BY65" s="179"/>
      <c r="BZ65" s="179"/>
      <c r="CA65" s="179"/>
      <c r="CB65" s="179"/>
      <c r="CC65" s="179"/>
      <c r="CD65" s="179"/>
      <c r="CE65" s="179"/>
      <c r="CF65" s="179"/>
      <c r="CG65" s="179"/>
      <c r="CH65" s="179"/>
      <c r="CI65" s="179"/>
      <c r="CJ65" s="179"/>
      <c r="CK65" s="179"/>
      <c r="CL65" s="179"/>
      <c r="CM65" s="179"/>
      <c r="CN65" s="179"/>
      <c r="CO65" s="179"/>
      <c r="CP65" s="179"/>
      <c r="CQ65" s="179"/>
      <c r="CR65" s="179"/>
      <c r="CS65" s="179"/>
      <c r="CT65" s="179"/>
      <c r="CU65" s="179"/>
      <c r="CV65" s="179"/>
      <c r="CW65" s="179"/>
      <c r="CX65" s="179"/>
      <c r="CY65" s="179"/>
      <c r="CZ65" s="179"/>
      <c r="DA65" s="179"/>
      <c r="DB65" s="179"/>
      <c r="DC65" s="179"/>
      <c r="DD65" s="179"/>
      <c r="DE65" s="179"/>
      <c r="DF65" s="179"/>
      <c r="DG65" s="179"/>
      <c r="DH65" s="179"/>
      <c r="DI65" s="179"/>
      <c r="DJ65" s="179"/>
      <c r="DK65" s="179"/>
      <c r="DL65" s="179"/>
      <c r="DM65" s="179"/>
      <c r="DN65" s="179"/>
      <c r="DO65" s="179"/>
      <c r="DP65" s="179"/>
      <c r="DQ65" s="179"/>
      <c r="DR65" s="179"/>
      <c r="DS65" s="179"/>
      <c r="DT65" s="179"/>
      <c r="DU65" s="179"/>
      <c r="DV65" s="179"/>
      <c r="DW65" s="179"/>
      <c r="DX65" s="179"/>
      <c r="DY65" s="179"/>
      <c r="DZ65" s="179"/>
      <c r="EA65" s="179"/>
      <c r="EB65" s="179"/>
      <c r="EC65" s="179"/>
      <c r="ED65" s="179"/>
      <c r="EE65" s="179"/>
      <c r="EF65" s="179"/>
      <c r="EG65" s="179"/>
    </row>
    <row r="66" spans="1:137" s="354" customFormat="1" ht="25.5">
      <c r="A66" s="383">
        <v>65</v>
      </c>
      <c r="B66" s="202" t="s">
        <v>2044</v>
      </c>
      <c r="C66" s="203" t="s">
        <v>2292</v>
      </c>
      <c r="D66" s="526" t="s">
        <v>3971</v>
      </c>
      <c r="E66" s="385" t="s">
        <v>4021</v>
      </c>
      <c r="F66" s="203" t="s">
        <v>3916</v>
      </c>
      <c r="G66" s="203" t="s">
        <v>4021</v>
      </c>
      <c r="H66" s="240"/>
      <c r="I66" s="202" t="s">
        <v>5</v>
      </c>
      <c r="J66" s="204">
        <v>43379</v>
      </c>
      <c r="K66" s="178">
        <f t="shared" si="2"/>
        <v>2018</v>
      </c>
      <c r="L66" s="178">
        <f t="shared" si="3"/>
        <v>10</v>
      </c>
      <c r="M66" s="204">
        <v>43412</v>
      </c>
      <c r="N66" s="333" t="s">
        <v>4058</v>
      </c>
      <c r="O66" s="343">
        <v>8</v>
      </c>
      <c r="P66" s="535">
        <f>VLOOKUP(E66,'Cost of items'!$A$3:$C$95,3,0)</f>
        <v>4.8114285714285714</v>
      </c>
      <c r="Q66" s="179"/>
      <c r="R66" s="179"/>
      <c r="S66" s="179"/>
      <c r="T66" s="179"/>
      <c r="U66" s="179"/>
      <c r="V66" s="179"/>
      <c r="W66" s="179"/>
      <c r="X66" s="179"/>
      <c r="Y66" s="179"/>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c r="BE66" s="179"/>
      <c r="BF66" s="179"/>
      <c r="BG66" s="179"/>
      <c r="BH66" s="179"/>
      <c r="BI66" s="179"/>
      <c r="BJ66" s="179"/>
      <c r="BK66" s="179"/>
      <c r="BL66" s="179"/>
      <c r="BM66" s="179"/>
      <c r="BN66" s="179"/>
      <c r="BO66" s="179"/>
      <c r="BP66" s="179"/>
      <c r="BQ66" s="179"/>
      <c r="BR66" s="179"/>
      <c r="BS66" s="179"/>
      <c r="BT66" s="179"/>
      <c r="BU66" s="179"/>
      <c r="BV66" s="179"/>
      <c r="BW66" s="179"/>
      <c r="BX66" s="179"/>
      <c r="BY66" s="179"/>
      <c r="BZ66" s="179"/>
      <c r="CA66" s="179"/>
      <c r="CB66" s="179"/>
      <c r="CC66" s="179"/>
      <c r="CD66" s="179"/>
      <c r="CE66" s="179"/>
      <c r="CF66" s="179"/>
      <c r="CG66" s="179"/>
      <c r="CH66" s="179"/>
      <c r="CI66" s="179"/>
      <c r="CJ66" s="179"/>
      <c r="CK66" s="179"/>
      <c r="CL66" s="179"/>
      <c r="CM66" s="179"/>
      <c r="CN66" s="179"/>
      <c r="CO66" s="179"/>
      <c r="CP66" s="179"/>
      <c r="CQ66" s="179"/>
      <c r="CR66" s="179"/>
      <c r="CS66" s="179"/>
      <c r="CT66" s="179"/>
      <c r="CU66" s="179"/>
      <c r="CV66" s="179"/>
      <c r="CW66" s="179"/>
      <c r="CX66" s="179"/>
      <c r="CY66" s="179"/>
      <c r="CZ66" s="179"/>
      <c r="DA66" s="179"/>
      <c r="DB66" s="179"/>
      <c r="DC66" s="179"/>
      <c r="DD66" s="179"/>
      <c r="DE66" s="179"/>
      <c r="DF66" s="179"/>
      <c r="DG66" s="179"/>
      <c r="DH66" s="179"/>
      <c r="DI66" s="179"/>
      <c r="DJ66" s="179"/>
      <c r="DK66" s="179"/>
      <c r="DL66" s="179"/>
      <c r="DM66" s="179"/>
      <c r="DN66" s="179"/>
      <c r="DO66" s="179"/>
      <c r="DP66" s="179"/>
      <c r="DQ66" s="179"/>
      <c r="DR66" s="179"/>
      <c r="DS66" s="179"/>
      <c r="DT66" s="179"/>
      <c r="DU66" s="179"/>
      <c r="DV66" s="179"/>
      <c r="DW66" s="179"/>
      <c r="DX66" s="179"/>
      <c r="DY66" s="179"/>
      <c r="DZ66" s="179"/>
      <c r="EA66" s="179"/>
      <c r="EB66" s="179"/>
      <c r="EC66" s="179"/>
      <c r="ED66" s="179"/>
      <c r="EE66" s="179"/>
      <c r="EF66" s="179"/>
      <c r="EG66" s="179"/>
    </row>
    <row r="67" spans="1:137" s="354" customFormat="1" ht="25.5">
      <c r="A67" s="178">
        <v>66</v>
      </c>
      <c r="B67" s="202" t="s">
        <v>2044</v>
      </c>
      <c r="C67" s="203" t="s">
        <v>2292</v>
      </c>
      <c r="D67" s="203" t="s">
        <v>4063</v>
      </c>
      <c r="E67" s="13" t="s">
        <v>4082</v>
      </c>
      <c r="F67" s="203" t="s">
        <v>3917</v>
      </c>
      <c r="G67" s="203" t="s">
        <v>3837</v>
      </c>
      <c r="H67" s="240"/>
      <c r="I67" s="202" t="s">
        <v>5</v>
      </c>
      <c r="J67" s="204">
        <v>43379</v>
      </c>
      <c r="K67" s="178">
        <f t="shared" si="2"/>
        <v>2018</v>
      </c>
      <c r="L67" s="178">
        <f t="shared" si="3"/>
        <v>10</v>
      </c>
      <c r="M67" s="204">
        <v>43412</v>
      </c>
      <c r="N67" s="333" t="s">
        <v>4058</v>
      </c>
      <c r="O67" s="343">
        <v>13</v>
      </c>
      <c r="P67" s="535">
        <f>VLOOKUP(E67,'Cost of items'!$A$3:$C$95,3,0)</f>
        <v>8</v>
      </c>
      <c r="Q67" s="179"/>
      <c r="R67" s="179"/>
      <c r="S67" s="179"/>
      <c r="T67" s="179"/>
      <c r="U67" s="179"/>
      <c r="V67" s="179"/>
      <c r="W67" s="179"/>
      <c r="X67" s="179"/>
      <c r="Y67" s="179"/>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c r="BE67" s="179"/>
      <c r="BF67" s="179"/>
      <c r="BG67" s="179"/>
      <c r="BH67" s="179"/>
      <c r="BI67" s="179"/>
      <c r="BJ67" s="179"/>
      <c r="BK67" s="179"/>
      <c r="BL67" s="179"/>
      <c r="BM67" s="179"/>
      <c r="BN67" s="179"/>
      <c r="BO67" s="179"/>
      <c r="BP67" s="179"/>
      <c r="BQ67" s="179"/>
      <c r="BR67" s="179"/>
      <c r="BS67" s="179"/>
      <c r="BT67" s="179"/>
      <c r="BU67" s="179"/>
      <c r="BV67" s="179"/>
      <c r="BW67" s="179"/>
      <c r="BX67" s="179"/>
      <c r="BY67" s="179"/>
      <c r="BZ67" s="179"/>
      <c r="CA67" s="179"/>
      <c r="CB67" s="179"/>
      <c r="CC67" s="179"/>
      <c r="CD67" s="179"/>
      <c r="CE67" s="179"/>
      <c r="CF67" s="179"/>
      <c r="CG67" s="179"/>
      <c r="CH67" s="179"/>
      <c r="CI67" s="179"/>
      <c r="CJ67" s="179"/>
      <c r="CK67" s="179"/>
      <c r="CL67" s="179"/>
      <c r="CM67" s="179"/>
      <c r="CN67" s="179"/>
      <c r="CO67" s="179"/>
      <c r="CP67" s="179"/>
      <c r="CQ67" s="179"/>
      <c r="CR67" s="179"/>
      <c r="CS67" s="179"/>
      <c r="CT67" s="179"/>
      <c r="CU67" s="179"/>
      <c r="CV67" s="179"/>
      <c r="CW67" s="179"/>
      <c r="CX67" s="179"/>
      <c r="CY67" s="179"/>
      <c r="CZ67" s="179"/>
      <c r="DA67" s="179"/>
      <c r="DB67" s="179"/>
      <c r="DC67" s="179"/>
      <c r="DD67" s="179"/>
      <c r="DE67" s="179"/>
      <c r="DF67" s="179"/>
      <c r="DG67" s="179"/>
      <c r="DH67" s="179"/>
      <c r="DI67" s="179"/>
      <c r="DJ67" s="179"/>
      <c r="DK67" s="179"/>
      <c r="DL67" s="179"/>
      <c r="DM67" s="179"/>
      <c r="DN67" s="179"/>
      <c r="DO67" s="179"/>
      <c r="DP67" s="179"/>
      <c r="DQ67" s="179"/>
      <c r="DR67" s="179"/>
      <c r="DS67" s="179"/>
      <c r="DT67" s="179"/>
      <c r="DU67" s="179"/>
      <c r="DV67" s="179"/>
      <c r="DW67" s="179"/>
      <c r="DX67" s="179"/>
      <c r="DY67" s="179"/>
      <c r="DZ67" s="179"/>
      <c r="EA67" s="179"/>
      <c r="EB67" s="179"/>
      <c r="EC67" s="179"/>
      <c r="ED67" s="179"/>
      <c r="EE67" s="179"/>
      <c r="EF67" s="179"/>
      <c r="EG67" s="179"/>
    </row>
    <row r="68" spans="1:137" s="354" customFormat="1" ht="25.5">
      <c r="A68" s="383">
        <v>67</v>
      </c>
      <c r="B68" s="202" t="s">
        <v>2044</v>
      </c>
      <c r="C68" s="203" t="s">
        <v>2293</v>
      </c>
      <c r="D68" s="13" t="s">
        <v>3971</v>
      </c>
      <c r="E68" s="189" t="s">
        <v>3816</v>
      </c>
      <c r="F68" s="203" t="s">
        <v>3918</v>
      </c>
      <c r="G68" s="203" t="s">
        <v>4022</v>
      </c>
      <c r="H68" s="240"/>
      <c r="I68" s="204" t="s">
        <v>2310</v>
      </c>
      <c r="J68" s="204">
        <v>43436</v>
      </c>
      <c r="K68" s="178">
        <f t="shared" si="2"/>
        <v>2018</v>
      </c>
      <c r="L68" s="178">
        <f t="shared" si="3"/>
        <v>12</v>
      </c>
      <c r="M68" s="204">
        <v>43476</v>
      </c>
      <c r="N68" s="336">
        <v>1</v>
      </c>
      <c r="O68" s="343">
        <v>8</v>
      </c>
      <c r="P68" s="535">
        <f>VLOOKUP(E68,'Cost of items'!$A$3:$C$95,3,0)</f>
        <v>6.1989417989417985</v>
      </c>
      <c r="Q68" s="179"/>
      <c r="R68" s="179"/>
      <c r="S68" s="179"/>
      <c r="T68" s="179"/>
      <c r="U68" s="179"/>
      <c r="V68" s="179"/>
      <c r="W68" s="179"/>
      <c r="X68" s="179"/>
      <c r="Y68" s="179"/>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c r="BE68" s="179"/>
      <c r="BF68" s="179"/>
      <c r="BG68" s="179"/>
      <c r="BH68" s="179"/>
      <c r="BI68" s="179"/>
      <c r="BJ68" s="179"/>
      <c r="BK68" s="179"/>
      <c r="BL68" s="179"/>
      <c r="BM68" s="179"/>
      <c r="BN68" s="179"/>
      <c r="BO68" s="179"/>
      <c r="BP68" s="179"/>
      <c r="BQ68" s="179"/>
      <c r="BR68" s="179"/>
      <c r="BS68" s="179"/>
      <c r="BT68" s="179"/>
      <c r="BU68" s="179"/>
      <c r="BV68" s="179"/>
      <c r="BW68" s="179"/>
      <c r="BX68" s="179"/>
      <c r="BY68" s="179"/>
      <c r="BZ68" s="179"/>
      <c r="CA68" s="179"/>
      <c r="CB68" s="179"/>
      <c r="CC68" s="179"/>
      <c r="CD68" s="179"/>
      <c r="CE68" s="179"/>
      <c r="CF68" s="179"/>
      <c r="CG68" s="179"/>
      <c r="CH68" s="179"/>
      <c r="CI68" s="179"/>
      <c r="CJ68" s="179"/>
      <c r="CK68" s="179"/>
      <c r="CL68" s="179"/>
      <c r="CM68" s="179"/>
      <c r="CN68" s="179"/>
      <c r="CO68" s="179"/>
      <c r="CP68" s="179"/>
      <c r="CQ68" s="179"/>
      <c r="CR68" s="179"/>
      <c r="CS68" s="179"/>
      <c r="CT68" s="179"/>
      <c r="CU68" s="179"/>
      <c r="CV68" s="179"/>
      <c r="CW68" s="179"/>
      <c r="CX68" s="179"/>
      <c r="CY68" s="179"/>
      <c r="CZ68" s="179"/>
      <c r="DA68" s="179"/>
      <c r="DB68" s="179"/>
      <c r="DC68" s="179"/>
      <c r="DD68" s="179"/>
      <c r="DE68" s="179"/>
      <c r="DF68" s="179"/>
      <c r="DG68" s="179"/>
      <c r="DH68" s="179"/>
      <c r="DI68" s="179"/>
      <c r="DJ68" s="179"/>
      <c r="DK68" s="179"/>
      <c r="DL68" s="179"/>
      <c r="DM68" s="179"/>
      <c r="DN68" s="179"/>
      <c r="DO68" s="179"/>
      <c r="DP68" s="179"/>
      <c r="DQ68" s="179"/>
      <c r="DR68" s="179"/>
      <c r="DS68" s="179"/>
      <c r="DT68" s="179"/>
      <c r="DU68" s="179"/>
      <c r="DV68" s="179"/>
      <c r="DW68" s="179"/>
      <c r="DX68" s="179"/>
      <c r="DY68" s="179"/>
      <c r="DZ68" s="179"/>
      <c r="EA68" s="179"/>
      <c r="EB68" s="179"/>
      <c r="EC68" s="179"/>
      <c r="ED68" s="179"/>
      <c r="EE68" s="179"/>
      <c r="EF68" s="179"/>
      <c r="EG68" s="179"/>
    </row>
    <row r="69" spans="1:137" s="354" customFormat="1" ht="25.5">
      <c r="A69" s="178">
        <v>68</v>
      </c>
      <c r="B69" s="202" t="s">
        <v>2044</v>
      </c>
      <c r="C69" s="203" t="s">
        <v>2294</v>
      </c>
      <c r="D69" s="203" t="s">
        <v>4070</v>
      </c>
      <c r="E69" s="189" t="s">
        <v>2269</v>
      </c>
      <c r="F69" s="203" t="s">
        <v>3919</v>
      </c>
      <c r="G69" s="203" t="s">
        <v>4020</v>
      </c>
      <c r="H69" s="240">
        <v>43475</v>
      </c>
      <c r="I69" s="204" t="s">
        <v>4053</v>
      </c>
      <c r="J69" s="204">
        <v>43448</v>
      </c>
      <c r="K69" s="178">
        <f t="shared" si="2"/>
        <v>2018</v>
      </c>
      <c r="L69" s="178">
        <f t="shared" si="3"/>
        <v>12</v>
      </c>
      <c r="M69" s="204">
        <v>43476</v>
      </c>
      <c r="N69" s="336">
        <v>1</v>
      </c>
      <c r="O69" s="343">
        <v>20</v>
      </c>
      <c r="P69" s="535">
        <f>VLOOKUP(E69,'Cost of items'!$A$3:$C$95,3,0)</f>
        <v>16.780423280423278</v>
      </c>
      <c r="Q69" s="179"/>
      <c r="R69" s="179"/>
      <c r="S69" s="179"/>
      <c r="T69" s="179"/>
      <c r="U69" s="179"/>
      <c r="V69" s="179"/>
      <c r="W69" s="179"/>
      <c r="X69" s="179"/>
      <c r="Y69" s="179"/>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c r="BE69" s="179"/>
      <c r="BF69" s="179"/>
      <c r="BG69" s="179"/>
      <c r="BH69" s="179"/>
      <c r="BI69" s="179"/>
      <c r="BJ69" s="179"/>
      <c r="BK69" s="179"/>
      <c r="BL69" s="179"/>
      <c r="BM69" s="179"/>
      <c r="BN69" s="179"/>
      <c r="BO69" s="179"/>
      <c r="BP69" s="179"/>
      <c r="BQ69" s="179"/>
      <c r="BR69" s="179"/>
      <c r="BS69" s="179"/>
      <c r="BT69" s="179"/>
      <c r="BU69" s="179"/>
      <c r="BV69" s="179"/>
      <c r="BW69" s="179"/>
      <c r="BX69" s="179"/>
      <c r="BY69" s="179"/>
      <c r="BZ69" s="179"/>
      <c r="CA69" s="179"/>
      <c r="CB69" s="179"/>
      <c r="CC69" s="179"/>
      <c r="CD69" s="179"/>
      <c r="CE69" s="179"/>
      <c r="CF69" s="179"/>
      <c r="CG69" s="179"/>
      <c r="CH69" s="179"/>
      <c r="CI69" s="179"/>
      <c r="CJ69" s="179"/>
      <c r="CK69" s="179"/>
      <c r="CL69" s="179"/>
      <c r="CM69" s="179"/>
      <c r="CN69" s="179"/>
      <c r="CO69" s="179"/>
      <c r="CP69" s="179"/>
      <c r="CQ69" s="179"/>
      <c r="CR69" s="179"/>
      <c r="CS69" s="179"/>
      <c r="CT69" s="179"/>
      <c r="CU69" s="179"/>
      <c r="CV69" s="179"/>
      <c r="CW69" s="179"/>
      <c r="CX69" s="179"/>
      <c r="CY69" s="179"/>
      <c r="CZ69" s="179"/>
      <c r="DA69" s="179"/>
      <c r="DB69" s="179"/>
      <c r="DC69" s="179"/>
      <c r="DD69" s="179"/>
      <c r="DE69" s="179"/>
      <c r="DF69" s="179"/>
      <c r="DG69" s="179"/>
      <c r="DH69" s="179"/>
      <c r="DI69" s="179"/>
      <c r="DJ69" s="179"/>
      <c r="DK69" s="179"/>
      <c r="DL69" s="179"/>
      <c r="DM69" s="179"/>
      <c r="DN69" s="179"/>
      <c r="DO69" s="179"/>
      <c r="DP69" s="179"/>
      <c r="DQ69" s="179"/>
      <c r="DR69" s="179"/>
      <c r="DS69" s="179"/>
      <c r="DT69" s="179"/>
      <c r="DU69" s="179"/>
      <c r="DV69" s="179"/>
      <c r="DW69" s="179"/>
      <c r="DX69" s="179"/>
      <c r="DY69" s="179"/>
      <c r="DZ69" s="179"/>
      <c r="EA69" s="179"/>
      <c r="EB69" s="179"/>
      <c r="EC69" s="179"/>
      <c r="ED69" s="179"/>
      <c r="EE69" s="179"/>
      <c r="EF69" s="179"/>
      <c r="EG69" s="179"/>
    </row>
    <row r="70" spans="1:137" s="354" customFormat="1" ht="25.5">
      <c r="A70" s="383">
        <v>69</v>
      </c>
      <c r="B70" s="202" t="s">
        <v>2044</v>
      </c>
      <c r="C70" s="203" t="s">
        <v>2295</v>
      </c>
      <c r="D70" s="13" t="s">
        <v>4064</v>
      </c>
      <c r="E70" s="13" t="s">
        <v>2296</v>
      </c>
      <c r="F70" s="203" t="s">
        <v>3920</v>
      </c>
      <c r="G70" s="203" t="s">
        <v>4023</v>
      </c>
      <c r="H70" s="240" t="s">
        <v>2334</v>
      </c>
      <c r="I70" s="204" t="s">
        <v>4053</v>
      </c>
      <c r="J70" s="204">
        <v>43450</v>
      </c>
      <c r="K70" s="178">
        <f t="shared" si="2"/>
        <v>2018</v>
      </c>
      <c r="L70" s="178">
        <f t="shared" si="3"/>
        <v>12</v>
      </c>
      <c r="M70" s="204">
        <v>43480</v>
      </c>
      <c r="N70" s="336">
        <v>5</v>
      </c>
      <c r="O70" s="343">
        <v>50</v>
      </c>
      <c r="P70" s="535">
        <f>VLOOKUP(E70,'Cost of items'!$A$3:$C$95,3,0)</f>
        <v>48.570181405895688</v>
      </c>
      <c r="Q70" s="179"/>
      <c r="R70" s="179"/>
      <c r="S70" s="179"/>
      <c r="T70" s="179"/>
      <c r="U70" s="179"/>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c r="BE70" s="179"/>
      <c r="BF70" s="179"/>
      <c r="BG70" s="179"/>
      <c r="BH70" s="179"/>
      <c r="BI70" s="179"/>
      <c r="BJ70" s="179"/>
      <c r="BK70" s="179"/>
      <c r="BL70" s="179"/>
      <c r="BM70" s="179"/>
      <c r="BN70" s="179"/>
      <c r="BO70" s="179"/>
      <c r="BP70" s="179"/>
      <c r="BQ70" s="179"/>
      <c r="BR70" s="179"/>
      <c r="BS70" s="179"/>
      <c r="BT70" s="179"/>
      <c r="BU70" s="179"/>
      <c r="BV70" s="179"/>
      <c r="BW70" s="179"/>
      <c r="BX70" s="179"/>
      <c r="BY70" s="179"/>
      <c r="BZ70" s="179"/>
      <c r="CA70" s="179"/>
      <c r="CB70" s="179"/>
      <c r="CC70" s="179"/>
      <c r="CD70" s="179"/>
      <c r="CE70" s="179"/>
      <c r="CF70" s="179"/>
      <c r="CG70" s="179"/>
      <c r="CH70" s="179"/>
      <c r="CI70" s="179"/>
      <c r="CJ70" s="179"/>
      <c r="CK70" s="179"/>
      <c r="CL70" s="179"/>
      <c r="CM70" s="179"/>
      <c r="CN70" s="179"/>
      <c r="CO70" s="179"/>
      <c r="CP70" s="179"/>
      <c r="CQ70" s="179"/>
      <c r="CR70" s="179"/>
      <c r="CS70" s="179"/>
      <c r="CT70" s="179"/>
      <c r="CU70" s="179"/>
      <c r="CV70" s="179"/>
      <c r="CW70" s="179"/>
      <c r="CX70" s="179"/>
      <c r="CY70" s="179"/>
      <c r="CZ70" s="179"/>
      <c r="DA70" s="179"/>
      <c r="DB70" s="179"/>
      <c r="DC70" s="179"/>
      <c r="DD70" s="179"/>
      <c r="DE70" s="179"/>
      <c r="DF70" s="179"/>
      <c r="DG70" s="179"/>
      <c r="DH70" s="179"/>
      <c r="DI70" s="179"/>
      <c r="DJ70" s="179"/>
      <c r="DK70" s="179"/>
      <c r="DL70" s="179"/>
      <c r="DM70" s="179"/>
      <c r="DN70" s="179"/>
      <c r="DO70" s="179"/>
      <c r="DP70" s="179"/>
      <c r="DQ70" s="179"/>
      <c r="DR70" s="179"/>
      <c r="DS70" s="179"/>
      <c r="DT70" s="179"/>
      <c r="DU70" s="179"/>
      <c r="DV70" s="179"/>
      <c r="DW70" s="179"/>
      <c r="DX70" s="179"/>
      <c r="DY70" s="179"/>
      <c r="DZ70" s="179"/>
      <c r="EA70" s="179"/>
      <c r="EB70" s="179"/>
      <c r="EC70" s="179"/>
      <c r="ED70" s="179"/>
      <c r="EE70" s="179"/>
      <c r="EF70" s="179"/>
      <c r="EG70" s="179"/>
    </row>
    <row r="71" spans="1:137" s="354" customFormat="1" ht="25.5">
      <c r="A71" s="178">
        <v>70</v>
      </c>
      <c r="B71" s="202" t="s">
        <v>2044</v>
      </c>
      <c r="C71" s="203" t="s">
        <v>2311</v>
      </c>
      <c r="D71" s="13" t="s">
        <v>4064</v>
      </c>
      <c r="E71" s="13" t="s">
        <v>2316</v>
      </c>
      <c r="F71" s="203" t="s">
        <v>3921</v>
      </c>
      <c r="G71" s="203" t="s">
        <v>4024</v>
      </c>
      <c r="H71" s="240" t="s">
        <v>2334</v>
      </c>
      <c r="I71" s="204" t="s">
        <v>4053</v>
      </c>
      <c r="J71" s="204">
        <v>43480</v>
      </c>
      <c r="K71" s="178">
        <f t="shared" si="2"/>
        <v>2019</v>
      </c>
      <c r="L71" s="178">
        <f t="shared" si="3"/>
        <v>1</v>
      </c>
      <c r="M71" s="204">
        <v>43493</v>
      </c>
      <c r="N71" s="336">
        <v>5</v>
      </c>
      <c r="O71" s="343">
        <v>38</v>
      </c>
      <c r="P71" s="535">
        <f>VLOOKUP(E71,'Cost of items'!$A$3:$C$95,3,0)</f>
        <v>35.440816326530609</v>
      </c>
      <c r="Q71" s="179"/>
      <c r="R71" s="179"/>
      <c r="S71" s="179"/>
      <c r="T71" s="179"/>
      <c r="U71" s="179"/>
      <c r="V71" s="179"/>
      <c r="W71" s="179"/>
      <c r="X71" s="179"/>
      <c r="Y71" s="179"/>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c r="BE71" s="179"/>
      <c r="BF71" s="179"/>
      <c r="BG71" s="179"/>
      <c r="BH71" s="179"/>
      <c r="BI71" s="179"/>
      <c r="BJ71" s="179"/>
      <c r="BK71" s="179"/>
      <c r="BL71" s="179"/>
      <c r="BM71" s="179"/>
      <c r="BN71" s="179"/>
      <c r="BO71" s="179"/>
      <c r="BP71" s="179"/>
      <c r="BQ71" s="179"/>
      <c r="BR71" s="179"/>
      <c r="BS71" s="179"/>
      <c r="BT71" s="179"/>
      <c r="BU71" s="179"/>
      <c r="BV71" s="179"/>
      <c r="BW71" s="179"/>
      <c r="BX71" s="179"/>
      <c r="BY71" s="179"/>
      <c r="BZ71" s="179"/>
      <c r="CA71" s="179"/>
      <c r="CB71" s="179"/>
      <c r="CC71" s="179"/>
      <c r="CD71" s="179"/>
      <c r="CE71" s="179"/>
      <c r="CF71" s="179"/>
      <c r="CG71" s="179"/>
      <c r="CH71" s="179"/>
      <c r="CI71" s="179"/>
      <c r="CJ71" s="179"/>
      <c r="CK71" s="179"/>
      <c r="CL71" s="179"/>
      <c r="CM71" s="179"/>
      <c r="CN71" s="179"/>
      <c r="CO71" s="179"/>
      <c r="CP71" s="179"/>
      <c r="CQ71" s="179"/>
      <c r="CR71" s="179"/>
      <c r="CS71" s="179"/>
      <c r="CT71" s="179"/>
      <c r="CU71" s="179"/>
      <c r="CV71" s="179"/>
      <c r="CW71" s="179"/>
      <c r="CX71" s="179"/>
      <c r="CY71" s="179"/>
      <c r="CZ71" s="179"/>
      <c r="DA71" s="179"/>
      <c r="DB71" s="179"/>
      <c r="DC71" s="179"/>
      <c r="DD71" s="179"/>
      <c r="DE71" s="179"/>
      <c r="DF71" s="179"/>
      <c r="DG71" s="179"/>
      <c r="DH71" s="179"/>
      <c r="DI71" s="179"/>
      <c r="DJ71" s="179"/>
      <c r="DK71" s="179"/>
      <c r="DL71" s="179"/>
      <c r="DM71" s="179"/>
      <c r="DN71" s="179"/>
      <c r="DO71" s="179"/>
      <c r="DP71" s="179"/>
      <c r="DQ71" s="179"/>
      <c r="DR71" s="179"/>
      <c r="DS71" s="179"/>
      <c r="DT71" s="179"/>
      <c r="DU71" s="179"/>
      <c r="DV71" s="179"/>
      <c r="DW71" s="179"/>
      <c r="DX71" s="179"/>
      <c r="DY71" s="179"/>
      <c r="DZ71" s="179"/>
      <c r="EA71" s="179"/>
      <c r="EB71" s="179"/>
      <c r="EC71" s="179"/>
      <c r="ED71" s="179"/>
      <c r="EE71" s="179"/>
      <c r="EF71" s="179"/>
      <c r="EG71" s="179"/>
    </row>
    <row r="72" spans="1:137" s="354" customFormat="1" ht="25.5">
      <c r="A72" s="383">
        <v>71</v>
      </c>
      <c r="B72" s="202" t="s">
        <v>2044</v>
      </c>
      <c r="C72" s="203" t="s">
        <v>2565</v>
      </c>
      <c r="D72" s="385" t="s">
        <v>4064</v>
      </c>
      <c r="E72" s="13" t="s">
        <v>1621</v>
      </c>
      <c r="F72" s="203" t="s">
        <v>3923</v>
      </c>
      <c r="G72" s="203" t="s">
        <v>4025</v>
      </c>
      <c r="H72" s="240">
        <v>43617</v>
      </c>
      <c r="I72" s="202" t="s">
        <v>4053</v>
      </c>
      <c r="J72" s="204">
        <v>43606</v>
      </c>
      <c r="K72" s="178">
        <f t="shared" si="2"/>
        <v>2019</v>
      </c>
      <c r="L72" s="178">
        <f t="shared" si="3"/>
        <v>5</v>
      </c>
      <c r="M72" s="204">
        <v>43619</v>
      </c>
      <c r="N72" s="336">
        <v>4</v>
      </c>
      <c r="O72" s="343">
        <v>40</v>
      </c>
      <c r="P72" s="535">
        <f>VLOOKUP(E72,'Cost of items'!$A$3:$C$95,3,0)</f>
        <v>39.873015873015873</v>
      </c>
      <c r="Q72" s="179"/>
      <c r="R72" s="179"/>
      <c r="S72" s="179"/>
      <c r="T72" s="179"/>
      <c r="U72" s="179"/>
      <c r="V72" s="179"/>
      <c r="W72" s="179"/>
      <c r="X72" s="179"/>
      <c r="Y72" s="179"/>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c r="BE72" s="179"/>
      <c r="BF72" s="179"/>
      <c r="BG72" s="179"/>
      <c r="BH72" s="179"/>
      <c r="BI72" s="179"/>
      <c r="BJ72" s="179"/>
      <c r="BK72" s="179"/>
      <c r="BL72" s="179"/>
      <c r="BM72" s="179"/>
      <c r="BN72" s="179"/>
      <c r="BO72" s="179"/>
      <c r="BP72" s="179"/>
      <c r="BQ72" s="179"/>
      <c r="BR72" s="179"/>
      <c r="BS72" s="179"/>
      <c r="BT72" s="179"/>
      <c r="BU72" s="179"/>
      <c r="BV72" s="179"/>
      <c r="BW72" s="179"/>
      <c r="BX72" s="179"/>
      <c r="BY72" s="179"/>
      <c r="BZ72" s="179"/>
      <c r="CA72" s="179"/>
      <c r="CB72" s="179"/>
      <c r="CC72" s="179"/>
      <c r="CD72" s="179"/>
      <c r="CE72" s="179"/>
      <c r="CF72" s="179"/>
      <c r="CG72" s="179"/>
      <c r="CH72" s="179"/>
      <c r="CI72" s="179"/>
      <c r="CJ72" s="179"/>
      <c r="CK72" s="179"/>
      <c r="CL72" s="179"/>
      <c r="CM72" s="179"/>
      <c r="CN72" s="179"/>
      <c r="CO72" s="179"/>
      <c r="CP72" s="179"/>
      <c r="CQ72" s="179"/>
      <c r="CR72" s="179"/>
      <c r="CS72" s="179"/>
      <c r="CT72" s="179"/>
      <c r="CU72" s="179"/>
      <c r="CV72" s="179"/>
      <c r="CW72" s="179"/>
      <c r="CX72" s="179"/>
      <c r="CY72" s="179"/>
      <c r="CZ72" s="179"/>
      <c r="DA72" s="179"/>
      <c r="DB72" s="179"/>
      <c r="DC72" s="179"/>
      <c r="DD72" s="179"/>
      <c r="DE72" s="179"/>
      <c r="DF72" s="179"/>
      <c r="DG72" s="179"/>
      <c r="DH72" s="179"/>
      <c r="DI72" s="179"/>
      <c r="DJ72" s="179"/>
      <c r="DK72" s="179"/>
      <c r="DL72" s="179"/>
      <c r="DM72" s="179"/>
      <c r="DN72" s="179"/>
      <c r="DO72" s="179"/>
      <c r="DP72" s="179"/>
      <c r="DQ72" s="179"/>
      <c r="DR72" s="179"/>
      <c r="DS72" s="179"/>
      <c r="DT72" s="179"/>
      <c r="DU72" s="179"/>
      <c r="DV72" s="179"/>
      <c r="DW72" s="179"/>
      <c r="DX72" s="179"/>
      <c r="DY72" s="179"/>
      <c r="DZ72" s="179"/>
      <c r="EA72" s="179"/>
      <c r="EB72" s="179"/>
      <c r="EC72" s="179"/>
      <c r="ED72" s="179"/>
      <c r="EE72" s="179"/>
      <c r="EF72" s="179"/>
      <c r="EG72" s="179"/>
    </row>
    <row r="73" spans="1:137" s="354" customFormat="1" ht="38.25">
      <c r="A73" s="178">
        <v>72</v>
      </c>
      <c r="B73" s="202" t="s">
        <v>2044</v>
      </c>
      <c r="C73" s="203" t="s">
        <v>2335</v>
      </c>
      <c r="D73" s="385" t="s">
        <v>4064</v>
      </c>
      <c r="E73" s="13" t="s">
        <v>1621</v>
      </c>
      <c r="F73" s="203" t="s">
        <v>3924</v>
      </c>
      <c r="G73" s="203" t="s">
        <v>4025</v>
      </c>
      <c r="H73" s="240" t="s">
        <v>2334</v>
      </c>
      <c r="I73" s="202" t="s">
        <v>2077</v>
      </c>
      <c r="J73" s="204">
        <v>43501</v>
      </c>
      <c r="K73" s="178">
        <f t="shared" si="2"/>
        <v>2019</v>
      </c>
      <c r="L73" s="178">
        <f t="shared" si="3"/>
        <v>2</v>
      </c>
      <c r="M73" s="204">
        <v>43508</v>
      </c>
      <c r="N73" s="336">
        <v>4</v>
      </c>
      <c r="O73" s="343">
        <v>42</v>
      </c>
      <c r="P73" s="535">
        <f>VLOOKUP(E73,'Cost of items'!$A$3:$C$95,3,0)</f>
        <v>39.873015873015873</v>
      </c>
      <c r="Q73" s="179"/>
      <c r="R73" s="179"/>
      <c r="S73" s="179"/>
      <c r="T73" s="179"/>
      <c r="U73" s="179"/>
      <c r="V73" s="179"/>
      <c r="W73" s="179"/>
      <c r="X73" s="179"/>
      <c r="Y73" s="179"/>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c r="BE73" s="179"/>
      <c r="BF73" s="179"/>
      <c r="BG73" s="179"/>
      <c r="BH73" s="179"/>
      <c r="BI73" s="179"/>
      <c r="BJ73" s="179"/>
      <c r="BK73" s="179"/>
      <c r="BL73" s="179"/>
      <c r="BM73" s="179"/>
      <c r="BN73" s="179"/>
      <c r="BO73" s="179"/>
      <c r="BP73" s="179"/>
      <c r="BQ73" s="179"/>
      <c r="BR73" s="179"/>
      <c r="BS73" s="179"/>
      <c r="BT73" s="179"/>
      <c r="BU73" s="179"/>
      <c r="BV73" s="179"/>
      <c r="BW73" s="179"/>
      <c r="BX73" s="179"/>
      <c r="BY73" s="179"/>
      <c r="BZ73" s="179"/>
      <c r="CA73" s="179"/>
      <c r="CB73" s="179"/>
      <c r="CC73" s="179"/>
      <c r="CD73" s="179"/>
      <c r="CE73" s="179"/>
      <c r="CF73" s="179"/>
      <c r="CG73" s="179"/>
      <c r="CH73" s="179"/>
      <c r="CI73" s="179"/>
      <c r="CJ73" s="179"/>
      <c r="CK73" s="179"/>
      <c r="CL73" s="179"/>
      <c r="CM73" s="179"/>
      <c r="CN73" s="179"/>
      <c r="CO73" s="179"/>
      <c r="CP73" s="179"/>
      <c r="CQ73" s="179"/>
      <c r="CR73" s="179"/>
      <c r="CS73" s="179"/>
      <c r="CT73" s="179"/>
      <c r="CU73" s="179"/>
      <c r="CV73" s="179"/>
      <c r="CW73" s="179"/>
      <c r="CX73" s="179"/>
      <c r="CY73" s="179"/>
      <c r="CZ73" s="179"/>
      <c r="DA73" s="179"/>
      <c r="DB73" s="179"/>
      <c r="DC73" s="179"/>
      <c r="DD73" s="179"/>
      <c r="DE73" s="179"/>
      <c r="DF73" s="179"/>
      <c r="DG73" s="179"/>
      <c r="DH73" s="179"/>
      <c r="DI73" s="179"/>
      <c r="DJ73" s="179"/>
      <c r="DK73" s="179"/>
      <c r="DL73" s="179"/>
      <c r="DM73" s="179"/>
      <c r="DN73" s="179"/>
      <c r="DO73" s="179"/>
      <c r="DP73" s="179"/>
      <c r="DQ73" s="179"/>
      <c r="DR73" s="179"/>
      <c r="DS73" s="179"/>
      <c r="DT73" s="179"/>
      <c r="DU73" s="179"/>
      <c r="DV73" s="179"/>
      <c r="DW73" s="179"/>
      <c r="DX73" s="179"/>
      <c r="DY73" s="179"/>
      <c r="DZ73" s="179"/>
      <c r="EA73" s="179"/>
      <c r="EB73" s="179"/>
      <c r="EC73" s="179"/>
      <c r="ED73" s="179"/>
      <c r="EE73" s="179"/>
      <c r="EF73" s="179"/>
      <c r="EG73" s="179"/>
    </row>
    <row r="74" spans="1:137" s="78" customFormat="1" ht="25.5">
      <c r="A74" s="383">
        <v>73</v>
      </c>
      <c r="B74" s="202" t="s">
        <v>2044</v>
      </c>
      <c r="C74" s="236" t="s">
        <v>2350</v>
      </c>
      <c r="D74" s="203" t="s">
        <v>4070</v>
      </c>
      <c r="E74" s="189" t="s">
        <v>2375</v>
      </c>
      <c r="F74" s="236" t="s">
        <v>3925</v>
      </c>
      <c r="G74" s="236" t="s">
        <v>4026</v>
      </c>
      <c r="H74" s="238"/>
      <c r="I74" s="235" t="s">
        <v>5</v>
      </c>
      <c r="J74" s="237">
        <v>43533</v>
      </c>
      <c r="K74" s="178">
        <f t="shared" si="2"/>
        <v>2019</v>
      </c>
      <c r="L74" s="178">
        <f t="shared" si="3"/>
        <v>3</v>
      </c>
      <c r="M74" s="237">
        <v>43547</v>
      </c>
      <c r="N74" s="333" t="s">
        <v>4058</v>
      </c>
      <c r="O74" s="343">
        <v>38</v>
      </c>
      <c r="P74" s="535">
        <f>VLOOKUP(E74,'Cost of items'!$A$3:$C$95,3,0)</f>
        <v>28.731670445956158</v>
      </c>
      <c r="Q74" s="179"/>
      <c r="R74" s="179"/>
      <c r="S74" s="179"/>
      <c r="T74" s="179"/>
      <c r="U74" s="179"/>
      <c r="V74" s="179"/>
      <c r="W74" s="179"/>
      <c r="X74" s="179"/>
      <c r="Y74" s="179"/>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c r="BE74" s="179"/>
      <c r="BF74" s="179"/>
      <c r="BG74" s="179"/>
      <c r="BH74" s="179"/>
      <c r="BI74" s="179"/>
      <c r="BJ74" s="179"/>
      <c r="BK74" s="179"/>
      <c r="BL74" s="179"/>
      <c r="BM74" s="179"/>
      <c r="BN74" s="179"/>
      <c r="BO74" s="179"/>
      <c r="BP74" s="179"/>
      <c r="BQ74" s="179"/>
      <c r="BR74" s="179"/>
      <c r="BS74" s="179"/>
      <c r="BT74" s="179"/>
      <c r="BU74" s="179"/>
      <c r="BV74" s="179"/>
      <c r="BW74" s="179"/>
      <c r="BX74" s="179"/>
      <c r="BY74" s="179"/>
      <c r="BZ74" s="179"/>
      <c r="CA74" s="179"/>
      <c r="CB74" s="179"/>
      <c r="CC74" s="179"/>
      <c r="CD74" s="179"/>
      <c r="CE74" s="179"/>
      <c r="CF74" s="179"/>
      <c r="CG74" s="179"/>
      <c r="CH74" s="179"/>
      <c r="CI74" s="179"/>
      <c r="CJ74" s="179"/>
      <c r="CK74" s="179"/>
      <c r="CL74" s="179"/>
      <c r="CM74" s="179"/>
      <c r="CN74" s="179"/>
      <c r="CO74" s="179"/>
      <c r="CP74" s="179"/>
      <c r="CQ74" s="179"/>
      <c r="CR74" s="179"/>
      <c r="CS74" s="179"/>
      <c r="CT74" s="179"/>
      <c r="CU74" s="179"/>
      <c r="CV74" s="179"/>
      <c r="CW74" s="179"/>
      <c r="CX74" s="179"/>
      <c r="CY74" s="179"/>
      <c r="CZ74" s="179"/>
      <c r="DA74" s="179"/>
      <c r="DB74" s="179"/>
      <c r="DC74" s="179"/>
      <c r="DD74" s="179"/>
      <c r="DE74" s="179"/>
      <c r="DF74" s="179"/>
      <c r="DG74" s="179"/>
      <c r="DH74" s="179"/>
      <c r="DI74" s="179"/>
      <c r="DJ74" s="179"/>
      <c r="DK74" s="179"/>
      <c r="DL74" s="179"/>
      <c r="DM74" s="179"/>
      <c r="DN74" s="179"/>
      <c r="DO74" s="179"/>
      <c r="DP74" s="179"/>
      <c r="DQ74" s="179"/>
      <c r="DR74" s="179"/>
      <c r="DS74" s="179"/>
      <c r="DT74" s="179"/>
      <c r="DU74" s="179"/>
      <c r="DV74" s="179"/>
      <c r="DW74" s="179"/>
      <c r="DX74" s="179"/>
      <c r="DY74" s="179"/>
      <c r="DZ74" s="179"/>
      <c r="EA74" s="179"/>
      <c r="EB74" s="179"/>
      <c r="EC74" s="179"/>
      <c r="ED74" s="179"/>
      <c r="EE74" s="179"/>
      <c r="EF74" s="179"/>
      <c r="EG74" s="179"/>
    </row>
    <row r="75" spans="1:137" s="354" customFormat="1" ht="38.25">
      <c r="A75" s="178">
        <v>74</v>
      </c>
      <c r="B75" s="202" t="s">
        <v>2044</v>
      </c>
      <c r="C75" s="203" t="s">
        <v>2372</v>
      </c>
      <c r="D75" s="203" t="s">
        <v>4070</v>
      </c>
      <c r="E75" s="189" t="s">
        <v>4080</v>
      </c>
      <c r="F75" s="203" t="s">
        <v>3926</v>
      </c>
      <c r="G75" s="203" t="s">
        <v>4027</v>
      </c>
      <c r="H75" s="240">
        <v>43554</v>
      </c>
      <c r="I75" s="202" t="s">
        <v>4053</v>
      </c>
      <c r="J75" s="204">
        <v>43552</v>
      </c>
      <c r="K75" s="178">
        <f t="shared" si="2"/>
        <v>2019</v>
      </c>
      <c r="L75" s="178">
        <f t="shared" si="3"/>
        <v>3</v>
      </c>
      <c r="M75" s="204">
        <v>43559</v>
      </c>
      <c r="N75" s="336">
        <v>1.7</v>
      </c>
      <c r="O75" s="343">
        <v>36</v>
      </c>
      <c r="P75" s="535">
        <f>VLOOKUP(E75,'Cost of items'!$A$3:$C$95,3,0)</f>
        <v>23.300831443688587</v>
      </c>
      <c r="Q75" s="179"/>
      <c r="R75" s="179"/>
      <c r="S75" s="179"/>
      <c r="T75" s="179"/>
      <c r="U75" s="179"/>
      <c r="V75" s="179"/>
      <c r="W75" s="179"/>
      <c r="X75" s="179"/>
      <c r="Y75" s="179"/>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c r="BE75" s="179"/>
      <c r="BF75" s="179"/>
      <c r="BG75" s="179"/>
      <c r="BH75" s="179"/>
      <c r="BI75" s="179"/>
      <c r="BJ75" s="179"/>
      <c r="BK75" s="179"/>
      <c r="BL75" s="179"/>
      <c r="BM75" s="179"/>
      <c r="BN75" s="179"/>
      <c r="BO75" s="179"/>
      <c r="BP75" s="179"/>
      <c r="BQ75" s="179"/>
      <c r="BR75" s="179"/>
      <c r="BS75" s="179"/>
      <c r="BT75" s="179"/>
      <c r="BU75" s="179"/>
      <c r="BV75" s="179"/>
      <c r="BW75" s="179"/>
      <c r="BX75" s="179"/>
      <c r="BY75" s="179"/>
      <c r="BZ75" s="179"/>
      <c r="CA75" s="179"/>
      <c r="CB75" s="179"/>
      <c r="CC75" s="179"/>
      <c r="CD75" s="179"/>
      <c r="CE75" s="179"/>
      <c r="CF75" s="179"/>
      <c r="CG75" s="179"/>
      <c r="CH75" s="179"/>
      <c r="CI75" s="179"/>
      <c r="CJ75" s="179"/>
      <c r="CK75" s="179"/>
      <c r="CL75" s="179"/>
      <c r="CM75" s="179"/>
      <c r="CN75" s="179"/>
      <c r="CO75" s="179"/>
      <c r="CP75" s="179"/>
      <c r="CQ75" s="179"/>
      <c r="CR75" s="179"/>
      <c r="CS75" s="179"/>
      <c r="CT75" s="179"/>
      <c r="CU75" s="179"/>
      <c r="CV75" s="179"/>
      <c r="CW75" s="179"/>
      <c r="CX75" s="179"/>
      <c r="CY75" s="179"/>
      <c r="CZ75" s="179"/>
      <c r="DA75" s="179"/>
      <c r="DB75" s="179"/>
      <c r="DC75" s="179"/>
      <c r="DD75" s="179"/>
      <c r="DE75" s="179"/>
      <c r="DF75" s="179"/>
      <c r="DG75" s="179"/>
      <c r="DH75" s="179"/>
      <c r="DI75" s="179"/>
      <c r="DJ75" s="179"/>
      <c r="DK75" s="179"/>
      <c r="DL75" s="179"/>
      <c r="DM75" s="179"/>
      <c r="DN75" s="179"/>
      <c r="DO75" s="179"/>
      <c r="DP75" s="179"/>
      <c r="DQ75" s="179"/>
      <c r="DR75" s="179"/>
      <c r="DS75" s="179"/>
      <c r="DT75" s="179"/>
      <c r="DU75" s="179"/>
      <c r="DV75" s="179"/>
      <c r="DW75" s="179"/>
      <c r="DX75" s="179"/>
      <c r="DY75" s="179"/>
      <c r="DZ75" s="179"/>
      <c r="EA75" s="179"/>
      <c r="EB75" s="179"/>
      <c r="EC75" s="179"/>
      <c r="ED75" s="179"/>
      <c r="EE75" s="179"/>
      <c r="EF75" s="179"/>
      <c r="EG75" s="179"/>
    </row>
    <row r="76" spans="1:137" s="354" customFormat="1" ht="25.5">
      <c r="A76" s="383">
        <v>75</v>
      </c>
      <c r="B76" s="202" t="s">
        <v>2044</v>
      </c>
      <c r="C76" s="203" t="s">
        <v>2392</v>
      </c>
      <c r="D76" s="191" t="s">
        <v>4064</v>
      </c>
      <c r="E76" s="13" t="s">
        <v>3838</v>
      </c>
      <c r="F76" s="203" t="s">
        <v>3928</v>
      </c>
      <c r="G76" s="203" t="s">
        <v>4029</v>
      </c>
      <c r="H76" s="204">
        <v>43584</v>
      </c>
      <c r="I76" s="202" t="s">
        <v>4053</v>
      </c>
      <c r="J76" s="204">
        <v>43566</v>
      </c>
      <c r="K76" s="178">
        <f t="shared" si="2"/>
        <v>2019</v>
      </c>
      <c r="L76" s="178">
        <f t="shared" si="3"/>
        <v>4</v>
      </c>
      <c r="M76" s="204">
        <v>43584</v>
      </c>
      <c r="N76" s="336">
        <v>5</v>
      </c>
      <c r="O76" s="343">
        <v>45</v>
      </c>
      <c r="P76" s="535">
        <f>VLOOKUP(E76,'Cost of items'!$A$3:$C$95,3,0)</f>
        <v>32.130687830687833</v>
      </c>
      <c r="Q76" s="179"/>
      <c r="R76" s="179"/>
      <c r="S76" s="179"/>
      <c r="T76" s="179"/>
      <c r="U76" s="179"/>
      <c r="V76" s="179"/>
      <c r="W76" s="179"/>
      <c r="X76" s="179"/>
      <c r="Y76" s="179"/>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c r="BE76" s="179"/>
      <c r="BF76" s="179"/>
      <c r="BG76" s="179"/>
      <c r="BH76" s="179"/>
      <c r="BI76" s="179"/>
      <c r="BJ76" s="179"/>
      <c r="BK76" s="179"/>
      <c r="BL76" s="179"/>
      <c r="BM76" s="179"/>
      <c r="BN76" s="179"/>
      <c r="BO76" s="179"/>
      <c r="BP76" s="179"/>
      <c r="BQ76" s="179"/>
      <c r="BR76" s="179"/>
      <c r="BS76" s="179"/>
      <c r="BT76" s="179"/>
      <c r="BU76" s="179"/>
      <c r="BV76" s="179"/>
      <c r="BW76" s="179"/>
      <c r="BX76" s="179"/>
      <c r="BY76" s="179"/>
      <c r="BZ76" s="179"/>
      <c r="CA76" s="179"/>
      <c r="CB76" s="179"/>
      <c r="CC76" s="179"/>
      <c r="CD76" s="179"/>
      <c r="CE76" s="179"/>
      <c r="CF76" s="179"/>
      <c r="CG76" s="179"/>
      <c r="CH76" s="179"/>
      <c r="CI76" s="179"/>
      <c r="CJ76" s="179"/>
      <c r="CK76" s="179"/>
      <c r="CL76" s="179"/>
      <c r="CM76" s="179"/>
      <c r="CN76" s="179"/>
      <c r="CO76" s="179"/>
      <c r="CP76" s="179"/>
      <c r="CQ76" s="179"/>
      <c r="CR76" s="179"/>
      <c r="CS76" s="179"/>
      <c r="CT76" s="179"/>
      <c r="CU76" s="179"/>
      <c r="CV76" s="179"/>
      <c r="CW76" s="179"/>
      <c r="CX76" s="179"/>
      <c r="CY76" s="179"/>
      <c r="CZ76" s="179"/>
      <c r="DA76" s="179"/>
      <c r="DB76" s="179"/>
      <c r="DC76" s="179"/>
      <c r="DD76" s="179"/>
      <c r="DE76" s="179"/>
      <c r="DF76" s="179"/>
      <c r="DG76" s="179"/>
      <c r="DH76" s="179"/>
      <c r="DI76" s="179"/>
      <c r="DJ76" s="179"/>
      <c r="DK76" s="179"/>
      <c r="DL76" s="179"/>
      <c r="DM76" s="179"/>
      <c r="DN76" s="179"/>
      <c r="DO76" s="179"/>
      <c r="DP76" s="179"/>
      <c r="DQ76" s="179"/>
      <c r="DR76" s="179"/>
      <c r="DS76" s="179"/>
      <c r="DT76" s="179"/>
      <c r="DU76" s="179"/>
      <c r="DV76" s="179"/>
      <c r="DW76" s="179"/>
      <c r="DX76" s="179"/>
      <c r="DY76" s="179"/>
      <c r="DZ76" s="179"/>
      <c r="EA76" s="179"/>
      <c r="EB76" s="179"/>
      <c r="EC76" s="179"/>
      <c r="ED76" s="179"/>
      <c r="EE76" s="179"/>
      <c r="EF76" s="179"/>
      <c r="EG76" s="179"/>
    </row>
    <row r="77" spans="1:137" s="354" customFormat="1" ht="25.5">
      <c r="A77" s="178">
        <v>76</v>
      </c>
      <c r="B77" s="202" t="s">
        <v>2044</v>
      </c>
      <c r="C77" s="203" t="s">
        <v>2016</v>
      </c>
      <c r="D77" s="385" t="s">
        <v>4064</v>
      </c>
      <c r="E77" s="13" t="s">
        <v>1621</v>
      </c>
      <c r="F77" s="203" t="s">
        <v>3930</v>
      </c>
      <c r="G77" s="203" t="s">
        <v>4031</v>
      </c>
      <c r="H77" s="240">
        <v>43672</v>
      </c>
      <c r="I77" s="202" t="s">
        <v>4053</v>
      </c>
      <c r="J77" s="204">
        <v>43663</v>
      </c>
      <c r="K77" s="178">
        <f t="shared" si="2"/>
        <v>2019</v>
      </c>
      <c r="L77" s="178">
        <f t="shared" si="3"/>
        <v>7</v>
      </c>
      <c r="M77" s="204">
        <v>43675</v>
      </c>
      <c r="N77" s="336">
        <v>2</v>
      </c>
      <c r="O77" s="343">
        <v>38</v>
      </c>
      <c r="P77" s="535">
        <f>VLOOKUP(E77,'Cost of items'!$A$3:$C$95,3,0)</f>
        <v>39.873015873015873</v>
      </c>
      <c r="Q77" s="179"/>
      <c r="R77" s="179"/>
      <c r="S77" s="179"/>
      <c r="T77" s="179"/>
      <c r="U77" s="179"/>
      <c r="V77" s="179"/>
      <c r="W77" s="179"/>
      <c r="X77" s="179"/>
      <c r="Y77" s="179"/>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c r="BE77" s="179"/>
      <c r="BF77" s="179"/>
      <c r="BG77" s="179"/>
      <c r="BH77" s="179"/>
      <c r="BI77" s="179"/>
      <c r="BJ77" s="179"/>
      <c r="BK77" s="179"/>
      <c r="BL77" s="179"/>
      <c r="BM77" s="179"/>
      <c r="BN77" s="179"/>
      <c r="BO77" s="179"/>
      <c r="BP77" s="179"/>
      <c r="BQ77" s="179"/>
      <c r="BR77" s="179"/>
      <c r="BS77" s="179"/>
      <c r="BT77" s="179"/>
      <c r="BU77" s="179"/>
      <c r="BV77" s="179"/>
      <c r="BW77" s="179"/>
      <c r="BX77" s="179"/>
      <c r="BY77" s="179"/>
      <c r="BZ77" s="179"/>
      <c r="CA77" s="179"/>
      <c r="CB77" s="179"/>
      <c r="CC77" s="179"/>
      <c r="CD77" s="179"/>
      <c r="CE77" s="179"/>
      <c r="CF77" s="179"/>
      <c r="CG77" s="179"/>
      <c r="CH77" s="179"/>
      <c r="CI77" s="179"/>
      <c r="CJ77" s="179"/>
      <c r="CK77" s="179"/>
      <c r="CL77" s="179"/>
      <c r="CM77" s="179"/>
      <c r="CN77" s="179"/>
      <c r="CO77" s="179"/>
      <c r="CP77" s="179"/>
      <c r="CQ77" s="179"/>
      <c r="CR77" s="179"/>
      <c r="CS77" s="179"/>
      <c r="CT77" s="179"/>
      <c r="CU77" s="179"/>
      <c r="CV77" s="179"/>
      <c r="CW77" s="179"/>
      <c r="CX77" s="179"/>
      <c r="CY77" s="179"/>
      <c r="CZ77" s="179"/>
      <c r="DA77" s="179"/>
      <c r="DB77" s="179"/>
      <c r="DC77" s="179"/>
      <c r="DD77" s="179"/>
      <c r="DE77" s="179"/>
      <c r="DF77" s="179"/>
      <c r="DG77" s="179"/>
      <c r="DH77" s="179"/>
      <c r="DI77" s="179"/>
      <c r="DJ77" s="179"/>
      <c r="DK77" s="179"/>
      <c r="DL77" s="179"/>
      <c r="DM77" s="179"/>
      <c r="DN77" s="179"/>
      <c r="DO77" s="179"/>
      <c r="DP77" s="179"/>
      <c r="DQ77" s="179"/>
      <c r="DR77" s="179"/>
      <c r="DS77" s="179"/>
      <c r="DT77" s="179"/>
      <c r="DU77" s="179"/>
      <c r="DV77" s="179"/>
      <c r="DW77" s="179"/>
      <c r="DX77" s="179"/>
      <c r="DY77" s="179"/>
      <c r="DZ77" s="179"/>
      <c r="EA77" s="179"/>
      <c r="EB77" s="179"/>
      <c r="EC77" s="179"/>
      <c r="ED77" s="179"/>
      <c r="EE77" s="179"/>
      <c r="EF77" s="179"/>
      <c r="EG77" s="179"/>
    </row>
    <row r="78" spans="1:137" s="354" customFormat="1" ht="25.5">
      <c r="A78" s="383">
        <v>77</v>
      </c>
      <c r="B78" s="202" t="s">
        <v>2044</v>
      </c>
      <c r="C78" s="203" t="s">
        <v>2640</v>
      </c>
      <c r="D78" s="13" t="s">
        <v>4064</v>
      </c>
      <c r="E78" s="13" t="s">
        <v>4083</v>
      </c>
      <c r="F78" s="203" t="s">
        <v>3632</v>
      </c>
      <c r="G78" s="203" t="s">
        <v>4032</v>
      </c>
      <c r="H78" s="240">
        <v>43733</v>
      </c>
      <c r="I78" s="202" t="s">
        <v>4054</v>
      </c>
      <c r="J78" s="204">
        <v>43722</v>
      </c>
      <c r="K78" s="178">
        <f t="shared" si="2"/>
        <v>2019</v>
      </c>
      <c r="L78" s="178">
        <f t="shared" si="3"/>
        <v>9</v>
      </c>
      <c r="M78" s="204">
        <v>43743</v>
      </c>
      <c r="N78" s="333" t="s">
        <v>4058</v>
      </c>
      <c r="O78" s="343">
        <v>30</v>
      </c>
      <c r="P78" s="535">
        <f>VLOOKUP(E78,'Cost of items'!$A$3:$C$95,3,0)</f>
        <v>19.346502703645562</v>
      </c>
      <c r="Q78" s="179"/>
      <c r="R78" s="179"/>
      <c r="S78" s="179"/>
      <c r="T78" s="179"/>
      <c r="U78" s="179"/>
      <c r="V78" s="179"/>
      <c r="W78" s="179"/>
      <c r="X78" s="179"/>
      <c r="Y78" s="179"/>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c r="BE78" s="179"/>
      <c r="BF78" s="179"/>
      <c r="BG78" s="179"/>
      <c r="BH78" s="179"/>
      <c r="BI78" s="179"/>
      <c r="BJ78" s="179"/>
      <c r="BK78" s="179"/>
      <c r="BL78" s="179"/>
      <c r="BM78" s="179"/>
      <c r="BN78" s="179"/>
      <c r="BO78" s="179"/>
      <c r="BP78" s="179"/>
      <c r="BQ78" s="179"/>
      <c r="BR78" s="179"/>
      <c r="BS78" s="179"/>
      <c r="BT78" s="179"/>
      <c r="BU78" s="179"/>
      <c r="BV78" s="179"/>
      <c r="BW78" s="179"/>
      <c r="BX78" s="179"/>
      <c r="BY78" s="179"/>
      <c r="BZ78" s="179"/>
      <c r="CA78" s="179"/>
      <c r="CB78" s="179"/>
      <c r="CC78" s="179"/>
      <c r="CD78" s="179"/>
      <c r="CE78" s="179"/>
      <c r="CF78" s="179"/>
      <c r="CG78" s="179"/>
      <c r="CH78" s="179"/>
      <c r="CI78" s="179"/>
      <c r="CJ78" s="179"/>
      <c r="CK78" s="179"/>
      <c r="CL78" s="179"/>
      <c r="CM78" s="179"/>
      <c r="CN78" s="179"/>
      <c r="CO78" s="179"/>
      <c r="CP78" s="179"/>
      <c r="CQ78" s="179"/>
      <c r="CR78" s="179"/>
      <c r="CS78" s="179"/>
      <c r="CT78" s="179"/>
      <c r="CU78" s="179"/>
      <c r="CV78" s="179"/>
      <c r="CW78" s="179"/>
      <c r="CX78" s="179"/>
      <c r="CY78" s="179"/>
      <c r="CZ78" s="179"/>
      <c r="DA78" s="179"/>
      <c r="DB78" s="179"/>
      <c r="DC78" s="179"/>
      <c r="DD78" s="179"/>
      <c r="DE78" s="179"/>
      <c r="DF78" s="179"/>
      <c r="DG78" s="179"/>
      <c r="DH78" s="179"/>
      <c r="DI78" s="179"/>
      <c r="DJ78" s="179"/>
      <c r="DK78" s="179"/>
      <c r="DL78" s="179"/>
      <c r="DM78" s="179"/>
      <c r="DN78" s="179"/>
      <c r="DO78" s="179"/>
      <c r="DP78" s="179"/>
      <c r="DQ78" s="179"/>
      <c r="DR78" s="179"/>
      <c r="DS78" s="179"/>
      <c r="DT78" s="179"/>
      <c r="DU78" s="179"/>
      <c r="DV78" s="179"/>
      <c r="DW78" s="179"/>
      <c r="DX78" s="179"/>
      <c r="DY78" s="179"/>
      <c r="DZ78" s="179"/>
      <c r="EA78" s="179"/>
      <c r="EB78" s="179"/>
      <c r="EC78" s="179"/>
      <c r="ED78" s="179"/>
      <c r="EE78" s="179"/>
      <c r="EF78" s="179"/>
      <c r="EG78" s="179"/>
    </row>
    <row r="79" spans="1:137" s="354" customFormat="1" ht="38.25">
      <c r="A79" s="178">
        <v>78</v>
      </c>
      <c r="B79" s="202" t="s">
        <v>2044</v>
      </c>
      <c r="C79" s="203" t="s">
        <v>3459</v>
      </c>
      <c r="D79" s="385" t="s">
        <v>4064</v>
      </c>
      <c r="E79" s="203" t="s">
        <v>3841</v>
      </c>
      <c r="F79" s="203" t="s">
        <v>3933</v>
      </c>
      <c r="G79" s="203" t="s">
        <v>3841</v>
      </c>
      <c r="H79" s="240">
        <v>43742</v>
      </c>
      <c r="I79" s="202" t="s">
        <v>4053</v>
      </c>
      <c r="J79" s="204">
        <v>43740</v>
      </c>
      <c r="K79" s="178">
        <f t="shared" si="2"/>
        <v>2019</v>
      </c>
      <c r="L79" s="178">
        <f t="shared" si="3"/>
        <v>10</v>
      </c>
      <c r="M79" s="204">
        <v>43767</v>
      </c>
      <c r="N79" s="445">
        <v>5</v>
      </c>
      <c r="O79" s="343">
        <v>55</v>
      </c>
      <c r="P79" s="535">
        <f>VLOOKUP(E79,'Cost of items'!$A$3:$C$95,3,0)</f>
        <v>43.011942554799695</v>
      </c>
      <c r="Q79" s="179"/>
      <c r="R79" s="179"/>
      <c r="S79" s="179"/>
      <c r="T79" s="179"/>
      <c r="U79" s="179"/>
      <c r="V79" s="179"/>
      <c r="W79" s="179"/>
      <c r="X79" s="179"/>
      <c r="Y79" s="179"/>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c r="BE79" s="179"/>
      <c r="BF79" s="179"/>
      <c r="BG79" s="179"/>
      <c r="BH79" s="179"/>
      <c r="BI79" s="179"/>
      <c r="BJ79" s="179"/>
      <c r="BK79" s="179"/>
      <c r="BL79" s="179"/>
      <c r="BM79" s="179"/>
      <c r="BN79" s="179"/>
      <c r="BO79" s="179"/>
      <c r="BP79" s="179"/>
      <c r="BQ79" s="179"/>
      <c r="BR79" s="179"/>
      <c r="BS79" s="179"/>
      <c r="BT79" s="179"/>
      <c r="BU79" s="179"/>
      <c r="BV79" s="179"/>
      <c r="BW79" s="179"/>
      <c r="BX79" s="179"/>
      <c r="BY79" s="179"/>
      <c r="BZ79" s="179"/>
      <c r="CA79" s="179"/>
      <c r="CB79" s="179"/>
      <c r="CC79" s="179"/>
      <c r="CD79" s="179"/>
      <c r="CE79" s="179"/>
      <c r="CF79" s="179"/>
      <c r="CG79" s="179"/>
      <c r="CH79" s="179"/>
      <c r="CI79" s="179"/>
      <c r="CJ79" s="179"/>
      <c r="CK79" s="179"/>
      <c r="CL79" s="179"/>
      <c r="CM79" s="179"/>
      <c r="CN79" s="179"/>
      <c r="CO79" s="179"/>
      <c r="CP79" s="179"/>
      <c r="CQ79" s="179"/>
      <c r="CR79" s="179"/>
      <c r="CS79" s="179"/>
      <c r="CT79" s="179"/>
      <c r="CU79" s="179"/>
      <c r="CV79" s="179"/>
      <c r="CW79" s="179"/>
      <c r="CX79" s="179"/>
      <c r="CY79" s="179"/>
      <c r="CZ79" s="179"/>
      <c r="DA79" s="179"/>
      <c r="DB79" s="179"/>
      <c r="DC79" s="179"/>
      <c r="DD79" s="179"/>
      <c r="DE79" s="179"/>
      <c r="DF79" s="179"/>
      <c r="DG79" s="179"/>
      <c r="DH79" s="179"/>
      <c r="DI79" s="179"/>
      <c r="DJ79" s="179"/>
      <c r="DK79" s="179"/>
      <c r="DL79" s="179"/>
      <c r="DM79" s="179"/>
      <c r="DN79" s="179"/>
      <c r="DO79" s="179"/>
      <c r="DP79" s="179"/>
      <c r="DQ79" s="179"/>
      <c r="DR79" s="179"/>
      <c r="DS79" s="179"/>
      <c r="DT79" s="179"/>
      <c r="DU79" s="179"/>
      <c r="DV79" s="179"/>
      <c r="DW79" s="179"/>
      <c r="DX79" s="179"/>
      <c r="DY79" s="179"/>
      <c r="DZ79" s="179"/>
      <c r="EA79" s="179"/>
      <c r="EB79" s="179"/>
      <c r="EC79" s="179"/>
      <c r="ED79" s="179"/>
      <c r="EE79" s="179"/>
      <c r="EF79" s="179"/>
      <c r="EG79" s="179"/>
    </row>
    <row r="80" spans="1:137" s="354" customFormat="1" ht="38.25">
      <c r="A80" s="383">
        <v>79</v>
      </c>
      <c r="B80" s="202" t="s">
        <v>2044</v>
      </c>
      <c r="C80" s="203" t="s">
        <v>3459</v>
      </c>
      <c r="D80" s="191" t="s">
        <v>4064</v>
      </c>
      <c r="E80" s="191" t="s">
        <v>1937</v>
      </c>
      <c r="F80" s="203" t="s">
        <v>3933</v>
      </c>
      <c r="G80" s="203" t="s">
        <v>3829</v>
      </c>
      <c r="H80" s="240">
        <v>43767</v>
      </c>
      <c r="I80" s="202" t="s">
        <v>4053</v>
      </c>
      <c r="J80" s="204">
        <v>43740</v>
      </c>
      <c r="K80" s="178">
        <f t="shared" si="2"/>
        <v>2019</v>
      </c>
      <c r="L80" s="178">
        <f t="shared" si="3"/>
        <v>10</v>
      </c>
      <c r="M80" s="204">
        <v>43767</v>
      </c>
      <c r="N80" s="447"/>
      <c r="O80" s="343">
        <v>38</v>
      </c>
      <c r="P80" s="535">
        <f>VLOOKUP(E80,'Cost of items'!$A$3:$C$95,3,0)</f>
        <v>37.251851851851853</v>
      </c>
      <c r="Q80" s="179"/>
      <c r="R80" s="179"/>
      <c r="S80" s="179"/>
      <c r="T80" s="179"/>
      <c r="U80" s="179"/>
      <c r="V80" s="179"/>
      <c r="W80" s="179"/>
      <c r="X80" s="179"/>
      <c r="Y80" s="179"/>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c r="BE80" s="179"/>
      <c r="BF80" s="179"/>
      <c r="BG80" s="179"/>
      <c r="BH80" s="179"/>
      <c r="BI80" s="179"/>
      <c r="BJ80" s="179"/>
      <c r="BK80" s="179"/>
      <c r="BL80" s="179"/>
      <c r="BM80" s="179"/>
      <c r="BN80" s="179"/>
      <c r="BO80" s="179"/>
      <c r="BP80" s="179"/>
      <c r="BQ80" s="179"/>
      <c r="BR80" s="179"/>
      <c r="BS80" s="179"/>
      <c r="BT80" s="179"/>
      <c r="BU80" s="179"/>
      <c r="BV80" s="179"/>
      <c r="BW80" s="179"/>
      <c r="BX80" s="179"/>
      <c r="BY80" s="179"/>
      <c r="BZ80" s="179"/>
      <c r="CA80" s="179"/>
      <c r="CB80" s="179"/>
      <c r="CC80" s="179"/>
      <c r="CD80" s="179"/>
      <c r="CE80" s="179"/>
      <c r="CF80" s="179"/>
      <c r="CG80" s="179"/>
      <c r="CH80" s="179"/>
      <c r="CI80" s="179"/>
      <c r="CJ80" s="179"/>
      <c r="CK80" s="179"/>
      <c r="CL80" s="179"/>
      <c r="CM80" s="179"/>
      <c r="CN80" s="179"/>
      <c r="CO80" s="179"/>
      <c r="CP80" s="179"/>
      <c r="CQ80" s="179"/>
      <c r="CR80" s="179"/>
      <c r="CS80" s="179"/>
      <c r="CT80" s="179"/>
      <c r="CU80" s="179"/>
      <c r="CV80" s="179"/>
      <c r="CW80" s="179"/>
      <c r="CX80" s="179"/>
      <c r="CY80" s="179"/>
      <c r="CZ80" s="179"/>
      <c r="DA80" s="179"/>
      <c r="DB80" s="179"/>
      <c r="DC80" s="179"/>
      <c r="DD80" s="179"/>
      <c r="DE80" s="179"/>
      <c r="DF80" s="179"/>
      <c r="DG80" s="179"/>
      <c r="DH80" s="179"/>
      <c r="DI80" s="179"/>
      <c r="DJ80" s="179"/>
      <c r="DK80" s="179"/>
      <c r="DL80" s="179"/>
      <c r="DM80" s="179"/>
      <c r="DN80" s="179"/>
      <c r="DO80" s="179"/>
      <c r="DP80" s="179"/>
      <c r="DQ80" s="179"/>
      <c r="DR80" s="179"/>
      <c r="DS80" s="179"/>
      <c r="DT80" s="179"/>
      <c r="DU80" s="179"/>
      <c r="DV80" s="179"/>
      <c r="DW80" s="179"/>
      <c r="DX80" s="179"/>
      <c r="DY80" s="179"/>
      <c r="DZ80" s="179"/>
      <c r="EA80" s="179"/>
      <c r="EB80" s="179"/>
      <c r="EC80" s="179"/>
      <c r="ED80" s="179"/>
      <c r="EE80" s="179"/>
      <c r="EF80" s="179"/>
      <c r="EG80" s="179"/>
    </row>
    <row r="81" spans="1:137" s="354" customFormat="1" ht="25.5">
      <c r="A81" s="178">
        <v>80</v>
      </c>
      <c r="B81" s="202" t="s">
        <v>2044</v>
      </c>
      <c r="C81" s="202" t="s">
        <v>3501</v>
      </c>
      <c r="D81" s="385" t="s">
        <v>4064</v>
      </c>
      <c r="E81" s="13" t="s">
        <v>1621</v>
      </c>
      <c r="F81" s="203" t="s">
        <v>3934</v>
      </c>
      <c r="G81" s="203" t="s">
        <v>4034</v>
      </c>
      <c r="H81" s="240">
        <v>43770</v>
      </c>
      <c r="I81" s="202" t="s">
        <v>4054</v>
      </c>
      <c r="J81" s="240">
        <v>43759</v>
      </c>
      <c r="K81" s="178">
        <f t="shared" si="2"/>
        <v>2019</v>
      </c>
      <c r="L81" s="178">
        <f t="shared" si="3"/>
        <v>10</v>
      </c>
      <c r="M81" s="204">
        <v>43771</v>
      </c>
      <c r="N81" s="336">
        <v>4</v>
      </c>
      <c r="O81" s="343">
        <v>45</v>
      </c>
      <c r="P81" s="535">
        <f>VLOOKUP(E81,'Cost of items'!$A$3:$C$95,3,0)</f>
        <v>39.873015873015873</v>
      </c>
      <c r="Q81" s="179"/>
      <c r="R81" s="179"/>
      <c r="S81" s="179"/>
      <c r="T81" s="179"/>
      <c r="U81" s="179"/>
      <c r="V81" s="179"/>
      <c r="W81" s="179"/>
      <c r="X81" s="179"/>
      <c r="Y81" s="179"/>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c r="BE81" s="179"/>
      <c r="BF81" s="179"/>
      <c r="BG81" s="179"/>
      <c r="BH81" s="179"/>
      <c r="BI81" s="179"/>
      <c r="BJ81" s="179"/>
      <c r="BK81" s="179"/>
      <c r="BL81" s="179"/>
      <c r="BM81" s="179"/>
      <c r="BN81" s="179"/>
      <c r="BO81" s="179"/>
      <c r="BP81" s="179"/>
      <c r="BQ81" s="179"/>
      <c r="BR81" s="179"/>
      <c r="BS81" s="179"/>
      <c r="BT81" s="179"/>
      <c r="BU81" s="179"/>
      <c r="BV81" s="179"/>
      <c r="BW81" s="179"/>
      <c r="BX81" s="179"/>
      <c r="BY81" s="179"/>
      <c r="BZ81" s="179"/>
      <c r="CA81" s="179"/>
      <c r="CB81" s="179"/>
      <c r="CC81" s="179"/>
      <c r="CD81" s="179"/>
      <c r="CE81" s="179"/>
      <c r="CF81" s="179"/>
      <c r="CG81" s="179"/>
      <c r="CH81" s="179"/>
      <c r="CI81" s="179"/>
      <c r="CJ81" s="179"/>
      <c r="CK81" s="179"/>
      <c r="CL81" s="179"/>
      <c r="CM81" s="179"/>
      <c r="CN81" s="179"/>
      <c r="CO81" s="179"/>
      <c r="CP81" s="179"/>
      <c r="CQ81" s="179"/>
      <c r="CR81" s="179"/>
      <c r="CS81" s="179"/>
      <c r="CT81" s="179"/>
      <c r="CU81" s="179"/>
      <c r="CV81" s="179"/>
      <c r="CW81" s="179"/>
      <c r="CX81" s="179"/>
      <c r="CY81" s="179"/>
      <c r="CZ81" s="179"/>
      <c r="DA81" s="179"/>
      <c r="DB81" s="179"/>
      <c r="DC81" s="179"/>
      <c r="DD81" s="179"/>
      <c r="DE81" s="179"/>
      <c r="DF81" s="179"/>
      <c r="DG81" s="179"/>
      <c r="DH81" s="179"/>
      <c r="DI81" s="179"/>
      <c r="DJ81" s="179"/>
      <c r="DK81" s="179"/>
      <c r="DL81" s="179"/>
      <c r="DM81" s="179"/>
      <c r="DN81" s="179"/>
      <c r="DO81" s="179"/>
      <c r="DP81" s="179"/>
      <c r="DQ81" s="179"/>
      <c r="DR81" s="179"/>
      <c r="DS81" s="179"/>
      <c r="DT81" s="179"/>
      <c r="DU81" s="179"/>
      <c r="DV81" s="179"/>
      <c r="DW81" s="179"/>
      <c r="DX81" s="179"/>
      <c r="DY81" s="179"/>
      <c r="DZ81" s="179"/>
      <c r="EA81" s="179"/>
      <c r="EB81" s="179"/>
      <c r="EC81" s="179"/>
      <c r="ED81" s="179"/>
      <c r="EE81" s="179"/>
      <c r="EF81" s="179"/>
      <c r="EG81" s="179"/>
    </row>
    <row r="82" spans="1:137" s="354" customFormat="1" ht="25.5">
      <c r="A82" s="383">
        <v>81</v>
      </c>
      <c r="B82" s="202" t="s">
        <v>2044</v>
      </c>
      <c r="C82" s="203" t="s">
        <v>3510</v>
      </c>
      <c r="D82" s="13" t="s">
        <v>4064</v>
      </c>
      <c r="E82" s="13" t="s">
        <v>4084</v>
      </c>
      <c r="F82" s="203" t="s">
        <v>3935</v>
      </c>
      <c r="G82" s="203" t="s">
        <v>4032</v>
      </c>
      <c r="H82" s="240">
        <v>43780</v>
      </c>
      <c r="I82" s="202" t="s">
        <v>4053</v>
      </c>
      <c r="J82" s="204">
        <v>43766</v>
      </c>
      <c r="K82" s="178">
        <f t="shared" si="2"/>
        <v>2019</v>
      </c>
      <c r="L82" s="178">
        <f t="shared" si="3"/>
        <v>10</v>
      </c>
      <c r="M82" s="204">
        <v>43781</v>
      </c>
      <c r="N82" s="336">
        <v>4</v>
      </c>
      <c r="O82" s="343">
        <v>55</v>
      </c>
      <c r="P82" s="535">
        <f>VLOOKUP(E82,'Cost of items'!$A$3:$C$95,3,0)</f>
        <v>40.193008314436881</v>
      </c>
      <c r="Q82" s="179"/>
      <c r="R82" s="179"/>
      <c r="S82" s="179"/>
      <c r="T82" s="179"/>
      <c r="U82" s="179"/>
      <c r="V82" s="179"/>
      <c r="W82" s="179"/>
      <c r="X82" s="179"/>
      <c r="Y82" s="179"/>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c r="BE82" s="179"/>
      <c r="BF82" s="179"/>
      <c r="BG82" s="179"/>
      <c r="BH82" s="179"/>
      <c r="BI82" s="179"/>
      <c r="BJ82" s="179"/>
      <c r="BK82" s="179"/>
      <c r="BL82" s="179"/>
      <c r="BM82" s="179"/>
      <c r="BN82" s="179"/>
      <c r="BO82" s="179"/>
      <c r="BP82" s="179"/>
      <c r="BQ82" s="179"/>
      <c r="BR82" s="179"/>
      <c r="BS82" s="179"/>
      <c r="BT82" s="179"/>
      <c r="BU82" s="179"/>
      <c r="BV82" s="179"/>
      <c r="BW82" s="179"/>
      <c r="BX82" s="179"/>
      <c r="BY82" s="179"/>
      <c r="BZ82" s="179"/>
      <c r="CA82" s="179"/>
      <c r="CB82" s="179"/>
      <c r="CC82" s="179"/>
      <c r="CD82" s="179"/>
      <c r="CE82" s="179"/>
      <c r="CF82" s="179"/>
      <c r="CG82" s="179"/>
      <c r="CH82" s="179"/>
      <c r="CI82" s="179"/>
      <c r="CJ82" s="179"/>
      <c r="CK82" s="179"/>
      <c r="CL82" s="179"/>
      <c r="CM82" s="179"/>
      <c r="CN82" s="179"/>
      <c r="CO82" s="179"/>
      <c r="CP82" s="179"/>
      <c r="CQ82" s="179"/>
      <c r="CR82" s="179"/>
      <c r="CS82" s="179"/>
      <c r="CT82" s="179"/>
      <c r="CU82" s="179"/>
      <c r="CV82" s="179"/>
      <c r="CW82" s="179"/>
      <c r="CX82" s="179"/>
      <c r="CY82" s="179"/>
      <c r="CZ82" s="179"/>
      <c r="DA82" s="179"/>
      <c r="DB82" s="179"/>
      <c r="DC82" s="179"/>
      <c r="DD82" s="179"/>
      <c r="DE82" s="179"/>
      <c r="DF82" s="179"/>
      <c r="DG82" s="179"/>
      <c r="DH82" s="179"/>
      <c r="DI82" s="179"/>
      <c r="DJ82" s="179"/>
      <c r="DK82" s="179"/>
      <c r="DL82" s="179"/>
      <c r="DM82" s="179"/>
      <c r="DN82" s="179"/>
      <c r="DO82" s="179"/>
      <c r="DP82" s="179"/>
      <c r="DQ82" s="179"/>
      <c r="DR82" s="179"/>
      <c r="DS82" s="179"/>
      <c r="DT82" s="179"/>
      <c r="DU82" s="179"/>
      <c r="DV82" s="179"/>
      <c r="DW82" s="179"/>
      <c r="DX82" s="179"/>
      <c r="DY82" s="179"/>
      <c r="DZ82" s="179"/>
      <c r="EA82" s="179"/>
      <c r="EB82" s="179"/>
      <c r="EC82" s="179"/>
      <c r="ED82" s="179"/>
      <c r="EE82" s="179"/>
      <c r="EF82" s="179"/>
      <c r="EG82" s="179"/>
    </row>
    <row r="83" spans="1:137" s="354" customFormat="1" ht="38.25">
      <c r="A83" s="178">
        <v>82</v>
      </c>
      <c r="B83" s="202" t="s">
        <v>2044</v>
      </c>
      <c r="C83" s="203" t="s">
        <v>3513</v>
      </c>
      <c r="D83" s="13" t="s">
        <v>3971</v>
      </c>
      <c r="E83" s="189" t="s">
        <v>3816</v>
      </c>
      <c r="F83" s="203" t="s">
        <v>3936</v>
      </c>
      <c r="G83" s="203" t="s">
        <v>4035</v>
      </c>
      <c r="H83" s="240">
        <v>43794</v>
      </c>
      <c r="I83" s="202" t="s">
        <v>5</v>
      </c>
      <c r="J83" s="204">
        <v>43782</v>
      </c>
      <c r="K83" s="178">
        <f t="shared" si="2"/>
        <v>2019</v>
      </c>
      <c r="L83" s="178">
        <f t="shared" si="3"/>
        <v>11</v>
      </c>
      <c r="M83" s="204"/>
      <c r="N83" s="336"/>
      <c r="O83" s="343">
        <v>32</v>
      </c>
      <c r="P83" s="535">
        <f>VLOOKUP(E83,'Cost of items'!$A$3:$C$95,3,0)</f>
        <v>6.1989417989417985</v>
      </c>
      <c r="Q83" s="179"/>
      <c r="R83" s="179"/>
      <c r="S83" s="179"/>
      <c r="T83" s="179"/>
      <c r="U83" s="179"/>
      <c r="V83" s="179"/>
      <c r="W83" s="179"/>
      <c r="X83" s="179"/>
      <c r="Y83" s="179"/>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c r="BE83" s="179"/>
      <c r="BF83" s="179"/>
      <c r="BG83" s="179"/>
      <c r="BH83" s="179"/>
      <c r="BI83" s="179"/>
      <c r="BJ83" s="179"/>
      <c r="BK83" s="179"/>
      <c r="BL83" s="179"/>
      <c r="BM83" s="179"/>
      <c r="BN83" s="179"/>
      <c r="BO83" s="179"/>
      <c r="BP83" s="179"/>
      <c r="BQ83" s="179"/>
      <c r="BR83" s="179"/>
      <c r="BS83" s="179"/>
      <c r="BT83" s="179"/>
      <c r="BU83" s="179"/>
      <c r="BV83" s="179"/>
      <c r="BW83" s="179"/>
      <c r="BX83" s="179"/>
      <c r="BY83" s="179"/>
      <c r="BZ83" s="179"/>
      <c r="CA83" s="179"/>
      <c r="CB83" s="179"/>
      <c r="CC83" s="179"/>
      <c r="CD83" s="179"/>
      <c r="CE83" s="179"/>
      <c r="CF83" s="179"/>
      <c r="CG83" s="179"/>
      <c r="CH83" s="179"/>
      <c r="CI83" s="179"/>
      <c r="CJ83" s="179"/>
      <c r="CK83" s="179"/>
      <c r="CL83" s="179"/>
      <c r="CM83" s="179"/>
      <c r="CN83" s="179"/>
      <c r="CO83" s="179"/>
      <c r="CP83" s="179"/>
      <c r="CQ83" s="179"/>
      <c r="CR83" s="179"/>
      <c r="CS83" s="179"/>
      <c r="CT83" s="179"/>
      <c r="CU83" s="179"/>
      <c r="CV83" s="179"/>
      <c r="CW83" s="179"/>
      <c r="CX83" s="179"/>
      <c r="CY83" s="179"/>
      <c r="CZ83" s="179"/>
      <c r="DA83" s="179"/>
      <c r="DB83" s="179"/>
      <c r="DC83" s="179"/>
      <c r="DD83" s="179"/>
      <c r="DE83" s="179"/>
      <c r="DF83" s="179"/>
      <c r="DG83" s="179"/>
      <c r="DH83" s="179"/>
      <c r="DI83" s="179"/>
      <c r="DJ83" s="179"/>
      <c r="DK83" s="179"/>
      <c r="DL83" s="179"/>
      <c r="DM83" s="179"/>
      <c r="DN83" s="179"/>
      <c r="DO83" s="179"/>
      <c r="DP83" s="179"/>
      <c r="DQ83" s="179"/>
      <c r="DR83" s="179"/>
      <c r="DS83" s="179"/>
      <c r="DT83" s="179"/>
      <c r="DU83" s="179"/>
      <c r="DV83" s="179"/>
      <c r="DW83" s="179"/>
      <c r="DX83" s="179"/>
      <c r="DY83" s="179"/>
      <c r="DZ83" s="179"/>
      <c r="EA83" s="179"/>
      <c r="EB83" s="179"/>
      <c r="EC83" s="179"/>
      <c r="ED83" s="179"/>
      <c r="EE83" s="179"/>
      <c r="EF83" s="179"/>
      <c r="EG83" s="179"/>
    </row>
    <row r="84" spans="1:137" s="354" customFormat="1" ht="38.25">
      <c r="A84" s="383">
        <v>83</v>
      </c>
      <c r="B84" s="202" t="s">
        <v>2044</v>
      </c>
      <c r="C84" s="203" t="s">
        <v>3517</v>
      </c>
      <c r="D84" s="385" t="s">
        <v>4064</v>
      </c>
      <c r="E84" s="13" t="s">
        <v>1621</v>
      </c>
      <c r="F84" s="203" t="s">
        <v>3937</v>
      </c>
      <c r="G84" s="203" t="s">
        <v>4036</v>
      </c>
      <c r="H84" s="466" t="s">
        <v>3539</v>
      </c>
      <c r="I84" s="202" t="s">
        <v>4054</v>
      </c>
      <c r="J84" s="204">
        <v>43789</v>
      </c>
      <c r="K84" s="178">
        <f t="shared" si="2"/>
        <v>2019</v>
      </c>
      <c r="L84" s="178">
        <f t="shared" si="3"/>
        <v>11</v>
      </c>
      <c r="M84" s="204">
        <v>43866</v>
      </c>
      <c r="N84" s="460">
        <v>7</v>
      </c>
      <c r="O84" s="343">
        <v>45</v>
      </c>
      <c r="P84" s="535">
        <f>VLOOKUP(E84,'Cost of items'!$A$3:$C$95,3,0)</f>
        <v>39.873015873015873</v>
      </c>
      <c r="Q84" s="179"/>
      <c r="R84" s="179"/>
      <c r="S84" s="179"/>
      <c r="T84" s="179"/>
      <c r="U84" s="179"/>
      <c r="V84" s="179"/>
      <c r="W84" s="179"/>
      <c r="X84" s="179"/>
      <c r="Y84" s="179"/>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c r="BE84" s="179"/>
      <c r="BF84" s="179"/>
      <c r="BG84" s="179"/>
      <c r="BH84" s="179"/>
      <c r="BI84" s="179"/>
      <c r="BJ84" s="179"/>
      <c r="BK84" s="179"/>
      <c r="BL84" s="179"/>
      <c r="BM84" s="179"/>
      <c r="BN84" s="179"/>
      <c r="BO84" s="179"/>
      <c r="BP84" s="179"/>
      <c r="BQ84" s="179"/>
      <c r="BR84" s="179"/>
      <c r="BS84" s="179"/>
      <c r="BT84" s="179"/>
      <c r="BU84" s="179"/>
      <c r="BV84" s="179"/>
      <c r="BW84" s="179"/>
      <c r="BX84" s="179"/>
      <c r="BY84" s="179"/>
      <c r="BZ84" s="179"/>
      <c r="CA84" s="179"/>
      <c r="CB84" s="179"/>
      <c r="CC84" s="179"/>
      <c r="CD84" s="179"/>
      <c r="CE84" s="179"/>
      <c r="CF84" s="179"/>
      <c r="CG84" s="179"/>
      <c r="CH84" s="179"/>
      <c r="CI84" s="179"/>
      <c r="CJ84" s="179"/>
      <c r="CK84" s="179"/>
      <c r="CL84" s="179"/>
      <c r="CM84" s="179"/>
      <c r="CN84" s="179"/>
      <c r="CO84" s="179"/>
      <c r="CP84" s="179"/>
      <c r="CQ84" s="179"/>
      <c r="CR84" s="179"/>
      <c r="CS84" s="179"/>
      <c r="CT84" s="179"/>
      <c r="CU84" s="179"/>
      <c r="CV84" s="179"/>
      <c r="CW84" s="179"/>
      <c r="CX84" s="179"/>
      <c r="CY84" s="179"/>
      <c r="CZ84" s="179"/>
      <c r="DA84" s="179"/>
      <c r="DB84" s="179"/>
      <c r="DC84" s="179"/>
      <c r="DD84" s="179"/>
      <c r="DE84" s="179"/>
      <c r="DF84" s="179"/>
      <c r="DG84" s="179"/>
      <c r="DH84" s="179"/>
      <c r="DI84" s="179"/>
      <c r="DJ84" s="179"/>
      <c r="DK84" s="179"/>
      <c r="DL84" s="179"/>
      <c r="DM84" s="179"/>
      <c r="DN84" s="179"/>
      <c r="DO84" s="179"/>
      <c r="DP84" s="179"/>
      <c r="DQ84" s="179"/>
      <c r="DR84" s="179"/>
      <c r="DS84" s="179"/>
      <c r="DT84" s="179"/>
      <c r="DU84" s="179"/>
      <c r="DV84" s="179"/>
      <c r="DW84" s="179"/>
      <c r="DX84" s="179"/>
      <c r="DY84" s="179"/>
      <c r="DZ84" s="179"/>
      <c r="EA84" s="179"/>
      <c r="EB84" s="179"/>
      <c r="EC84" s="179"/>
      <c r="ED84" s="179"/>
      <c r="EE84" s="179"/>
      <c r="EF84" s="179"/>
      <c r="EG84" s="179"/>
    </row>
    <row r="85" spans="1:137" s="354" customFormat="1" ht="38.25">
      <c r="A85" s="178">
        <v>84</v>
      </c>
      <c r="B85" s="202" t="s">
        <v>2044</v>
      </c>
      <c r="C85" s="203" t="s">
        <v>3517</v>
      </c>
      <c r="D85" s="203" t="s">
        <v>4066</v>
      </c>
      <c r="E85" s="189" t="s">
        <v>3825</v>
      </c>
      <c r="F85" s="203" t="s">
        <v>3937</v>
      </c>
      <c r="G85" s="203" t="s">
        <v>4037</v>
      </c>
      <c r="H85" s="467"/>
      <c r="I85" s="202" t="s">
        <v>4054</v>
      </c>
      <c r="J85" s="204">
        <v>43789</v>
      </c>
      <c r="K85" s="178">
        <f t="shared" si="2"/>
        <v>2019</v>
      </c>
      <c r="L85" s="178">
        <f t="shared" si="3"/>
        <v>11</v>
      </c>
      <c r="M85" s="204">
        <v>43866</v>
      </c>
      <c r="N85" s="461"/>
      <c r="O85" s="343">
        <v>60</v>
      </c>
      <c r="P85" s="535">
        <f>VLOOKUP(E85,'Cost of items'!$A$3:$C$95,3,0)</f>
        <v>51.571428571428569</v>
      </c>
      <c r="Q85" s="179"/>
      <c r="R85" s="179"/>
      <c r="S85" s="179"/>
      <c r="T85" s="179"/>
      <c r="U85" s="179"/>
      <c r="V85" s="179"/>
      <c r="W85" s="179"/>
      <c r="X85" s="179"/>
      <c r="Y85" s="179"/>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c r="BE85" s="179"/>
      <c r="BF85" s="179"/>
      <c r="BG85" s="179"/>
      <c r="BH85" s="179"/>
      <c r="BI85" s="179"/>
      <c r="BJ85" s="179"/>
      <c r="BK85" s="179"/>
      <c r="BL85" s="179"/>
      <c r="BM85" s="179"/>
      <c r="BN85" s="179"/>
      <c r="BO85" s="179"/>
      <c r="BP85" s="179"/>
      <c r="BQ85" s="179"/>
      <c r="BR85" s="179"/>
      <c r="BS85" s="179"/>
      <c r="BT85" s="179"/>
      <c r="BU85" s="179"/>
      <c r="BV85" s="179"/>
      <c r="BW85" s="179"/>
      <c r="BX85" s="179"/>
      <c r="BY85" s="179"/>
      <c r="BZ85" s="179"/>
      <c r="CA85" s="179"/>
      <c r="CB85" s="179"/>
      <c r="CC85" s="179"/>
      <c r="CD85" s="179"/>
      <c r="CE85" s="179"/>
      <c r="CF85" s="179"/>
      <c r="CG85" s="179"/>
      <c r="CH85" s="179"/>
      <c r="CI85" s="179"/>
      <c r="CJ85" s="179"/>
      <c r="CK85" s="179"/>
      <c r="CL85" s="179"/>
      <c r="CM85" s="179"/>
      <c r="CN85" s="179"/>
      <c r="CO85" s="179"/>
      <c r="CP85" s="179"/>
      <c r="CQ85" s="179"/>
      <c r="CR85" s="179"/>
      <c r="CS85" s="179"/>
      <c r="CT85" s="179"/>
      <c r="CU85" s="179"/>
      <c r="CV85" s="179"/>
      <c r="CW85" s="179"/>
      <c r="CX85" s="179"/>
      <c r="CY85" s="179"/>
      <c r="CZ85" s="179"/>
      <c r="DA85" s="179"/>
      <c r="DB85" s="179"/>
      <c r="DC85" s="179"/>
      <c r="DD85" s="179"/>
      <c r="DE85" s="179"/>
      <c r="DF85" s="179"/>
      <c r="DG85" s="179"/>
      <c r="DH85" s="179"/>
      <c r="DI85" s="179"/>
      <c r="DJ85" s="179"/>
      <c r="DK85" s="179"/>
      <c r="DL85" s="179"/>
      <c r="DM85" s="179"/>
      <c r="DN85" s="179"/>
      <c r="DO85" s="179"/>
      <c r="DP85" s="179"/>
      <c r="DQ85" s="179"/>
      <c r="DR85" s="179"/>
      <c r="DS85" s="179"/>
      <c r="DT85" s="179"/>
      <c r="DU85" s="179"/>
      <c r="DV85" s="179"/>
      <c r="DW85" s="179"/>
      <c r="DX85" s="179"/>
      <c r="DY85" s="179"/>
      <c r="DZ85" s="179"/>
      <c r="EA85" s="179"/>
      <c r="EB85" s="179"/>
      <c r="EC85" s="179"/>
      <c r="ED85" s="179"/>
      <c r="EE85" s="179"/>
      <c r="EF85" s="179"/>
      <c r="EG85" s="179"/>
    </row>
    <row r="86" spans="1:137" s="354" customFormat="1" ht="38.25">
      <c r="A86" s="383">
        <v>85</v>
      </c>
      <c r="B86" s="202" t="s">
        <v>2044</v>
      </c>
      <c r="C86" s="203" t="s">
        <v>3517</v>
      </c>
      <c r="D86" s="203" t="s">
        <v>4072</v>
      </c>
      <c r="E86" s="189" t="s">
        <v>2076</v>
      </c>
      <c r="F86" s="203" t="s">
        <v>3937</v>
      </c>
      <c r="G86" s="203" t="s">
        <v>4010</v>
      </c>
      <c r="H86" s="468"/>
      <c r="I86" s="202" t="s">
        <v>4054</v>
      </c>
      <c r="J86" s="204">
        <v>43802</v>
      </c>
      <c r="K86" s="178">
        <f t="shared" si="2"/>
        <v>2019</v>
      </c>
      <c r="L86" s="178">
        <f t="shared" si="3"/>
        <v>12</v>
      </c>
      <c r="M86" s="204">
        <v>43866</v>
      </c>
      <c r="N86" s="462"/>
      <c r="O86" s="343">
        <v>20</v>
      </c>
      <c r="P86" s="535">
        <f>VLOOKUP(E86,'Cost of items'!$A$3:$C$95,3,0)</f>
        <v>14.521950271950272</v>
      </c>
      <c r="Q86" s="179"/>
      <c r="R86" s="179"/>
      <c r="S86" s="179"/>
      <c r="T86" s="179"/>
      <c r="U86" s="179"/>
      <c r="V86" s="179"/>
      <c r="W86" s="179"/>
      <c r="X86" s="179"/>
      <c r="Y86" s="179"/>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c r="BE86" s="179"/>
      <c r="BF86" s="179"/>
      <c r="BG86" s="179"/>
      <c r="BH86" s="179"/>
      <c r="BI86" s="179"/>
      <c r="BJ86" s="179"/>
      <c r="BK86" s="179"/>
      <c r="BL86" s="179"/>
      <c r="BM86" s="179"/>
      <c r="BN86" s="179"/>
      <c r="BO86" s="179"/>
      <c r="BP86" s="179"/>
      <c r="BQ86" s="179"/>
      <c r="BR86" s="179"/>
      <c r="BS86" s="179"/>
      <c r="BT86" s="179"/>
      <c r="BU86" s="179"/>
      <c r="BV86" s="179"/>
      <c r="BW86" s="179"/>
      <c r="BX86" s="179"/>
      <c r="BY86" s="179"/>
      <c r="BZ86" s="179"/>
      <c r="CA86" s="179"/>
      <c r="CB86" s="179"/>
      <c r="CC86" s="179"/>
      <c r="CD86" s="179"/>
      <c r="CE86" s="179"/>
      <c r="CF86" s="179"/>
      <c r="CG86" s="179"/>
      <c r="CH86" s="179"/>
      <c r="CI86" s="179"/>
      <c r="CJ86" s="179"/>
      <c r="CK86" s="179"/>
      <c r="CL86" s="179"/>
      <c r="CM86" s="179"/>
      <c r="CN86" s="179"/>
      <c r="CO86" s="179"/>
      <c r="CP86" s="179"/>
      <c r="CQ86" s="179"/>
      <c r="CR86" s="179"/>
      <c r="CS86" s="179"/>
      <c r="CT86" s="179"/>
      <c r="CU86" s="179"/>
      <c r="CV86" s="179"/>
      <c r="CW86" s="179"/>
      <c r="CX86" s="179"/>
      <c r="CY86" s="179"/>
      <c r="CZ86" s="179"/>
      <c r="DA86" s="179"/>
      <c r="DB86" s="179"/>
      <c r="DC86" s="179"/>
      <c r="DD86" s="179"/>
      <c r="DE86" s="179"/>
      <c r="DF86" s="179"/>
      <c r="DG86" s="179"/>
      <c r="DH86" s="179"/>
      <c r="DI86" s="179"/>
      <c r="DJ86" s="179"/>
      <c r="DK86" s="179"/>
      <c r="DL86" s="179"/>
      <c r="DM86" s="179"/>
      <c r="DN86" s="179"/>
      <c r="DO86" s="179"/>
      <c r="DP86" s="179"/>
      <c r="DQ86" s="179"/>
      <c r="DR86" s="179"/>
      <c r="DS86" s="179"/>
      <c r="DT86" s="179"/>
      <c r="DU86" s="179"/>
      <c r="DV86" s="179"/>
      <c r="DW86" s="179"/>
      <c r="DX86" s="179"/>
      <c r="DY86" s="179"/>
      <c r="DZ86" s="179"/>
      <c r="EA86" s="179"/>
      <c r="EB86" s="179"/>
      <c r="EC86" s="179"/>
      <c r="ED86" s="179"/>
      <c r="EE86" s="179"/>
      <c r="EF86" s="179"/>
      <c r="EG86" s="179"/>
    </row>
    <row r="87" spans="1:137" s="354" customFormat="1" ht="38.25">
      <c r="A87" s="178">
        <v>86</v>
      </c>
      <c r="B87" s="203" t="s">
        <v>2044</v>
      </c>
      <c r="C87" s="203" t="s">
        <v>3513</v>
      </c>
      <c r="D87" s="13" t="s">
        <v>3971</v>
      </c>
      <c r="E87" s="189" t="s">
        <v>3816</v>
      </c>
      <c r="F87" s="203" t="s">
        <v>3940</v>
      </c>
      <c r="G87" s="203" t="s">
        <v>4040</v>
      </c>
      <c r="H87" s="240">
        <v>43847</v>
      </c>
      <c r="I87" s="202" t="s">
        <v>5</v>
      </c>
      <c r="J87" s="204">
        <v>43841</v>
      </c>
      <c r="K87" s="178">
        <f t="shared" si="2"/>
        <v>2020</v>
      </c>
      <c r="L87" s="178">
        <f t="shared" si="3"/>
        <v>1</v>
      </c>
      <c r="M87" s="240">
        <v>43847</v>
      </c>
      <c r="N87" s="336"/>
      <c r="O87" s="343">
        <v>8</v>
      </c>
      <c r="P87" s="535">
        <f>VLOOKUP(E87,'Cost of items'!$A$3:$C$95,3,0)</f>
        <v>6.1989417989417985</v>
      </c>
      <c r="Q87" s="179"/>
      <c r="R87" s="179"/>
      <c r="S87" s="179"/>
      <c r="T87" s="179"/>
      <c r="U87" s="179"/>
      <c r="V87" s="179"/>
      <c r="W87" s="179"/>
      <c r="X87" s="179"/>
      <c r="Y87" s="179"/>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c r="BE87" s="179"/>
      <c r="BF87" s="179"/>
      <c r="BG87" s="179"/>
      <c r="BH87" s="179"/>
      <c r="BI87" s="179"/>
      <c r="BJ87" s="179"/>
      <c r="BK87" s="179"/>
      <c r="BL87" s="179"/>
      <c r="BM87" s="179"/>
      <c r="BN87" s="179"/>
      <c r="BO87" s="179"/>
      <c r="BP87" s="179"/>
      <c r="BQ87" s="179"/>
      <c r="BR87" s="179"/>
      <c r="BS87" s="179"/>
      <c r="BT87" s="179"/>
      <c r="BU87" s="179"/>
      <c r="BV87" s="179"/>
      <c r="BW87" s="179"/>
      <c r="BX87" s="179"/>
      <c r="BY87" s="179"/>
      <c r="BZ87" s="179"/>
      <c r="CA87" s="179"/>
      <c r="CB87" s="179"/>
      <c r="CC87" s="179"/>
      <c r="CD87" s="179"/>
      <c r="CE87" s="179"/>
      <c r="CF87" s="179"/>
      <c r="CG87" s="179"/>
      <c r="CH87" s="179"/>
      <c r="CI87" s="179"/>
      <c r="CJ87" s="179"/>
      <c r="CK87" s="179"/>
      <c r="CL87" s="179"/>
      <c r="CM87" s="179"/>
      <c r="CN87" s="179"/>
      <c r="CO87" s="179"/>
      <c r="CP87" s="179"/>
      <c r="CQ87" s="179"/>
      <c r="CR87" s="179"/>
      <c r="CS87" s="179"/>
      <c r="CT87" s="179"/>
      <c r="CU87" s="179"/>
      <c r="CV87" s="179"/>
      <c r="CW87" s="179"/>
      <c r="CX87" s="179"/>
      <c r="CY87" s="179"/>
      <c r="CZ87" s="179"/>
      <c r="DA87" s="179"/>
      <c r="DB87" s="179"/>
      <c r="DC87" s="179"/>
      <c r="DD87" s="179"/>
      <c r="DE87" s="179"/>
      <c r="DF87" s="179"/>
      <c r="DG87" s="179"/>
      <c r="DH87" s="179"/>
      <c r="DI87" s="179"/>
      <c r="DJ87" s="179"/>
      <c r="DK87" s="179"/>
      <c r="DL87" s="179"/>
      <c r="DM87" s="179"/>
      <c r="DN87" s="179"/>
      <c r="DO87" s="179"/>
      <c r="DP87" s="179"/>
      <c r="DQ87" s="179"/>
      <c r="DR87" s="179"/>
      <c r="DS87" s="179"/>
      <c r="DT87" s="179"/>
      <c r="DU87" s="179"/>
      <c r="DV87" s="179"/>
      <c r="DW87" s="179"/>
      <c r="DX87" s="179"/>
      <c r="DY87" s="179"/>
      <c r="DZ87" s="179"/>
      <c r="EA87" s="179"/>
      <c r="EB87" s="179"/>
      <c r="EC87" s="179"/>
      <c r="ED87" s="179"/>
      <c r="EE87" s="179"/>
      <c r="EF87" s="179"/>
      <c r="EG87" s="179"/>
    </row>
    <row r="88" spans="1:137" s="78" customFormat="1" ht="38.25">
      <c r="A88" s="383">
        <v>87</v>
      </c>
      <c r="B88" s="203" t="s">
        <v>2044</v>
      </c>
      <c r="C88" s="236" t="s">
        <v>3540</v>
      </c>
      <c r="D88" s="13" t="s">
        <v>4064</v>
      </c>
      <c r="E88" s="13" t="s">
        <v>3537</v>
      </c>
      <c r="F88" s="236" t="s">
        <v>3941</v>
      </c>
      <c r="G88" s="236" t="s">
        <v>4041</v>
      </c>
      <c r="H88" s="238">
        <v>43886</v>
      </c>
      <c r="I88" s="235" t="s">
        <v>4053</v>
      </c>
      <c r="J88" s="237">
        <v>43877</v>
      </c>
      <c r="K88" s="178">
        <f t="shared" si="2"/>
        <v>2020</v>
      </c>
      <c r="L88" s="178">
        <f t="shared" si="3"/>
        <v>2</v>
      </c>
      <c r="M88" s="237">
        <v>43893</v>
      </c>
      <c r="N88" s="342">
        <v>5</v>
      </c>
      <c r="O88" s="343">
        <v>45</v>
      </c>
      <c r="P88" s="535">
        <f>VLOOKUP(E88,'Cost of items'!$A$3:$C$95,3,0)</f>
        <v>34.656613756613758</v>
      </c>
      <c r="Q88" s="179"/>
      <c r="R88" s="179"/>
      <c r="S88" s="179"/>
      <c r="T88" s="179"/>
      <c r="U88" s="179"/>
      <c r="V88" s="179"/>
      <c r="W88" s="179"/>
      <c r="X88" s="179"/>
      <c r="Y88" s="179"/>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c r="BE88" s="179"/>
      <c r="BF88" s="179"/>
      <c r="BG88" s="179"/>
      <c r="BH88" s="179"/>
      <c r="BI88" s="179"/>
      <c r="BJ88" s="179"/>
      <c r="BK88" s="179"/>
      <c r="BL88" s="179"/>
      <c r="BM88" s="179"/>
      <c r="BN88" s="179"/>
      <c r="BO88" s="179"/>
      <c r="BP88" s="179"/>
      <c r="BQ88" s="179"/>
      <c r="BR88" s="179"/>
      <c r="BS88" s="179"/>
      <c r="BT88" s="179"/>
      <c r="BU88" s="179"/>
      <c r="BV88" s="179"/>
      <c r="BW88" s="179"/>
      <c r="BX88" s="179"/>
      <c r="BY88" s="179"/>
      <c r="BZ88" s="179"/>
      <c r="CA88" s="179"/>
      <c r="CB88" s="179"/>
      <c r="CC88" s="179"/>
      <c r="CD88" s="179"/>
      <c r="CE88" s="179"/>
      <c r="CF88" s="179"/>
      <c r="CG88" s="179"/>
      <c r="CH88" s="179"/>
      <c r="CI88" s="179"/>
      <c r="CJ88" s="179"/>
      <c r="CK88" s="179"/>
      <c r="CL88" s="179"/>
      <c r="CM88" s="179"/>
      <c r="CN88" s="179"/>
      <c r="CO88" s="179"/>
      <c r="CP88" s="179"/>
      <c r="CQ88" s="179"/>
      <c r="CR88" s="179"/>
      <c r="CS88" s="179"/>
      <c r="CT88" s="179"/>
      <c r="CU88" s="179"/>
      <c r="CV88" s="179"/>
      <c r="CW88" s="179"/>
      <c r="CX88" s="179"/>
      <c r="CY88" s="179"/>
      <c r="CZ88" s="179"/>
      <c r="DA88" s="179"/>
      <c r="DB88" s="179"/>
      <c r="DC88" s="179"/>
      <c r="DD88" s="179"/>
      <c r="DE88" s="179"/>
      <c r="DF88" s="179"/>
      <c r="DG88" s="179"/>
      <c r="DH88" s="179"/>
      <c r="DI88" s="179"/>
      <c r="DJ88" s="179"/>
      <c r="DK88" s="179"/>
      <c r="DL88" s="179"/>
      <c r="DM88" s="179"/>
      <c r="DN88" s="179"/>
      <c r="DO88" s="179"/>
      <c r="DP88" s="179"/>
      <c r="DQ88" s="179"/>
      <c r="DR88" s="179"/>
      <c r="DS88" s="179"/>
      <c r="DT88" s="179"/>
      <c r="DU88" s="179"/>
      <c r="DV88" s="179"/>
      <c r="DW88" s="179"/>
      <c r="DX88" s="179"/>
      <c r="DY88" s="179"/>
      <c r="DZ88" s="179"/>
      <c r="EA88" s="179"/>
      <c r="EB88" s="179"/>
      <c r="EC88" s="179"/>
      <c r="ED88" s="179"/>
      <c r="EE88" s="179"/>
      <c r="EF88" s="179"/>
      <c r="EG88" s="179"/>
    </row>
    <row r="89" spans="1:137" s="354" customFormat="1" ht="38.25">
      <c r="A89" s="178">
        <v>88</v>
      </c>
      <c r="B89" s="235" t="s">
        <v>2044</v>
      </c>
      <c r="C89" s="236" t="s">
        <v>3558</v>
      </c>
      <c r="D89" s="385" t="s">
        <v>4064</v>
      </c>
      <c r="E89" s="13" t="s">
        <v>1621</v>
      </c>
      <c r="F89" s="236" t="s">
        <v>3944</v>
      </c>
      <c r="G89" s="236" t="s">
        <v>4043</v>
      </c>
      <c r="H89" s="238">
        <v>44008</v>
      </c>
      <c r="I89" s="235" t="s">
        <v>4053</v>
      </c>
      <c r="J89" s="237">
        <v>43936</v>
      </c>
      <c r="K89" s="178">
        <f t="shared" si="2"/>
        <v>2020</v>
      </c>
      <c r="L89" s="178">
        <f t="shared" si="3"/>
        <v>4</v>
      </c>
      <c r="M89" s="238">
        <v>44008</v>
      </c>
      <c r="N89" s="333" t="s">
        <v>4058</v>
      </c>
      <c r="O89" s="343">
        <v>26</v>
      </c>
      <c r="P89" s="535">
        <f>VLOOKUP(E89,'Cost of items'!$A$3:$C$95,3,0)</f>
        <v>39.873015873015873</v>
      </c>
      <c r="Q89" s="179"/>
      <c r="R89" s="179"/>
      <c r="S89" s="179"/>
      <c r="T89" s="179"/>
      <c r="U89" s="179"/>
      <c r="V89" s="179"/>
      <c r="W89" s="179"/>
      <c r="X89" s="179"/>
      <c r="Y89" s="179"/>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c r="BE89" s="179"/>
      <c r="BF89" s="179"/>
      <c r="BG89" s="179"/>
      <c r="BH89" s="179"/>
      <c r="BI89" s="179"/>
      <c r="BJ89" s="179"/>
      <c r="BK89" s="179"/>
      <c r="BL89" s="179"/>
      <c r="BM89" s="179"/>
      <c r="BN89" s="179"/>
      <c r="BO89" s="179"/>
      <c r="BP89" s="179"/>
      <c r="BQ89" s="179"/>
      <c r="BR89" s="179"/>
      <c r="BS89" s="179"/>
      <c r="BT89" s="179"/>
      <c r="BU89" s="179"/>
      <c r="BV89" s="179"/>
      <c r="BW89" s="179"/>
      <c r="BX89" s="179"/>
      <c r="BY89" s="179"/>
      <c r="BZ89" s="179"/>
      <c r="CA89" s="179"/>
      <c r="CB89" s="179"/>
      <c r="CC89" s="179"/>
      <c r="CD89" s="179"/>
      <c r="CE89" s="179"/>
      <c r="CF89" s="179"/>
      <c r="CG89" s="179"/>
      <c r="CH89" s="179"/>
      <c r="CI89" s="179"/>
      <c r="CJ89" s="179"/>
      <c r="CK89" s="179"/>
      <c r="CL89" s="179"/>
      <c r="CM89" s="179"/>
      <c r="CN89" s="179"/>
      <c r="CO89" s="179"/>
      <c r="CP89" s="179"/>
      <c r="CQ89" s="179"/>
      <c r="CR89" s="179"/>
      <c r="CS89" s="179"/>
      <c r="CT89" s="179"/>
      <c r="CU89" s="179"/>
      <c r="CV89" s="179"/>
      <c r="CW89" s="179"/>
      <c r="CX89" s="179"/>
      <c r="CY89" s="179"/>
      <c r="CZ89" s="179"/>
      <c r="DA89" s="179"/>
      <c r="DB89" s="179"/>
      <c r="DC89" s="179"/>
      <c r="DD89" s="179"/>
      <c r="DE89" s="179"/>
      <c r="DF89" s="179"/>
      <c r="DG89" s="179"/>
      <c r="DH89" s="179"/>
      <c r="DI89" s="179"/>
      <c r="DJ89" s="179"/>
      <c r="DK89" s="179"/>
      <c r="DL89" s="179"/>
      <c r="DM89" s="179"/>
      <c r="DN89" s="179"/>
      <c r="DO89" s="179"/>
      <c r="DP89" s="179"/>
      <c r="DQ89" s="179"/>
      <c r="DR89" s="179"/>
      <c r="DS89" s="179"/>
      <c r="DT89" s="179"/>
      <c r="DU89" s="179"/>
      <c r="DV89" s="179"/>
      <c r="DW89" s="179"/>
      <c r="DX89" s="179"/>
      <c r="DY89" s="179"/>
      <c r="DZ89" s="179"/>
      <c r="EA89" s="179"/>
      <c r="EB89" s="179"/>
      <c r="EC89" s="179"/>
      <c r="ED89" s="179"/>
      <c r="EE89" s="179"/>
      <c r="EF89" s="179"/>
      <c r="EG89" s="179"/>
    </row>
    <row r="90" spans="1:137" s="78" customFormat="1" ht="51">
      <c r="A90" s="383">
        <v>89</v>
      </c>
      <c r="B90" s="235" t="s">
        <v>2044</v>
      </c>
      <c r="C90" s="236" t="s">
        <v>3562</v>
      </c>
      <c r="D90" s="385" t="s">
        <v>4064</v>
      </c>
      <c r="E90" s="13" t="s">
        <v>1621</v>
      </c>
      <c r="F90" s="236" t="s">
        <v>3945</v>
      </c>
      <c r="G90" s="236" t="s">
        <v>4044</v>
      </c>
      <c r="H90" s="238">
        <v>43991</v>
      </c>
      <c r="I90" s="235" t="s">
        <v>4055</v>
      </c>
      <c r="J90" s="237">
        <v>43956</v>
      </c>
      <c r="K90" s="178">
        <f t="shared" si="2"/>
        <v>2020</v>
      </c>
      <c r="L90" s="178">
        <f t="shared" si="3"/>
        <v>5</v>
      </c>
      <c r="M90" s="237">
        <v>43992</v>
      </c>
      <c r="N90" s="342">
        <v>5</v>
      </c>
      <c r="O90" s="343">
        <v>47</v>
      </c>
      <c r="P90" s="535">
        <f>VLOOKUP(E90,'Cost of items'!$A$3:$C$95,3,0)</f>
        <v>39.873015873015873</v>
      </c>
      <c r="Q90" s="179"/>
      <c r="R90" s="179"/>
      <c r="S90" s="179"/>
      <c r="T90" s="179"/>
      <c r="U90" s="179"/>
      <c r="V90" s="179"/>
      <c r="W90" s="179"/>
      <c r="X90" s="179"/>
      <c r="Y90" s="179"/>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c r="BE90" s="179"/>
      <c r="BF90" s="179"/>
      <c r="BG90" s="179"/>
      <c r="BH90" s="179"/>
      <c r="BI90" s="179"/>
      <c r="BJ90" s="179"/>
      <c r="BK90" s="179"/>
      <c r="BL90" s="179"/>
      <c r="BM90" s="179"/>
      <c r="BN90" s="179"/>
      <c r="BO90" s="179"/>
      <c r="BP90" s="179"/>
      <c r="BQ90" s="179"/>
      <c r="BR90" s="179"/>
      <c r="BS90" s="179"/>
      <c r="BT90" s="179"/>
      <c r="BU90" s="179"/>
      <c r="BV90" s="179"/>
      <c r="BW90" s="179"/>
      <c r="BX90" s="179"/>
      <c r="BY90" s="179"/>
      <c r="BZ90" s="179"/>
      <c r="CA90" s="179"/>
      <c r="CB90" s="179"/>
      <c r="CC90" s="179"/>
      <c r="CD90" s="179"/>
      <c r="CE90" s="179"/>
      <c r="CF90" s="179"/>
      <c r="CG90" s="179"/>
      <c r="CH90" s="179"/>
      <c r="CI90" s="179"/>
      <c r="CJ90" s="179"/>
      <c r="CK90" s="179"/>
      <c r="CL90" s="179"/>
      <c r="CM90" s="179"/>
      <c r="CN90" s="179"/>
      <c r="CO90" s="179"/>
      <c r="CP90" s="179"/>
      <c r="CQ90" s="179"/>
      <c r="CR90" s="179"/>
      <c r="CS90" s="179"/>
      <c r="CT90" s="179"/>
      <c r="CU90" s="179"/>
      <c r="CV90" s="179"/>
      <c r="CW90" s="179"/>
      <c r="CX90" s="179"/>
      <c r="CY90" s="179"/>
      <c r="CZ90" s="179"/>
      <c r="DA90" s="179"/>
      <c r="DB90" s="179"/>
      <c r="DC90" s="179"/>
      <c r="DD90" s="179"/>
      <c r="DE90" s="179"/>
      <c r="DF90" s="179"/>
      <c r="DG90" s="179"/>
      <c r="DH90" s="179"/>
      <c r="DI90" s="179"/>
      <c r="DJ90" s="179"/>
      <c r="DK90" s="179"/>
      <c r="DL90" s="179"/>
      <c r="DM90" s="179"/>
      <c r="DN90" s="179"/>
      <c r="DO90" s="179"/>
      <c r="DP90" s="179"/>
      <c r="DQ90" s="179"/>
      <c r="DR90" s="179"/>
      <c r="DS90" s="179"/>
      <c r="DT90" s="179"/>
      <c r="DU90" s="179"/>
      <c r="DV90" s="179"/>
      <c r="DW90" s="179"/>
      <c r="DX90" s="179"/>
      <c r="DY90" s="179"/>
      <c r="DZ90" s="179"/>
      <c r="EA90" s="179"/>
      <c r="EB90" s="179"/>
      <c r="EC90" s="179"/>
      <c r="ED90" s="179"/>
      <c r="EE90" s="179"/>
      <c r="EF90" s="179"/>
      <c r="EG90" s="179"/>
    </row>
    <row r="91" spans="1:137" s="354" customFormat="1" ht="38.25">
      <c r="A91" s="178">
        <v>90</v>
      </c>
      <c r="B91" s="235" t="s">
        <v>2044</v>
      </c>
      <c r="C91" s="236" t="s">
        <v>3574</v>
      </c>
      <c r="D91" s="385" t="s">
        <v>4064</v>
      </c>
      <c r="E91" s="13" t="s">
        <v>1621</v>
      </c>
      <c r="F91" s="236" t="s">
        <v>3947</v>
      </c>
      <c r="G91" s="236" t="s">
        <v>4045</v>
      </c>
      <c r="H91" s="238">
        <v>44010</v>
      </c>
      <c r="I91" s="235" t="s">
        <v>4055</v>
      </c>
      <c r="J91" s="204">
        <v>43962</v>
      </c>
      <c r="K91" s="178">
        <f t="shared" ref="K91:K107" si="4">YEAR(J91)</f>
        <v>2020</v>
      </c>
      <c r="L91" s="178">
        <f t="shared" ref="L91:L107" si="5">MONTH(J91)</f>
        <v>5</v>
      </c>
      <c r="M91" s="204">
        <v>44012</v>
      </c>
      <c r="N91" s="445">
        <v>5</v>
      </c>
      <c r="O91" s="343">
        <v>43</v>
      </c>
      <c r="P91" s="535">
        <f>VLOOKUP(E91,'Cost of items'!$A$3:$C$95,3,0)</f>
        <v>39.873015873015873</v>
      </c>
      <c r="Q91" s="179"/>
      <c r="R91" s="179"/>
      <c r="S91" s="179"/>
      <c r="T91" s="179"/>
      <c r="U91" s="179"/>
      <c r="V91" s="179"/>
      <c r="W91" s="179"/>
      <c r="X91" s="179"/>
      <c r="Y91" s="179"/>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c r="BE91" s="179"/>
      <c r="BF91" s="179"/>
      <c r="BG91" s="179"/>
      <c r="BH91" s="179"/>
      <c r="BI91" s="179"/>
      <c r="BJ91" s="179"/>
      <c r="BK91" s="179"/>
      <c r="BL91" s="179"/>
      <c r="BM91" s="179"/>
      <c r="BN91" s="179"/>
      <c r="BO91" s="179"/>
      <c r="BP91" s="179"/>
      <c r="BQ91" s="179"/>
      <c r="BR91" s="179"/>
      <c r="BS91" s="179"/>
      <c r="BT91" s="179"/>
      <c r="BU91" s="179"/>
      <c r="BV91" s="179"/>
      <c r="BW91" s="179"/>
      <c r="BX91" s="179"/>
      <c r="BY91" s="179"/>
      <c r="BZ91" s="179"/>
      <c r="CA91" s="179"/>
      <c r="CB91" s="179"/>
      <c r="CC91" s="179"/>
      <c r="CD91" s="179"/>
      <c r="CE91" s="179"/>
      <c r="CF91" s="179"/>
      <c r="CG91" s="179"/>
      <c r="CH91" s="179"/>
      <c r="CI91" s="179"/>
      <c r="CJ91" s="179"/>
      <c r="CK91" s="179"/>
      <c r="CL91" s="179"/>
      <c r="CM91" s="179"/>
      <c r="CN91" s="179"/>
      <c r="CO91" s="179"/>
      <c r="CP91" s="179"/>
      <c r="CQ91" s="179"/>
      <c r="CR91" s="179"/>
      <c r="CS91" s="179"/>
      <c r="CT91" s="179"/>
      <c r="CU91" s="179"/>
      <c r="CV91" s="179"/>
      <c r="CW91" s="179"/>
      <c r="CX91" s="179"/>
      <c r="CY91" s="179"/>
      <c r="CZ91" s="179"/>
      <c r="DA91" s="179"/>
      <c r="DB91" s="179"/>
      <c r="DC91" s="179"/>
      <c r="DD91" s="179"/>
      <c r="DE91" s="179"/>
      <c r="DF91" s="179"/>
      <c r="DG91" s="179"/>
      <c r="DH91" s="179"/>
      <c r="DI91" s="179"/>
      <c r="DJ91" s="179"/>
      <c r="DK91" s="179"/>
      <c r="DL91" s="179"/>
      <c r="DM91" s="179"/>
      <c r="DN91" s="179"/>
      <c r="DO91" s="179"/>
      <c r="DP91" s="179"/>
      <c r="DQ91" s="179"/>
      <c r="DR91" s="179"/>
      <c r="DS91" s="179"/>
      <c r="DT91" s="179"/>
      <c r="DU91" s="179"/>
      <c r="DV91" s="179"/>
      <c r="DW91" s="179"/>
      <c r="DX91" s="179"/>
      <c r="DY91" s="179"/>
      <c r="DZ91" s="179"/>
      <c r="EA91" s="179"/>
      <c r="EB91" s="179"/>
      <c r="EC91" s="179"/>
      <c r="ED91" s="179"/>
      <c r="EE91" s="179"/>
      <c r="EF91" s="179"/>
      <c r="EG91" s="179"/>
    </row>
    <row r="92" spans="1:137" s="354" customFormat="1" ht="38.25">
      <c r="A92" s="383">
        <v>91</v>
      </c>
      <c r="B92" s="235" t="s">
        <v>2044</v>
      </c>
      <c r="C92" s="236" t="s">
        <v>3574</v>
      </c>
      <c r="D92" s="385" t="s">
        <v>4064</v>
      </c>
      <c r="E92" s="13" t="s">
        <v>1621</v>
      </c>
      <c r="F92" s="236" t="s">
        <v>3948</v>
      </c>
      <c r="G92" s="236" t="s">
        <v>4045</v>
      </c>
      <c r="H92" s="238">
        <v>44010</v>
      </c>
      <c r="I92" s="235" t="s">
        <v>4055</v>
      </c>
      <c r="J92" s="204">
        <v>43962</v>
      </c>
      <c r="K92" s="178">
        <f t="shared" si="4"/>
        <v>2020</v>
      </c>
      <c r="L92" s="178">
        <f t="shared" si="5"/>
        <v>5</v>
      </c>
      <c r="M92" s="204">
        <v>44012</v>
      </c>
      <c r="N92" s="447"/>
      <c r="O92" s="343">
        <v>43</v>
      </c>
      <c r="P92" s="535">
        <f>VLOOKUP(E92,'Cost of items'!$A$3:$C$95,3,0)</f>
        <v>39.873015873015873</v>
      </c>
      <c r="Q92" s="179"/>
      <c r="R92" s="179"/>
      <c r="S92" s="179"/>
      <c r="T92" s="179"/>
      <c r="U92" s="179"/>
      <c r="V92" s="179"/>
      <c r="W92" s="179"/>
      <c r="X92" s="179"/>
      <c r="Y92" s="179"/>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c r="BE92" s="179"/>
      <c r="BF92" s="179"/>
      <c r="BG92" s="179"/>
      <c r="BH92" s="179"/>
      <c r="BI92" s="179"/>
      <c r="BJ92" s="179"/>
      <c r="BK92" s="179"/>
      <c r="BL92" s="179"/>
      <c r="BM92" s="179"/>
      <c r="BN92" s="179"/>
      <c r="BO92" s="179"/>
      <c r="BP92" s="179"/>
      <c r="BQ92" s="179"/>
      <c r="BR92" s="179"/>
      <c r="BS92" s="179"/>
      <c r="BT92" s="179"/>
      <c r="BU92" s="179"/>
      <c r="BV92" s="179"/>
      <c r="BW92" s="179"/>
      <c r="BX92" s="179"/>
      <c r="BY92" s="179"/>
      <c r="BZ92" s="179"/>
      <c r="CA92" s="179"/>
      <c r="CB92" s="179"/>
      <c r="CC92" s="179"/>
      <c r="CD92" s="179"/>
      <c r="CE92" s="179"/>
      <c r="CF92" s="179"/>
      <c r="CG92" s="179"/>
      <c r="CH92" s="179"/>
      <c r="CI92" s="179"/>
      <c r="CJ92" s="179"/>
      <c r="CK92" s="179"/>
      <c r="CL92" s="179"/>
      <c r="CM92" s="179"/>
      <c r="CN92" s="179"/>
      <c r="CO92" s="179"/>
      <c r="CP92" s="179"/>
      <c r="CQ92" s="179"/>
      <c r="CR92" s="179"/>
      <c r="CS92" s="179"/>
      <c r="CT92" s="179"/>
      <c r="CU92" s="179"/>
      <c r="CV92" s="179"/>
      <c r="CW92" s="179"/>
      <c r="CX92" s="179"/>
      <c r="CY92" s="179"/>
      <c r="CZ92" s="179"/>
      <c r="DA92" s="179"/>
      <c r="DB92" s="179"/>
      <c r="DC92" s="179"/>
      <c r="DD92" s="179"/>
      <c r="DE92" s="179"/>
      <c r="DF92" s="179"/>
      <c r="DG92" s="179"/>
      <c r="DH92" s="179"/>
      <c r="DI92" s="179"/>
      <c r="DJ92" s="179"/>
      <c r="DK92" s="179"/>
      <c r="DL92" s="179"/>
      <c r="DM92" s="179"/>
      <c r="DN92" s="179"/>
      <c r="DO92" s="179"/>
      <c r="DP92" s="179"/>
      <c r="DQ92" s="179"/>
      <c r="DR92" s="179"/>
      <c r="DS92" s="179"/>
      <c r="DT92" s="179"/>
      <c r="DU92" s="179"/>
      <c r="DV92" s="179"/>
      <c r="DW92" s="179"/>
      <c r="DX92" s="179"/>
      <c r="DY92" s="179"/>
      <c r="DZ92" s="179"/>
      <c r="EA92" s="179"/>
      <c r="EB92" s="179"/>
      <c r="EC92" s="179"/>
      <c r="ED92" s="179"/>
      <c r="EE92" s="179"/>
      <c r="EF92" s="179"/>
      <c r="EG92" s="179"/>
    </row>
    <row r="93" spans="1:137" s="354" customFormat="1" ht="25.5">
      <c r="A93" s="178">
        <v>92</v>
      </c>
      <c r="B93" s="235" t="s">
        <v>2044</v>
      </c>
      <c r="C93" s="236" t="s">
        <v>3575</v>
      </c>
      <c r="D93" s="385" t="s">
        <v>4064</v>
      </c>
      <c r="E93" s="13" t="s">
        <v>2057</v>
      </c>
      <c r="F93" s="236" t="s">
        <v>3949</v>
      </c>
      <c r="G93" s="236" t="s">
        <v>3577</v>
      </c>
      <c r="H93" s="238">
        <v>44001</v>
      </c>
      <c r="I93" s="235" t="s">
        <v>5</v>
      </c>
      <c r="J93" s="237">
        <v>43962</v>
      </c>
      <c r="K93" s="178">
        <f t="shared" si="4"/>
        <v>2020</v>
      </c>
      <c r="L93" s="178">
        <f t="shared" si="5"/>
        <v>5</v>
      </c>
      <c r="M93" s="237">
        <v>44001</v>
      </c>
      <c r="N93" s="333" t="s">
        <v>4058</v>
      </c>
      <c r="O93" s="343">
        <v>20</v>
      </c>
      <c r="P93" s="535">
        <f>VLOOKUP(E93,'Cost of items'!$A$3:$C$95,3,0)</f>
        <v>11.466286799620132</v>
      </c>
      <c r="Q93" s="179"/>
      <c r="R93" s="179"/>
      <c r="S93" s="179"/>
      <c r="T93" s="179"/>
      <c r="U93" s="179"/>
      <c r="V93" s="179"/>
      <c r="W93" s="179"/>
      <c r="X93" s="179"/>
      <c r="Y93" s="179"/>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c r="BE93" s="179"/>
      <c r="BF93" s="179"/>
      <c r="BG93" s="179"/>
      <c r="BH93" s="179"/>
      <c r="BI93" s="179"/>
      <c r="BJ93" s="179"/>
      <c r="BK93" s="179"/>
      <c r="BL93" s="179"/>
      <c r="BM93" s="179"/>
      <c r="BN93" s="179"/>
      <c r="BO93" s="179"/>
      <c r="BP93" s="179"/>
      <c r="BQ93" s="179"/>
      <c r="BR93" s="179"/>
      <c r="BS93" s="179"/>
      <c r="BT93" s="179"/>
      <c r="BU93" s="179"/>
      <c r="BV93" s="179"/>
      <c r="BW93" s="179"/>
      <c r="BX93" s="179"/>
      <c r="BY93" s="179"/>
      <c r="BZ93" s="179"/>
      <c r="CA93" s="179"/>
      <c r="CB93" s="179"/>
      <c r="CC93" s="179"/>
      <c r="CD93" s="179"/>
      <c r="CE93" s="179"/>
      <c r="CF93" s="179"/>
      <c r="CG93" s="179"/>
      <c r="CH93" s="179"/>
      <c r="CI93" s="179"/>
      <c r="CJ93" s="179"/>
      <c r="CK93" s="179"/>
      <c r="CL93" s="179"/>
      <c r="CM93" s="179"/>
      <c r="CN93" s="179"/>
      <c r="CO93" s="179"/>
      <c r="CP93" s="179"/>
      <c r="CQ93" s="179"/>
      <c r="CR93" s="179"/>
      <c r="CS93" s="179"/>
      <c r="CT93" s="179"/>
      <c r="CU93" s="179"/>
      <c r="CV93" s="179"/>
      <c r="CW93" s="179"/>
      <c r="CX93" s="179"/>
      <c r="CY93" s="179"/>
      <c r="CZ93" s="179"/>
      <c r="DA93" s="179"/>
      <c r="DB93" s="179"/>
      <c r="DC93" s="179"/>
      <c r="DD93" s="179"/>
      <c r="DE93" s="179"/>
      <c r="DF93" s="179"/>
      <c r="DG93" s="179"/>
      <c r="DH93" s="179"/>
      <c r="DI93" s="179"/>
      <c r="DJ93" s="179"/>
      <c r="DK93" s="179"/>
      <c r="DL93" s="179"/>
      <c r="DM93" s="179"/>
      <c r="DN93" s="179"/>
      <c r="DO93" s="179"/>
      <c r="DP93" s="179"/>
      <c r="DQ93" s="179"/>
      <c r="DR93" s="179"/>
      <c r="DS93" s="179"/>
      <c r="DT93" s="179"/>
      <c r="DU93" s="179"/>
      <c r="DV93" s="179"/>
      <c r="DW93" s="179"/>
      <c r="DX93" s="179"/>
      <c r="DY93" s="179"/>
      <c r="DZ93" s="179"/>
      <c r="EA93" s="179"/>
      <c r="EB93" s="179"/>
      <c r="EC93" s="179"/>
      <c r="ED93" s="179"/>
      <c r="EE93" s="179"/>
      <c r="EF93" s="179"/>
      <c r="EG93" s="179"/>
    </row>
    <row r="94" spans="1:137" s="78" customFormat="1" ht="25.5">
      <c r="A94" s="383">
        <v>93</v>
      </c>
      <c r="B94" s="235" t="s">
        <v>2044</v>
      </c>
      <c r="C94" s="236" t="s">
        <v>3578</v>
      </c>
      <c r="D94" s="191" t="s">
        <v>4064</v>
      </c>
      <c r="E94" s="236" t="s">
        <v>4079</v>
      </c>
      <c r="F94" s="236" t="s">
        <v>3950</v>
      </c>
      <c r="G94" s="236" t="s">
        <v>3843</v>
      </c>
      <c r="H94" s="238">
        <v>43991</v>
      </c>
      <c r="I94" s="235" t="s">
        <v>4055</v>
      </c>
      <c r="J94" s="237">
        <v>43962</v>
      </c>
      <c r="K94" s="178">
        <f t="shared" si="4"/>
        <v>2020</v>
      </c>
      <c r="L94" s="178">
        <f t="shared" si="5"/>
        <v>5</v>
      </c>
      <c r="M94" s="237">
        <v>43992</v>
      </c>
      <c r="N94" s="342">
        <v>5</v>
      </c>
      <c r="O94" s="343">
        <v>55</v>
      </c>
      <c r="P94" s="535">
        <f>VLOOKUP(E94,'Cost of items'!$A$3:$C$95,3,0)</f>
        <v>40.328023431594858</v>
      </c>
      <c r="Q94" s="179"/>
      <c r="R94" s="179"/>
      <c r="S94" s="179"/>
      <c r="T94" s="179"/>
      <c r="U94" s="179"/>
      <c r="V94" s="179"/>
      <c r="W94" s="179"/>
      <c r="X94" s="179"/>
      <c r="Y94" s="179"/>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c r="BE94" s="179"/>
      <c r="BF94" s="179"/>
      <c r="BG94" s="179"/>
      <c r="BH94" s="179"/>
      <c r="BI94" s="179"/>
      <c r="BJ94" s="179"/>
      <c r="BK94" s="179"/>
      <c r="BL94" s="179"/>
      <c r="BM94" s="179"/>
      <c r="BN94" s="179"/>
      <c r="BO94" s="179"/>
      <c r="BP94" s="179"/>
      <c r="BQ94" s="179"/>
      <c r="BR94" s="179"/>
      <c r="BS94" s="179"/>
      <c r="BT94" s="179"/>
      <c r="BU94" s="179"/>
      <c r="BV94" s="179"/>
      <c r="BW94" s="179"/>
      <c r="BX94" s="179"/>
      <c r="BY94" s="179"/>
      <c r="BZ94" s="179"/>
      <c r="CA94" s="179"/>
      <c r="CB94" s="179"/>
      <c r="CC94" s="179"/>
      <c r="CD94" s="179"/>
      <c r="CE94" s="179"/>
      <c r="CF94" s="179"/>
      <c r="CG94" s="179"/>
      <c r="CH94" s="179"/>
      <c r="CI94" s="179"/>
      <c r="CJ94" s="179"/>
      <c r="CK94" s="179"/>
      <c r="CL94" s="179"/>
      <c r="CM94" s="179"/>
      <c r="CN94" s="179"/>
      <c r="CO94" s="179"/>
      <c r="CP94" s="179"/>
      <c r="CQ94" s="179"/>
      <c r="CR94" s="179"/>
      <c r="CS94" s="179"/>
      <c r="CT94" s="179"/>
      <c r="CU94" s="179"/>
      <c r="CV94" s="179"/>
      <c r="CW94" s="179"/>
      <c r="CX94" s="179"/>
      <c r="CY94" s="179"/>
      <c r="CZ94" s="179"/>
      <c r="DA94" s="179"/>
      <c r="DB94" s="179"/>
      <c r="DC94" s="179"/>
      <c r="DD94" s="179"/>
      <c r="DE94" s="179"/>
      <c r="DF94" s="179"/>
      <c r="DG94" s="179"/>
      <c r="DH94" s="179"/>
      <c r="DI94" s="179"/>
      <c r="DJ94" s="179"/>
      <c r="DK94" s="179"/>
      <c r="DL94" s="179"/>
      <c r="DM94" s="179"/>
      <c r="DN94" s="179"/>
      <c r="DO94" s="179"/>
      <c r="DP94" s="179"/>
      <c r="DQ94" s="179"/>
      <c r="DR94" s="179"/>
      <c r="DS94" s="179"/>
      <c r="DT94" s="179"/>
      <c r="DU94" s="179"/>
      <c r="DV94" s="179"/>
      <c r="DW94" s="179"/>
      <c r="DX94" s="179"/>
      <c r="DY94" s="179"/>
      <c r="DZ94" s="179"/>
      <c r="EA94" s="179"/>
      <c r="EB94" s="179"/>
      <c r="EC94" s="179"/>
      <c r="ED94" s="179"/>
      <c r="EE94" s="179"/>
      <c r="EF94" s="179"/>
      <c r="EG94" s="179"/>
    </row>
    <row r="95" spans="1:137" s="78" customFormat="1" ht="38.25">
      <c r="A95" s="178">
        <v>94</v>
      </c>
      <c r="B95" s="235" t="s">
        <v>2044</v>
      </c>
      <c r="C95" s="236" t="s">
        <v>3653</v>
      </c>
      <c r="D95" s="385" t="s">
        <v>4064</v>
      </c>
      <c r="E95" s="13" t="s">
        <v>1621</v>
      </c>
      <c r="F95" s="236" t="s">
        <v>3951</v>
      </c>
      <c r="G95" s="236" t="s">
        <v>4025</v>
      </c>
      <c r="H95" s="237">
        <v>44011</v>
      </c>
      <c r="I95" s="235" t="s">
        <v>4054</v>
      </c>
      <c r="J95" s="237">
        <v>43965</v>
      </c>
      <c r="K95" s="178">
        <f t="shared" si="4"/>
        <v>2020</v>
      </c>
      <c r="L95" s="178">
        <f t="shared" si="5"/>
        <v>5</v>
      </c>
      <c r="M95" s="237">
        <v>44011</v>
      </c>
      <c r="N95" s="333" t="s">
        <v>4058</v>
      </c>
      <c r="O95" s="343">
        <v>25</v>
      </c>
      <c r="P95" s="535">
        <f>VLOOKUP(E95,'Cost of items'!$A$3:$C$95,3,0)</f>
        <v>39.873015873015873</v>
      </c>
      <c r="Q95" s="179"/>
      <c r="R95" s="179"/>
      <c r="S95" s="179"/>
      <c r="T95" s="179"/>
      <c r="U95" s="179"/>
      <c r="V95" s="179"/>
      <c r="W95" s="179"/>
      <c r="X95" s="179"/>
      <c r="Y95" s="179"/>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c r="BE95" s="179"/>
      <c r="BF95" s="179"/>
      <c r="BG95" s="179"/>
      <c r="BH95" s="179"/>
      <c r="BI95" s="179"/>
      <c r="BJ95" s="179"/>
      <c r="BK95" s="179"/>
      <c r="BL95" s="179"/>
      <c r="BM95" s="179"/>
      <c r="BN95" s="179"/>
      <c r="BO95" s="179"/>
      <c r="BP95" s="179"/>
      <c r="BQ95" s="179"/>
      <c r="BR95" s="179"/>
      <c r="BS95" s="179"/>
      <c r="BT95" s="179"/>
      <c r="BU95" s="179"/>
      <c r="BV95" s="179"/>
      <c r="BW95" s="179"/>
      <c r="BX95" s="179"/>
      <c r="BY95" s="179"/>
      <c r="BZ95" s="179"/>
      <c r="CA95" s="179"/>
      <c r="CB95" s="179"/>
      <c r="CC95" s="179"/>
      <c r="CD95" s="179"/>
      <c r="CE95" s="179"/>
      <c r="CF95" s="179"/>
      <c r="CG95" s="179"/>
      <c r="CH95" s="179"/>
      <c r="CI95" s="179"/>
      <c r="CJ95" s="179"/>
      <c r="CK95" s="179"/>
      <c r="CL95" s="179"/>
      <c r="CM95" s="179"/>
      <c r="CN95" s="179"/>
      <c r="CO95" s="179"/>
      <c r="CP95" s="179"/>
      <c r="CQ95" s="179"/>
      <c r="CR95" s="179"/>
      <c r="CS95" s="179"/>
      <c r="CT95" s="179"/>
      <c r="CU95" s="179"/>
      <c r="CV95" s="179"/>
      <c r="CW95" s="179"/>
      <c r="CX95" s="179"/>
      <c r="CY95" s="179"/>
      <c r="CZ95" s="179"/>
      <c r="DA95" s="179"/>
      <c r="DB95" s="179"/>
      <c r="DC95" s="179"/>
      <c r="DD95" s="179"/>
      <c r="DE95" s="179"/>
      <c r="DF95" s="179"/>
      <c r="DG95" s="179"/>
      <c r="DH95" s="179"/>
      <c r="DI95" s="179"/>
      <c r="DJ95" s="179"/>
      <c r="DK95" s="179"/>
      <c r="DL95" s="179"/>
      <c r="DM95" s="179"/>
      <c r="DN95" s="179"/>
      <c r="DO95" s="179"/>
      <c r="DP95" s="179"/>
      <c r="DQ95" s="179"/>
      <c r="DR95" s="179"/>
      <c r="DS95" s="179"/>
      <c r="DT95" s="179"/>
      <c r="DU95" s="179"/>
      <c r="DV95" s="179"/>
      <c r="DW95" s="179"/>
      <c r="DX95" s="179"/>
      <c r="DY95" s="179"/>
      <c r="DZ95" s="179"/>
      <c r="EA95" s="179"/>
      <c r="EB95" s="179"/>
      <c r="EC95" s="179"/>
      <c r="ED95" s="179"/>
      <c r="EE95" s="179"/>
      <c r="EF95" s="179"/>
      <c r="EG95" s="179"/>
    </row>
    <row r="96" spans="1:137" s="354" customFormat="1" ht="38.25">
      <c r="A96" s="383">
        <v>95</v>
      </c>
      <c r="B96" s="235" t="s">
        <v>2044</v>
      </c>
      <c r="C96" s="236" t="s">
        <v>3573</v>
      </c>
      <c r="D96" s="191" t="s">
        <v>4064</v>
      </c>
      <c r="E96" s="189" t="s">
        <v>3516</v>
      </c>
      <c r="F96" s="236" t="s">
        <v>3952</v>
      </c>
      <c r="G96" s="236" t="s">
        <v>3591</v>
      </c>
      <c r="H96" s="237">
        <v>44026</v>
      </c>
      <c r="I96" s="235" t="s">
        <v>4054</v>
      </c>
      <c r="J96" s="204">
        <v>43976</v>
      </c>
      <c r="K96" s="178">
        <f t="shared" si="4"/>
        <v>2020</v>
      </c>
      <c r="L96" s="178">
        <f t="shared" si="5"/>
        <v>5</v>
      </c>
      <c r="M96" s="204">
        <v>44027</v>
      </c>
      <c r="N96" s="445">
        <v>5</v>
      </c>
      <c r="O96" s="343">
        <v>50</v>
      </c>
      <c r="P96" s="535">
        <f>VLOOKUP(E96,'Cost of items'!$A$3:$C$95,3,0)</f>
        <v>35.635629251700678</v>
      </c>
      <c r="Q96" s="179"/>
      <c r="R96" s="179"/>
      <c r="S96" s="179"/>
      <c r="T96" s="179"/>
      <c r="U96" s="179"/>
      <c r="V96" s="179"/>
      <c r="W96" s="179"/>
      <c r="X96" s="179"/>
      <c r="Y96" s="179"/>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c r="BE96" s="179"/>
      <c r="BF96" s="179"/>
      <c r="BG96" s="179"/>
      <c r="BH96" s="179"/>
      <c r="BI96" s="179"/>
      <c r="BJ96" s="179"/>
      <c r="BK96" s="179"/>
      <c r="BL96" s="179"/>
      <c r="BM96" s="179"/>
      <c r="BN96" s="179"/>
      <c r="BO96" s="179"/>
      <c r="BP96" s="179"/>
      <c r="BQ96" s="179"/>
      <c r="BR96" s="179"/>
      <c r="BS96" s="179"/>
      <c r="BT96" s="179"/>
      <c r="BU96" s="179"/>
      <c r="BV96" s="179"/>
      <c r="BW96" s="179"/>
      <c r="BX96" s="179"/>
      <c r="BY96" s="179"/>
      <c r="BZ96" s="179"/>
      <c r="CA96" s="179"/>
      <c r="CB96" s="179"/>
      <c r="CC96" s="179"/>
      <c r="CD96" s="179"/>
      <c r="CE96" s="179"/>
      <c r="CF96" s="179"/>
      <c r="CG96" s="179"/>
      <c r="CH96" s="179"/>
      <c r="CI96" s="179"/>
      <c r="CJ96" s="179"/>
      <c r="CK96" s="179"/>
      <c r="CL96" s="179"/>
      <c r="CM96" s="179"/>
      <c r="CN96" s="179"/>
      <c r="CO96" s="179"/>
      <c r="CP96" s="179"/>
      <c r="CQ96" s="179"/>
      <c r="CR96" s="179"/>
      <c r="CS96" s="179"/>
      <c r="CT96" s="179"/>
      <c r="CU96" s="179"/>
      <c r="CV96" s="179"/>
      <c r="CW96" s="179"/>
      <c r="CX96" s="179"/>
      <c r="CY96" s="179"/>
      <c r="CZ96" s="179"/>
      <c r="DA96" s="179"/>
      <c r="DB96" s="179"/>
      <c r="DC96" s="179"/>
      <c r="DD96" s="179"/>
      <c r="DE96" s="179"/>
      <c r="DF96" s="179"/>
      <c r="DG96" s="179"/>
      <c r="DH96" s="179"/>
      <c r="DI96" s="179"/>
      <c r="DJ96" s="179"/>
      <c r="DK96" s="179"/>
      <c r="DL96" s="179"/>
      <c r="DM96" s="179"/>
      <c r="DN96" s="179"/>
      <c r="DO96" s="179"/>
      <c r="DP96" s="179"/>
      <c r="DQ96" s="179"/>
      <c r="DR96" s="179"/>
      <c r="DS96" s="179"/>
      <c r="DT96" s="179"/>
      <c r="DU96" s="179"/>
      <c r="DV96" s="179"/>
      <c r="DW96" s="179"/>
      <c r="DX96" s="179"/>
      <c r="DY96" s="179"/>
      <c r="DZ96" s="179"/>
      <c r="EA96" s="179"/>
      <c r="EB96" s="179"/>
      <c r="EC96" s="179"/>
      <c r="ED96" s="179"/>
      <c r="EE96" s="179"/>
      <c r="EF96" s="179"/>
      <c r="EG96" s="179"/>
    </row>
    <row r="97" spans="1:137" s="354" customFormat="1" ht="51">
      <c r="A97" s="178">
        <v>96</v>
      </c>
      <c r="B97" s="235" t="s">
        <v>2044</v>
      </c>
      <c r="C97" s="236" t="s">
        <v>3573</v>
      </c>
      <c r="D97" s="191" t="s">
        <v>4064</v>
      </c>
      <c r="E97" s="189" t="s">
        <v>3595</v>
      </c>
      <c r="F97" s="236" t="s">
        <v>3953</v>
      </c>
      <c r="G97" s="236" t="s">
        <v>3595</v>
      </c>
      <c r="H97" s="237">
        <v>44026</v>
      </c>
      <c r="I97" s="235" t="s">
        <v>4054</v>
      </c>
      <c r="J97" s="204">
        <v>43976</v>
      </c>
      <c r="K97" s="178">
        <f t="shared" si="4"/>
        <v>2020</v>
      </c>
      <c r="L97" s="178">
        <f t="shared" si="5"/>
        <v>5</v>
      </c>
      <c r="M97" s="204">
        <v>44027</v>
      </c>
      <c r="N97" s="446"/>
      <c r="O97" s="343">
        <v>50</v>
      </c>
      <c r="P97" s="535">
        <f>VLOOKUP(E97,'Cost of items'!$A$3:$C$95,3,0)</f>
        <v>41.18941798941799</v>
      </c>
      <c r="Q97" s="179"/>
      <c r="R97" s="179"/>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c r="BE97" s="179"/>
      <c r="BF97" s="179"/>
      <c r="BG97" s="179"/>
      <c r="BH97" s="179"/>
      <c r="BI97" s="179"/>
      <c r="BJ97" s="179"/>
      <c r="BK97" s="179"/>
      <c r="BL97" s="179"/>
      <c r="BM97" s="179"/>
      <c r="BN97" s="179"/>
      <c r="BO97" s="179"/>
      <c r="BP97" s="179"/>
      <c r="BQ97" s="179"/>
      <c r="BR97" s="179"/>
      <c r="BS97" s="179"/>
      <c r="BT97" s="179"/>
      <c r="BU97" s="179"/>
      <c r="BV97" s="179"/>
      <c r="BW97" s="179"/>
      <c r="BX97" s="179"/>
      <c r="BY97" s="179"/>
      <c r="BZ97" s="179"/>
      <c r="CA97" s="179"/>
      <c r="CB97" s="179"/>
      <c r="CC97" s="179"/>
      <c r="CD97" s="179"/>
      <c r="CE97" s="179"/>
      <c r="CF97" s="179"/>
      <c r="CG97" s="179"/>
      <c r="CH97" s="179"/>
      <c r="CI97" s="179"/>
      <c r="CJ97" s="179"/>
      <c r="CK97" s="179"/>
      <c r="CL97" s="179"/>
      <c r="CM97" s="179"/>
      <c r="CN97" s="179"/>
      <c r="CO97" s="179"/>
      <c r="CP97" s="179"/>
      <c r="CQ97" s="179"/>
      <c r="CR97" s="179"/>
      <c r="CS97" s="179"/>
      <c r="CT97" s="179"/>
      <c r="CU97" s="179"/>
      <c r="CV97" s="179"/>
      <c r="CW97" s="179"/>
      <c r="CX97" s="179"/>
      <c r="CY97" s="179"/>
      <c r="CZ97" s="179"/>
      <c r="DA97" s="179"/>
      <c r="DB97" s="179"/>
      <c r="DC97" s="179"/>
      <c r="DD97" s="179"/>
      <c r="DE97" s="179"/>
      <c r="DF97" s="179"/>
      <c r="DG97" s="179"/>
      <c r="DH97" s="179"/>
      <c r="DI97" s="179"/>
      <c r="DJ97" s="179"/>
      <c r="DK97" s="179"/>
      <c r="DL97" s="179"/>
      <c r="DM97" s="179"/>
      <c r="DN97" s="179"/>
      <c r="DO97" s="179"/>
      <c r="DP97" s="179"/>
      <c r="DQ97" s="179"/>
      <c r="DR97" s="179"/>
      <c r="DS97" s="179"/>
      <c r="DT97" s="179"/>
      <c r="DU97" s="179"/>
      <c r="DV97" s="179"/>
      <c r="DW97" s="179"/>
      <c r="DX97" s="179"/>
      <c r="DY97" s="179"/>
      <c r="DZ97" s="179"/>
      <c r="EA97" s="179"/>
      <c r="EB97" s="179"/>
      <c r="EC97" s="179"/>
      <c r="ED97" s="179"/>
      <c r="EE97" s="179"/>
      <c r="EF97" s="179"/>
      <c r="EG97" s="179"/>
    </row>
    <row r="98" spans="1:137" s="354" customFormat="1" ht="25.5">
      <c r="A98" s="383">
        <v>97</v>
      </c>
      <c r="B98" s="235" t="s">
        <v>2044</v>
      </c>
      <c r="C98" s="236" t="s">
        <v>3573</v>
      </c>
      <c r="D98" s="236" t="s">
        <v>3638</v>
      </c>
      <c r="E98" s="189" t="s">
        <v>3642</v>
      </c>
      <c r="F98" s="236" t="s">
        <v>3954</v>
      </c>
      <c r="G98" s="236" t="s">
        <v>3638</v>
      </c>
      <c r="H98" s="237">
        <v>44026</v>
      </c>
      <c r="I98" s="235" t="s">
        <v>4054</v>
      </c>
      <c r="J98" s="204">
        <v>43992</v>
      </c>
      <c r="K98" s="178">
        <f t="shared" si="4"/>
        <v>2020</v>
      </c>
      <c r="L98" s="178">
        <f t="shared" si="5"/>
        <v>6</v>
      </c>
      <c r="M98" s="204">
        <v>44027</v>
      </c>
      <c r="N98" s="447"/>
      <c r="O98" s="343">
        <v>20</v>
      </c>
      <c r="P98" s="535">
        <f>VLOOKUP(E98,'Cost of items'!$A$3:$C$95,3,0)</f>
        <v>18.550264550264551</v>
      </c>
      <c r="Q98" s="179"/>
      <c r="R98" s="179"/>
      <c r="S98" s="179"/>
      <c r="T98" s="179"/>
      <c r="U98" s="179"/>
      <c r="V98" s="179"/>
      <c r="W98" s="179"/>
      <c r="X98" s="179"/>
      <c r="Y98" s="179"/>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9"/>
      <c r="BF98" s="179"/>
      <c r="BG98" s="179"/>
      <c r="BH98" s="179"/>
      <c r="BI98" s="179"/>
      <c r="BJ98" s="179"/>
      <c r="BK98" s="179"/>
      <c r="BL98" s="179"/>
      <c r="BM98" s="179"/>
      <c r="BN98" s="179"/>
      <c r="BO98" s="179"/>
      <c r="BP98" s="179"/>
      <c r="BQ98" s="179"/>
      <c r="BR98" s="179"/>
      <c r="BS98" s="179"/>
      <c r="BT98" s="179"/>
      <c r="BU98" s="179"/>
      <c r="BV98" s="179"/>
      <c r="BW98" s="179"/>
      <c r="BX98" s="179"/>
      <c r="BY98" s="179"/>
      <c r="BZ98" s="179"/>
      <c r="CA98" s="179"/>
      <c r="CB98" s="179"/>
      <c r="CC98" s="179"/>
      <c r="CD98" s="179"/>
      <c r="CE98" s="179"/>
      <c r="CF98" s="179"/>
      <c r="CG98" s="179"/>
      <c r="CH98" s="179"/>
      <c r="CI98" s="179"/>
      <c r="CJ98" s="179"/>
      <c r="CK98" s="179"/>
      <c r="CL98" s="179"/>
      <c r="CM98" s="179"/>
      <c r="CN98" s="179"/>
      <c r="CO98" s="179"/>
      <c r="CP98" s="179"/>
      <c r="CQ98" s="179"/>
      <c r="CR98" s="179"/>
      <c r="CS98" s="179"/>
      <c r="CT98" s="179"/>
      <c r="CU98" s="179"/>
      <c r="CV98" s="179"/>
      <c r="CW98" s="179"/>
      <c r="CX98" s="179"/>
      <c r="CY98" s="179"/>
      <c r="CZ98" s="179"/>
      <c r="DA98" s="179"/>
      <c r="DB98" s="179"/>
      <c r="DC98" s="179"/>
      <c r="DD98" s="179"/>
      <c r="DE98" s="179"/>
      <c r="DF98" s="179"/>
      <c r="DG98" s="179"/>
      <c r="DH98" s="179"/>
      <c r="DI98" s="179"/>
      <c r="DJ98" s="179"/>
      <c r="DK98" s="179"/>
      <c r="DL98" s="179"/>
      <c r="DM98" s="179"/>
      <c r="DN98" s="179"/>
      <c r="DO98" s="179"/>
      <c r="DP98" s="179"/>
      <c r="DQ98" s="179"/>
      <c r="DR98" s="179"/>
      <c r="DS98" s="179"/>
      <c r="DT98" s="179"/>
      <c r="DU98" s="179"/>
      <c r="DV98" s="179"/>
      <c r="DW98" s="179"/>
      <c r="DX98" s="179"/>
      <c r="DY98" s="179"/>
      <c r="DZ98" s="179"/>
      <c r="EA98" s="179"/>
      <c r="EB98" s="179"/>
      <c r="EC98" s="179"/>
      <c r="ED98" s="179"/>
      <c r="EE98" s="179"/>
      <c r="EF98" s="179"/>
      <c r="EG98" s="179"/>
    </row>
    <row r="99" spans="1:137" s="354" customFormat="1" ht="38.25">
      <c r="A99" s="178">
        <v>98</v>
      </c>
      <c r="B99" s="235" t="s">
        <v>2044</v>
      </c>
      <c r="C99" s="235" t="s">
        <v>3613</v>
      </c>
      <c r="D99" s="385" t="s">
        <v>4064</v>
      </c>
      <c r="E99" s="13" t="s">
        <v>1621</v>
      </c>
      <c r="F99" s="236" t="s">
        <v>3959</v>
      </c>
      <c r="G99" s="236" t="s">
        <v>4048</v>
      </c>
      <c r="H99" s="237">
        <v>44036</v>
      </c>
      <c r="I99" s="235" t="s">
        <v>4054</v>
      </c>
      <c r="J99" s="237">
        <v>43996</v>
      </c>
      <c r="K99" s="178">
        <f t="shared" si="4"/>
        <v>2020</v>
      </c>
      <c r="L99" s="178">
        <f t="shared" si="5"/>
        <v>6</v>
      </c>
      <c r="M99" s="237"/>
      <c r="N99" s="342"/>
      <c r="O99" s="343">
        <v>42</v>
      </c>
      <c r="P99" s="535">
        <f>VLOOKUP(E99,'Cost of items'!$A$3:$C$95,3,0)</f>
        <v>39.873015873015873</v>
      </c>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9"/>
      <c r="BF99" s="179"/>
      <c r="BG99" s="179"/>
      <c r="BH99" s="179"/>
      <c r="BI99" s="179"/>
      <c r="BJ99" s="179"/>
      <c r="BK99" s="179"/>
      <c r="BL99" s="179"/>
      <c r="BM99" s="179"/>
      <c r="BN99" s="179"/>
      <c r="BO99" s="179"/>
      <c r="BP99" s="179"/>
      <c r="BQ99" s="179"/>
      <c r="BR99" s="179"/>
      <c r="BS99" s="179"/>
      <c r="BT99" s="179"/>
      <c r="BU99" s="179"/>
      <c r="BV99" s="179"/>
      <c r="BW99" s="179"/>
      <c r="BX99" s="179"/>
      <c r="BY99" s="179"/>
      <c r="BZ99" s="179"/>
      <c r="CA99" s="179"/>
      <c r="CB99" s="179"/>
      <c r="CC99" s="179"/>
      <c r="CD99" s="179"/>
      <c r="CE99" s="179"/>
      <c r="CF99" s="179"/>
      <c r="CG99" s="179"/>
      <c r="CH99" s="179"/>
      <c r="CI99" s="179"/>
      <c r="CJ99" s="179"/>
      <c r="CK99" s="179"/>
      <c r="CL99" s="179"/>
      <c r="CM99" s="179"/>
      <c r="CN99" s="179"/>
      <c r="CO99" s="179"/>
      <c r="CP99" s="179"/>
      <c r="CQ99" s="179"/>
      <c r="CR99" s="179"/>
      <c r="CS99" s="179"/>
      <c r="CT99" s="179"/>
      <c r="CU99" s="179"/>
      <c r="CV99" s="179"/>
      <c r="CW99" s="179"/>
      <c r="CX99" s="179"/>
      <c r="CY99" s="179"/>
      <c r="CZ99" s="179"/>
      <c r="DA99" s="179"/>
      <c r="DB99" s="179"/>
      <c r="DC99" s="179"/>
      <c r="DD99" s="179"/>
      <c r="DE99" s="179"/>
      <c r="DF99" s="179"/>
      <c r="DG99" s="179"/>
      <c r="DH99" s="179"/>
      <c r="DI99" s="179"/>
      <c r="DJ99" s="179"/>
      <c r="DK99" s="179"/>
      <c r="DL99" s="179"/>
      <c r="DM99" s="179"/>
      <c r="DN99" s="179"/>
      <c r="DO99" s="179"/>
      <c r="DP99" s="179"/>
      <c r="DQ99" s="179"/>
      <c r="DR99" s="179"/>
      <c r="DS99" s="179"/>
      <c r="DT99" s="179"/>
      <c r="DU99" s="179"/>
      <c r="DV99" s="179"/>
      <c r="DW99" s="179"/>
      <c r="DX99" s="179"/>
      <c r="DY99" s="179"/>
      <c r="DZ99" s="179"/>
      <c r="EA99" s="179"/>
      <c r="EB99" s="179"/>
      <c r="EC99" s="179"/>
      <c r="ED99" s="179"/>
      <c r="EE99" s="179"/>
      <c r="EF99" s="179"/>
      <c r="EG99" s="179"/>
    </row>
    <row r="100" spans="1:137" s="354" customFormat="1" ht="38.25">
      <c r="A100" s="383">
        <v>99</v>
      </c>
      <c r="B100" s="235" t="s">
        <v>2044</v>
      </c>
      <c r="C100" s="236" t="s">
        <v>3672</v>
      </c>
      <c r="D100" s="13" t="s">
        <v>3971</v>
      </c>
      <c r="E100" s="189" t="s">
        <v>1555</v>
      </c>
      <c r="F100" s="236" t="s">
        <v>3960</v>
      </c>
      <c r="G100" s="236" t="s">
        <v>3981</v>
      </c>
      <c r="H100" s="237">
        <v>44036</v>
      </c>
      <c r="I100" s="235" t="s">
        <v>5</v>
      </c>
      <c r="J100" s="237">
        <v>44002</v>
      </c>
      <c r="K100" s="178">
        <f t="shared" si="4"/>
        <v>2020</v>
      </c>
      <c r="L100" s="178">
        <f t="shared" si="5"/>
        <v>6</v>
      </c>
      <c r="M100" s="237">
        <v>44036</v>
      </c>
      <c r="N100" s="333" t="s">
        <v>4058</v>
      </c>
      <c r="O100" s="343">
        <v>15</v>
      </c>
      <c r="P100" s="535">
        <f>VLOOKUP(E100,'Cost of items'!$A$3:$C$95,3,0)</f>
        <v>11.32010582010582</v>
      </c>
      <c r="Q100" s="179"/>
      <c r="R100" s="179"/>
      <c r="S100" s="179"/>
      <c r="T100" s="179"/>
      <c r="U100" s="179"/>
      <c r="V100" s="179"/>
      <c r="W100" s="179"/>
      <c r="X100" s="179"/>
      <c r="Y100" s="179"/>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9"/>
      <c r="BF100" s="179"/>
      <c r="BG100" s="179"/>
      <c r="BH100" s="179"/>
      <c r="BI100" s="179"/>
      <c r="BJ100" s="179"/>
      <c r="BK100" s="179"/>
      <c r="BL100" s="179"/>
      <c r="BM100" s="179"/>
      <c r="BN100" s="179"/>
      <c r="BO100" s="179"/>
      <c r="BP100" s="179"/>
      <c r="BQ100" s="179"/>
      <c r="BR100" s="179"/>
      <c r="BS100" s="179"/>
      <c r="BT100" s="179"/>
      <c r="BU100" s="179"/>
      <c r="BV100" s="179"/>
      <c r="BW100" s="179"/>
      <c r="BX100" s="179"/>
      <c r="BY100" s="179"/>
      <c r="BZ100" s="179"/>
      <c r="CA100" s="179"/>
      <c r="CB100" s="179"/>
      <c r="CC100" s="179"/>
      <c r="CD100" s="179"/>
      <c r="CE100" s="179"/>
      <c r="CF100" s="179"/>
      <c r="CG100" s="179"/>
      <c r="CH100" s="179"/>
      <c r="CI100" s="179"/>
      <c r="CJ100" s="179"/>
      <c r="CK100" s="179"/>
      <c r="CL100" s="179"/>
      <c r="CM100" s="179"/>
      <c r="CN100" s="179"/>
      <c r="CO100" s="179"/>
      <c r="CP100" s="179"/>
      <c r="CQ100" s="179"/>
      <c r="CR100" s="179"/>
      <c r="CS100" s="179"/>
      <c r="CT100" s="179"/>
      <c r="CU100" s="179"/>
      <c r="CV100" s="179"/>
      <c r="CW100" s="179"/>
      <c r="CX100" s="179"/>
      <c r="CY100" s="179"/>
      <c r="CZ100" s="179"/>
      <c r="DA100" s="179"/>
      <c r="DB100" s="179"/>
      <c r="DC100" s="179"/>
      <c r="DD100" s="179"/>
      <c r="DE100" s="179"/>
      <c r="DF100" s="179"/>
      <c r="DG100" s="179"/>
      <c r="DH100" s="179"/>
      <c r="DI100" s="179"/>
      <c r="DJ100" s="179"/>
      <c r="DK100" s="179"/>
      <c r="DL100" s="179"/>
      <c r="DM100" s="179"/>
      <c r="DN100" s="179"/>
      <c r="DO100" s="179"/>
      <c r="DP100" s="179"/>
      <c r="DQ100" s="179"/>
      <c r="DR100" s="179"/>
      <c r="DS100" s="179"/>
      <c r="DT100" s="179"/>
      <c r="DU100" s="179"/>
      <c r="DV100" s="179"/>
      <c r="DW100" s="179"/>
      <c r="DX100" s="179"/>
      <c r="DY100" s="179"/>
      <c r="DZ100" s="179"/>
      <c r="EA100" s="179"/>
      <c r="EB100" s="179"/>
      <c r="EC100" s="179"/>
      <c r="ED100" s="179"/>
      <c r="EE100" s="179"/>
      <c r="EF100" s="179"/>
      <c r="EG100" s="179"/>
    </row>
    <row r="101" spans="1:137" s="78" customFormat="1" ht="38.25">
      <c r="A101" s="178">
        <v>100</v>
      </c>
      <c r="B101" s="235" t="s">
        <v>2044</v>
      </c>
      <c r="C101" s="236" t="s">
        <v>3653</v>
      </c>
      <c r="D101" s="189" t="s">
        <v>3834</v>
      </c>
      <c r="E101" s="189" t="s">
        <v>3834</v>
      </c>
      <c r="F101" s="236" t="s">
        <v>3961</v>
      </c>
      <c r="G101" s="236" t="s">
        <v>3834</v>
      </c>
      <c r="H101" s="237">
        <v>44011</v>
      </c>
      <c r="I101" s="235" t="s">
        <v>4054</v>
      </c>
      <c r="J101" s="237">
        <v>44007</v>
      </c>
      <c r="K101" s="178">
        <f t="shared" si="4"/>
        <v>2020</v>
      </c>
      <c r="L101" s="178">
        <f t="shared" si="5"/>
        <v>6</v>
      </c>
      <c r="M101" s="237">
        <v>44011</v>
      </c>
      <c r="N101" s="333" t="s">
        <v>4058</v>
      </c>
      <c r="O101" s="343">
        <v>17</v>
      </c>
      <c r="P101" s="535">
        <f>VLOOKUP(E101,'Cost of items'!$A$3:$C$95,3,0)</f>
        <v>12.498789346246973</v>
      </c>
      <c r="Q101" s="179"/>
      <c r="R101" s="179"/>
      <c r="S101" s="179"/>
      <c r="T101" s="179"/>
      <c r="U101" s="179"/>
      <c r="V101" s="179"/>
      <c r="W101" s="179"/>
      <c r="X101" s="179"/>
      <c r="Y101" s="179"/>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9"/>
      <c r="BF101" s="179"/>
      <c r="BG101" s="179"/>
      <c r="BH101" s="179"/>
      <c r="BI101" s="179"/>
      <c r="BJ101" s="179"/>
      <c r="BK101" s="179"/>
      <c r="BL101" s="179"/>
      <c r="BM101" s="179"/>
      <c r="BN101" s="179"/>
      <c r="BO101" s="179"/>
      <c r="BP101" s="179"/>
      <c r="BQ101" s="179"/>
      <c r="BR101" s="179"/>
      <c r="BS101" s="179"/>
      <c r="BT101" s="179"/>
      <c r="BU101" s="179"/>
      <c r="BV101" s="179"/>
      <c r="BW101" s="179"/>
      <c r="BX101" s="179"/>
      <c r="BY101" s="179"/>
      <c r="BZ101" s="179"/>
      <c r="CA101" s="179"/>
      <c r="CB101" s="179"/>
      <c r="CC101" s="179"/>
      <c r="CD101" s="179"/>
      <c r="CE101" s="179"/>
      <c r="CF101" s="179"/>
      <c r="CG101" s="179"/>
      <c r="CH101" s="179"/>
      <c r="CI101" s="179"/>
      <c r="CJ101" s="179"/>
      <c r="CK101" s="179"/>
      <c r="CL101" s="179"/>
      <c r="CM101" s="179"/>
      <c r="CN101" s="179"/>
      <c r="CO101" s="179"/>
      <c r="CP101" s="179"/>
      <c r="CQ101" s="179"/>
      <c r="CR101" s="179"/>
      <c r="CS101" s="179"/>
      <c r="CT101" s="179"/>
      <c r="CU101" s="179"/>
      <c r="CV101" s="179"/>
      <c r="CW101" s="179"/>
      <c r="CX101" s="179"/>
      <c r="CY101" s="179"/>
      <c r="CZ101" s="179"/>
      <c r="DA101" s="179"/>
      <c r="DB101" s="179"/>
      <c r="DC101" s="179"/>
      <c r="DD101" s="179"/>
      <c r="DE101" s="179"/>
      <c r="DF101" s="179"/>
      <c r="DG101" s="179"/>
      <c r="DH101" s="179"/>
      <c r="DI101" s="179"/>
      <c r="DJ101" s="179"/>
      <c r="DK101" s="179"/>
      <c r="DL101" s="179"/>
      <c r="DM101" s="179"/>
      <c r="DN101" s="179"/>
      <c r="DO101" s="179"/>
      <c r="DP101" s="179"/>
      <c r="DQ101" s="179"/>
      <c r="DR101" s="179"/>
      <c r="DS101" s="179"/>
      <c r="DT101" s="179"/>
      <c r="DU101" s="179"/>
      <c r="DV101" s="179"/>
      <c r="DW101" s="179"/>
      <c r="DX101" s="179"/>
      <c r="DY101" s="179"/>
      <c r="DZ101" s="179"/>
      <c r="EA101" s="179"/>
      <c r="EB101" s="179"/>
      <c r="EC101" s="179"/>
      <c r="ED101" s="179"/>
      <c r="EE101" s="179"/>
      <c r="EF101" s="179"/>
      <c r="EG101" s="179"/>
    </row>
    <row r="102" spans="1:137" s="78" customFormat="1" ht="38.25">
      <c r="A102" s="383">
        <v>101</v>
      </c>
      <c r="B102" s="235" t="s">
        <v>2044</v>
      </c>
      <c r="C102" s="236" t="s">
        <v>3653</v>
      </c>
      <c r="D102" s="13" t="s">
        <v>3971</v>
      </c>
      <c r="E102" s="189" t="s">
        <v>3816</v>
      </c>
      <c r="F102" s="236" t="s">
        <v>3961</v>
      </c>
      <c r="G102" s="236" t="s">
        <v>4049</v>
      </c>
      <c r="H102" s="237">
        <v>44011</v>
      </c>
      <c r="I102" s="235" t="s">
        <v>4054</v>
      </c>
      <c r="J102" s="237">
        <v>44007</v>
      </c>
      <c r="K102" s="178">
        <f t="shared" si="4"/>
        <v>2020</v>
      </c>
      <c r="L102" s="178">
        <f t="shared" si="5"/>
        <v>6</v>
      </c>
      <c r="M102" s="237">
        <v>44011</v>
      </c>
      <c r="N102" s="333" t="s">
        <v>4058</v>
      </c>
      <c r="O102" s="343">
        <v>4</v>
      </c>
      <c r="P102" s="535">
        <f>VLOOKUP(E102,'Cost of items'!$A$3:$C$95,3,0)</f>
        <v>6.1989417989417985</v>
      </c>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9"/>
      <c r="BN102" s="179"/>
      <c r="BO102" s="179"/>
      <c r="BP102" s="179"/>
      <c r="BQ102" s="179"/>
      <c r="BR102" s="179"/>
      <c r="BS102" s="179"/>
      <c r="BT102" s="179"/>
      <c r="BU102" s="179"/>
      <c r="BV102" s="179"/>
      <c r="BW102" s="179"/>
      <c r="BX102" s="179"/>
      <c r="BY102" s="179"/>
      <c r="BZ102" s="179"/>
      <c r="CA102" s="179"/>
      <c r="CB102" s="179"/>
      <c r="CC102" s="179"/>
      <c r="CD102" s="179"/>
      <c r="CE102" s="179"/>
      <c r="CF102" s="179"/>
      <c r="CG102" s="179"/>
      <c r="CH102" s="179"/>
      <c r="CI102" s="179"/>
      <c r="CJ102" s="179"/>
      <c r="CK102" s="179"/>
      <c r="CL102" s="179"/>
      <c r="CM102" s="179"/>
      <c r="CN102" s="179"/>
      <c r="CO102" s="179"/>
      <c r="CP102" s="179"/>
      <c r="CQ102" s="179"/>
      <c r="CR102" s="179"/>
      <c r="CS102" s="179"/>
      <c r="CT102" s="179"/>
      <c r="CU102" s="179"/>
      <c r="CV102" s="179"/>
      <c r="CW102" s="179"/>
      <c r="CX102" s="179"/>
      <c r="CY102" s="179"/>
      <c r="CZ102" s="179"/>
      <c r="DA102" s="179"/>
      <c r="DB102" s="179"/>
      <c r="DC102" s="179"/>
      <c r="DD102" s="179"/>
      <c r="DE102" s="179"/>
      <c r="DF102" s="179"/>
      <c r="DG102" s="179"/>
      <c r="DH102" s="179"/>
      <c r="DI102" s="179"/>
      <c r="DJ102" s="179"/>
      <c r="DK102" s="179"/>
      <c r="DL102" s="179"/>
      <c r="DM102" s="179"/>
      <c r="DN102" s="179"/>
      <c r="DO102" s="179"/>
      <c r="DP102" s="179"/>
      <c r="DQ102" s="179"/>
      <c r="DR102" s="179"/>
      <c r="DS102" s="179"/>
      <c r="DT102" s="179"/>
      <c r="DU102" s="179"/>
      <c r="DV102" s="179"/>
      <c r="DW102" s="179"/>
      <c r="DX102" s="179"/>
      <c r="DY102" s="179"/>
      <c r="DZ102" s="179"/>
      <c r="EA102" s="179"/>
      <c r="EB102" s="179"/>
      <c r="EC102" s="179"/>
      <c r="ED102" s="179"/>
      <c r="EE102" s="179"/>
      <c r="EF102" s="179"/>
      <c r="EG102" s="179"/>
    </row>
    <row r="103" spans="1:137" s="78" customFormat="1" ht="25.5">
      <c r="A103" s="178">
        <v>102</v>
      </c>
      <c r="B103" s="235" t="s">
        <v>2044</v>
      </c>
      <c r="C103" s="236" t="s">
        <v>3660</v>
      </c>
      <c r="D103" s="191" t="s">
        <v>4064</v>
      </c>
      <c r="E103" s="191" t="s">
        <v>1937</v>
      </c>
      <c r="F103" s="236" t="s">
        <v>3962</v>
      </c>
      <c r="G103" s="236" t="s">
        <v>3829</v>
      </c>
      <c r="H103" s="237">
        <v>44037</v>
      </c>
      <c r="I103" s="235" t="s">
        <v>4053</v>
      </c>
      <c r="J103" s="237">
        <v>44015</v>
      </c>
      <c r="K103" s="178">
        <f t="shared" si="4"/>
        <v>2020</v>
      </c>
      <c r="L103" s="178">
        <f t="shared" si="5"/>
        <v>7</v>
      </c>
      <c r="M103" s="237">
        <v>44039</v>
      </c>
      <c r="N103" s="342" t="s">
        <v>4060</v>
      </c>
      <c r="O103" s="343">
        <v>48</v>
      </c>
      <c r="P103" s="535">
        <f>VLOOKUP(E103,'Cost of items'!$A$3:$C$95,3,0)</f>
        <v>37.251851851851853</v>
      </c>
      <c r="Q103" s="179"/>
      <c r="R103" s="179"/>
      <c r="S103" s="179"/>
      <c r="T103" s="179"/>
      <c r="U103" s="179"/>
      <c r="V103" s="179"/>
      <c r="W103" s="179"/>
      <c r="X103" s="179"/>
      <c r="Y103" s="179"/>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9"/>
      <c r="BF103" s="179"/>
      <c r="BG103" s="179"/>
      <c r="BH103" s="179"/>
      <c r="BI103" s="179"/>
      <c r="BJ103" s="179"/>
      <c r="BK103" s="179"/>
      <c r="BL103" s="179"/>
      <c r="BM103" s="179"/>
      <c r="BN103" s="179"/>
      <c r="BO103" s="179"/>
      <c r="BP103" s="179"/>
      <c r="BQ103" s="179"/>
      <c r="BR103" s="179"/>
      <c r="BS103" s="179"/>
      <c r="BT103" s="179"/>
      <c r="BU103" s="179"/>
      <c r="BV103" s="179"/>
      <c r="BW103" s="179"/>
      <c r="BX103" s="179"/>
      <c r="BY103" s="179"/>
      <c r="BZ103" s="179"/>
      <c r="CA103" s="179"/>
      <c r="CB103" s="179"/>
      <c r="CC103" s="179"/>
      <c r="CD103" s="179"/>
      <c r="CE103" s="179"/>
      <c r="CF103" s="179"/>
      <c r="CG103" s="179"/>
      <c r="CH103" s="179"/>
      <c r="CI103" s="179"/>
      <c r="CJ103" s="179"/>
      <c r="CK103" s="179"/>
      <c r="CL103" s="179"/>
      <c r="CM103" s="179"/>
      <c r="CN103" s="179"/>
      <c r="CO103" s="179"/>
      <c r="CP103" s="179"/>
      <c r="CQ103" s="179"/>
      <c r="CR103" s="179"/>
      <c r="CS103" s="179"/>
      <c r="CT103" s="179"/>
      <c r="CU103" s="179"/>
      <c r="CV103" s="179"/>
      <c r="CW103" s="179"/>
      <c r="CX103" s="179"/>
      <c r="CY103" s="179"/>
      <c r="CZ103" s="179"/>
      <c r="DA103" s="179"/>
      <c r="DB103" s="179"/>
      <c r="DC103" s="179"/>
      <c r="DD103" s="179"/>
      <c r="DE103" s="179"/>
      <c r="DF103" s="179"/>
      <c r="DG103" s="179"/>
      <c r="DH103" s="179"/>
      <c r="DI103" s="179"/>
      <c r="DJ103" s="179"/>
      <c r="DK103" s="179"/>
      <c r="DL103" s="179"/>
      <c r="DM103" s="179"/>
      <c r="DN103" s="179"/>
      <c r="DO103" s="179"/>
      <c r="DP103" s="179"/>
      <c r="DQ103" s="179"/>
      <c r="DR103" s="179"/>
      <c r="DS103" s="179"/>
      <c r="DT103" s="179"/>
      <c r="DU103" s="179"/>
      <c r="DV103" s="179"/>
      <c r="DW103" s="179"/>
      <c r="DX103" s="179"/>
      <c r="DY103" s="179"/>
      <c r="DZ103" s="179"/>
      <c r="EA103" s="179"/>
      <c r="EB103" s="179"/>
      <c r="EC103" s="179"/>
      <c r="ED103" s="179"/>
      <c r="EE103" s="179"/>
      <c r="EF103" s="179"/>
      <c r="EG103" s="179"/>
    </row>
    <row r="104" spans="1:137" s="78" customFormat="1" ht="25.5">
      <c r="A104" s="383">
        <v>103</v>
      </c>
      <c r="B104" s="235" t="s">
        <v>2044</v>
      </c>
      <c r="C104" s="236" t="s">
        <v>3662</v>
      </c>
      <c r="D104" s="189" t="s">
        <v>3834</v>
      </c>
      <c r="E104" s="189" t="s">
        <v>3834</v>
      </c>
      <c r="F104" s="236" t="s">
        <v>3963</v>
      </c>
      <c r="G104" s="236" t="s">
        <v>3834</v>
      </c>
      <c r="H104" s="237">
        <v>44037</v>
      </c>
      <c r="I104" s="235" t="s">
        <v>4053</v>
      </c>
      <c r="J104" s="237">
        <v>44025</v>
      </c>
      <c r="K104" s="178">
        <f t="shared" si="4"/>
        <v>2020</v>
      </c>
      <c r="L104" s="178">
        <f t="shared" si="5"/>
        <v>7</v>
      </c>
      <c r="M104" s="237">
        <v>44039</v>
      </c>
      <c r="N104" s="342" t="s">
        <v>4060</v>
      </c>
      <c r="O104" s="343">
        <v>16</v>
      </c>
      <c r="P104" s="535">
        <f>VLOOKUP(E104,'Cost of items'!$A$3:$C$95,3,0)</f>
        <v>12.498789346246973</v>
      </c>
      <c r="Q104" s="179"/>
      <c r="R104" s="179"/>
      <c r="S104" s="179"/>
      <c r="T104" s="179"/>
      <c r="U104" s="179"/>
      <c r="V104" s="179"/>
      <c r="W104" s="179"/>
      <c r="X104" s="179"/>
      <c r="Y104" s="179"/>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9"/>
      <c r="BF104" s="179"/>
      <c r="BG104" s="179"/>
      <c r="BH104" s="179"/>
      <c r="BI104" s="179"/>
      <c r="BJ104" s="179"/>
      <c r="BK104" s="179"/>
      <c r="BL104" s="179"/>
      <c r="BM104" s="179"/>
      <c r="BN104" s="179"/>
      <c r="BO104" s="179"/>
      <c r="BP104" s="179"/>
      <c r="BQ104" s="179"/>
      <c r="BR104" s="179"/>
      <c r="BS104" s="179"/>
      <c r="BT104" s="179"/>
      <c r="BU104" s="179"/>
      <c r="BV104" s="179"/>
      <c r="BW104" s="179"/>
      <c r="BX104" s="179"/>
      <c r="BY104" s="179"/>
      <c r="BZ104" s="179"/>
      <c r="CA104" s="179"/>
      <c r="CB104" s="179"/>
      <c r="CC104" s="179"/>
      <c r="CD104" s="179"/>
      <c r="CE104" s="179"/>
      <c r="CF104" s="179"/>
      <c r="CG104" s="179"/>
      <c r="CH104" s="179"/>
      <c r="CI104" s="179"/>
      <c r="CJ104" s="179"/>
      <c r="CK104" s="179"/>
      <c r="CL104" s="179"/>
      <c r="CM104" s="179"/>
      <c r="CN104" s="179"/>
      <c r="CO104" s="179"/>
      <c r="CP104" s="179"/>
      <c r="CQ104" s="179"/>
      <c r="CR104" s="179"/>
      <c r="CS104" s="179"/>
      <c r="CT104" s="179"/>
      <c r="CU104" s="179"/>
      <c r="CV104" s="179"/>
      <c r="CW104" s="179"/>
      <c r="CX104" s="179"/>
      <c r="CY104" s="179"/>
      <c r="CZ104" s="179"/>
      <c r="DA104" s="179"/>
      <c r="DB104" s="179"/>
      <c r="DC104" s="179"/>
      <c r="DD104" s="179"/>
      <c r="DE104" s="179"/>
      <c r="DF104" s="179"/>
      <c r="DG104" s="179"/>
      <c r="DH104" s="179"/>
      <c r="DI104" s="179"/>
      <c r="DJ104" s="179"/>
      <c r="DK104" s="179"/>
      <c r="DL104" s="179"/>
      <c r="DM104" s="179"/>
      <c r="DN104" s="179"/>
      <c r="DO104" s="179"/>
      <c r="DP104" s="179"/>
      <c r="DQ104" s="179"/>
      <c r="DR104" s="179"/>
      <c r="DS104" s="179"/>
      <c r="DT104" s="179"/>
      <c r="DU104" s="179"/>
      <c r="DV104" s="179"/>
      <c r="DW104" s="179"/>
      <c r="DX104" s="179"/>
      <c r="DY104" s="179"/>
      <c r="DZ104" s="179"/>
      <c r="EA104" s="179"/>
      <c r="EB104" s="179"/>
      <c r="EC104" s="179"/>
      <c r="ED104" s="179"/>
      <c r="EE104" s="179"/>
      <c r="EF104" s="179"/>
      <c r="EG104" s="179"/>
    </row>
    <row r="105" spans="1:137" s="78" customFormat="1" ht="25.5">
      <c r="A105" s="178">
        <v>104</v>
      </c>
      <c r="B105" s="235" t="s">
        <v>2044</v>
      </c>
      <c r="C105" s="236" t="s">
        <v>3662</v>
      </c>
      <c r="D105" s="189" t="s">
        <v>3834</v>
      </c>
      <c r="E105" s="189" t="s">
        <v>3834</v>
      </c>
      <c r="F105" s="236" t="s">
        <v>3964</v>
      </c>
      <c r="G105" s="236" t="s">
        <v>3834</v>
      </c>
      <c r="H105" s="237">
        <v>44037</v>
      </c>
      <c r="I105" s="235" t="s">
        <v>4053</v>
      </c>
      <c r="J105" s="237">
        <v>44025</v>
      </c>
      <c r="K105" s="178">
        <f t="shared" si="4"/>
        <v>2020</v>
      </c>
      <c r="L105" s="178">
        <f t="shared" si="5"/>
        <v>7</v>
      </c>
      <c r="M105" s="237">
        <v>44039</v>
      </c>
      <c r="N105" s="342" t="s">
        <v>4060</v>
      </c>
      <c r="O105" s="343">
        <v>16</v>
      </c>
      <c r="P105" s="535">
        <f>VLOOKUP(E105,'Cost of items'!$A$3:$C$95,3,0)</f>
        <v>12.498789346246973</v>
      </c>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9"/>
      <c r="BN105" s="179"/>
      <c r="BO105" s="179"/>
      <c r="BP105" s="179"/>
      <c r="BQ105" s="179"/>
      <c r="BR105" s="179"/>
      <c r="BS105" s="179"/>
      <c r="BT105" s="179"/>
      <c r="BU105" s="179"/>
      <c r="BV105" s="179"/>
      <c r="BW105" s="179"/>
      <c r="BX105" s="179"/>
      <c r="BY105" s="179"/>
      <c r="BZ105" s="179"/>
      <c r="CA105" s="179"/>
      <c r="CB105" s="179"/>
      <c r="CC105" s="179"/>
      <c r="CD105" s="179"/>
      <c r="CE105" s="179"/>
      <c r="CF105" s="179"/>
      <c r="CG105" s="179"/>
      <c r="CH105" s="179"/>
      <c r="CI105" s="179"/>
      <c r="CJ105" s="179"/>
      <c r="CK105" s="179"/>
      <c r="CL105" s="179"/>
      <c r="CM105" s="179"/>
      <c r="CN105" s="179"/>
      <c r="CO105" s="179"/>
      <c r="CP105" s="179"/>
      <c r="CQ105" s="179"/>
      <c r="CR105" s="179"/>
      <c r="CS105" s="179"/>
      <c r="CT105" s="179"/>
      <c r="CU105" s="179"/>
      <c r="CV105" s="179"/>
      <c r="CW105" s="179"/>
      <c r="CX105" s="179"/>
      <c r="CY105" s="179"/>
      <c r="CZ105" s="179"/>
      <c r="DA105" s="179"/>
      <c r="DB105" s="179"/>
      <c r="DC105" s="179"/>
      <c r="DD105" s="179"/>
      <c r="DE105" s="179"/>
      <c r="DF105" s="179"/>
      <c r="DG105" s="179"/>
      <c r="DH105" s="179"/>
      <c r="DI105" s="179"/>
      <c r="DJ105" s="179"/>
      <c r="DK105" s="179"/>
      <c r="DL105" s="179"/>
      <c r="DM105" s="179"/>
      <c r="DN105" s="179"/>
      <c r="DO105" s="179"/>
      <c r="DP105" s="179"/>
      <c r="DQ105" s="179"/>
      <c r="DR105" s="179"/>
      <c r="DS105" s="179"/>
      <c r="DT105" s="179"/>
      <c r="DU105" s="179"/>
      <c r="DV105" s="179"/>
      <c r="DW105" s="179"/>
      <c r="DX105" s="179"/>
      <c r="DY105" s="179"/>
      <c r="DZ105" s="179"/>
      <c r="EA105" s="179"/>
      <c r="EB105" s="179"/>
      <c r="EC105" s="179"/>
      <c r="ED105" s="179"/>
      <c r="EE105" s="179"/>
      <c r="EF105" s="179"/>
      <c r="EG105" s="179"/>
    </row>
    <row r="106" spans="1:137" s="78" customFormat="1" ht="25.5">
      <c r="A106" s="383">
        <v>105</v>
      </c>
      <c r="B106" s="235" t="s">
        <v>2044</v>
      </c>
      <c r="C106" s="236" t="s">
        <v>3677</v>
      </c>
      <c r="D106" s="13" t="s">
        <v>3971</v>
      </c>
      <c r="E106" s="13" t="s">
        <v>3845</v>
      </c>
      <c r="F106" s="236" t="s">
        <v>3965</v>
      </c>
      <c r="G106" s="236" t="s">
        <v>3871</v>
      </c>
      <c r="H106" s="237">
        <v>44119</v>
      </c>
      <c r="I106" s="235"/>
      <c r="J106" s="237">
        <v>44051</v>
      </c>
      <c r="K106" s="178">
        <f t="shared" si="4"/>
        <v>2020</v>
      </c>
      <c r="L106" s="178">
        <f t="shared" si="5"/>
        <v>8</v>
      </c>
      <c r="M106" s="237">
        <v>44201</v>
      </c>
      <c r="N106" s="342" t="s">
        <v>4061</v>
      </c>
      <c r="O106" s="343">
        <v>16</v>
      </c>
      <c r="P106" s="535">
        <f>VLOOKUP(E106,'Cost of items'!$A$3:$C$95,3,0)</f>
        <v>10</v>
      </c>
      <c r="Q106" s="179"/>
      <c r="R106" s="179"/>
      <c r="S106" s="179"/>
      <c r="T106" s="179"/>
      <c r="U106" s="179"/>
      <c r="V106" s="179"/>
      <c r="W106" s="179"/>
      <c r="X106" s="179"/>
      <c r="Y106" s="179"/>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9"/>
      <c r="BF106" s="179"/>
      <c r="BG106" s="179"/>
      <c r="BH106" s="179"/>
      <c r="BI106" s="179"/>
      <c r="BJ106" s="179"/>
      <c r="BK106" s="179"/>
      <c r="BL106" s="179"/>
      <c r="BM106" s="179"/>
      <c r="BN106" s="179"/>
      <c r="BO106" s="179"/>
      <c r="BP106" s="179"/>
      <c r="BQ106" s="179"/>
      <c r="BR106" s="179"/>
      <c r="BS106" s="179"/>
      <c r="BT106" s="179"/>
      <c r="BU106" s="179"/>
      <c r="BV106" s="179"/>
      <c r="BW106" s="179"/>
      <c r="BX106" s="179"/>
      <c r="BY106" s="179"/>
      <c r="BZ106" s="179"/>
      <c r="CA106" s="179"/>
      <c r="CB106" s="179"/>
      <c r="CC106" s="179"/>
      <c r="CD106" s="179"/>
      <c r="CE106" s="179"/>
      <c r="CF106" s="179"/>
      <c r="CG106" s="179"/>
      <c r="CH106" s="179"/>
      <c r="CI106" s="179"/>
      <c r="CJ106" s="179"/>
      <c r="CK106" s="179"/>
      <c r="CL106" s="179"/>
      <c r="CM106" s="179"/>
      <c r="CN106" s="179"/>
      <c r="CO106" s="179"/>
      <c r="CP106" s="179"/>
      <c r="CQ106" s="179"/>
      <c r="CR106" s="179"/>
      <c r="CS106" s="179"/>
      <c r="CT106" s="179"/>
      <c r="CU106" s="179"/>
      <c r="CV106" s="179"/>
      <c r="CW106" s="179"/>
      <c r="CX106" s="179"/>
      <c r="CY106" s="179"/>
      <c r="CZ106" s="179"/>
      <c r="DA106" s="179"/>
      <c r="DB106" s="179"/>
      <c r="DC106" s="179"/>
      <c r="DD106" s="179"/>
      <c r="DE106" s="179"/>
      <c r="DF106" s="179"/>
      <c r="DG106" s="179"/>
      <c r="DH106" s="179"/>
      <c r="DI106" s="179"/>
      <c r="DJ106" s="179"/>
      <c r="DK106" s="179"/>
      <c r="DL106" s="179"/>
      <c r="DM106" s="179"/>
      <c r="DN106" s="179"/>
      <c r="DO106" s="179"/>
      <c r="DP106" s="179"/>
      <c r="DQ106" s="179"/>
      <c r="DR106" s="179"/>
      <c r="DS106" s="179"/>
      <c r="DT106" s="179"/>
      <c r="DU106" s="179"/>
      <c r="DV106" s="179"/>
      <c r="DW106" s="179"/>
      <c r="DX106" s="179"/>
      <c r="DY106" s="179"/>
      <c r="DZ106" s="179"/>
      <c r="EA106" s="179"/>
      <c r="EB106" s="179"/>
      <c r="EC106" s="179"/>
      <c r="ED106" s="179"/>
      <c r="EE106" s="179"/>
      <c r="EF106" s="179"/>
      <c r="EG106" s="179"/>
    </row>
    <row r="107" spans="1:137" s="78" customFormat="1" ht="25.5">
      <c r="A107" s="178">
        <v>106</v>
      </c>
      <c r="B107" s="235" t="s">
        <v>2044</v>
      </c>
      <c r="C107" s="236" t="s">
        <v>3677</v>
      </c>
      <c r="D107" s="236" t="s">
        <v>4073</v>
      </c>
      <c r="E107" s="13" t="s">
        <v>3846</v>
      </c>
      <c r="F107" s="236" t="s">
        <v>3966</v>
      </c>
      <c r="G107" s="236" t="s">
        <v>3756</v>
      </c>
      <c r="H107" s="237">
        <v>44120</v>
      </c>
      <c r="I107" s="235"/>
      <c r="J107" s="237">
        <v>44051</v>
      </c>
      <c r="K107" s="178">
        <f t="shared" si="4"/>
        <v>2020</v>
      </c>
      <c r="L107" s="178">
        <f t="shared" si="5"/>
        <v>8</v>
      </c>
      <c r="M107" s="237">
        <v>44201</v>
      </c>
      <c r="N107" s="342" t="s">
        <v>4061</v>
      </c>
      <c r="O107" s="343">
        <v>25</v>
      </c>
      <c r="P107" s="535">
        <f>VLOOKUP(E107,'Cost of items'!$A$3:$C$95,3,0)</f>
        <v>19.135714285714286</v>
      </c>
      <c r="Q107" s="179"/>
      <c r="R107" s="179"/>
      <c r="S107" s="179"/>
      <c r="T107" s="179"/>
      <c r="U107" s="179"/>
      <c r="V107" s="179"/>
      <c r="W107" s="179"/>
      <c r="X107" s="179"/>
      <c r="Y107" s="179"/>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9"/>
      <c r="BF107" s="179"/>
      <c r="BG107" s="179"/>
      <c r="BH107" s="179"/>
      <c r="BI107" s="179"/>
      <c r="BJ107" s="179"/>
      <c r="BK107" s="179"/>
      <c r="BL107" s="179"/>
      <c r="BM107" s="179"/>
      <c r="BN107" s="179"/>
      <c r="BO107" s="179"/>
      <c r="BP107" s="179"/>
      <c r="BQ107" s="179"/>
      <c r="BR107" s="179"/>
      <c r="BS107" s="179"/>
      <c r="BT107" s="179"/>
      <c r="BU107" s="179"/>
      <c r="BV107" s="179"/>
      <c r="BW107" s="179"/>
      <c r="BX107" s="179"/>
      <c r="BY107" s="179"/>
      <c r="BZ107" s="179"/>
      <c r="CA107" s="179"/>
      <c r="CB107" s="179"/>
      <c r="CC107" s="179"/>
      <c r="CD107" s="179"/>
      <c r="CE107" s="179"/>
      <c r="CF107" s="179"/>
      <c r="CG107" s="179"/>
      <c r="CH107" s="179"/>
      <c r="CI107" s="179"/>
      <c r="CJ107" s="179"/>
      <c r="CK107" s="179"/>
      <c r="CL107" s="179"/>
      <c r="CM107" s="179"/>
      <c r="CN107" s="179"/>
      <c r="CO107" s="179"/>
      <c r="CP107" s="179"/>
      <c r="CQ107" s="179"/>
      <c r="CR107" s="179"/>
      <c r="CS107" s="179"/>
      <c r="CT107" s="179"/>
      <c r="CU107" s="179"/>
      <c r="CV107" s="179"/>
      <c r="CW107" s="179"/>
      <c r="CX107" s="179"/>
      <c r="CY107" s="179"/>
      <c r="CZ107" s="179"/>
      <c r="DA107" s="179"/>
      <c r="DB107" s="179"/>
      <c r="DC107" s="179"/>
      <c r="DD107" s="179"/>
      <c r="DE107" s="179"/>
      <c r="DF107" s="179"/>
      <c r="DG107" s="179"/>
      <c r="DH107" s="179"/>
      <c r="DI107" s="179"/>
      <c r="DJ107" s="179"/>
      <c r="DK107" s="179"/>
      <c r="DL107" s="179"/>
      <c r="DM107" s="179"/>
      <c r="DN107" s="179"/>
      <c r="DO107" s="179"/>
      <c r="DP107" s="179"/>
      <c r="DQ107" s="179"/>
      <c r="DR107" s="179"/>
      <c r="DS107" s="179"/>
      <c r="DT107" s="179"/>
      <c r="DU107" s="179"/>
      <c r="DV107" s="179"/>
      <c r="DW107" s="179"/>
      <c r="DX107" s="179"/>
      <c r="DY107" s="179"/>
      <c r="DZ107" s="179"/>
      <c r="EA107" s="179"/>
      <c r="EB107" s="179"/>
      <c r="EC107" s="179"/>
      <c r="ED107" s="179"/>
      <c r="EE107" s="179"/>
      <c r="EF107" s="179"/>
      <c r="EG107" s="179"/>
    </row>
    <row r="108" spans="1:137" s="78" customFormat="1" ht="25.5">
      <c r="A108" s="383">
        <v>107</v>
      </c>
      <c r="B108" s="235" t="s">
        <v>2044</v>
      </c>
      <c r="C108" s="236" t="s">
        <v>3682</v>
      </c>
      <c r="D108" s="189" t="s">
        <v>3834</v>
      </c>
      <c r="E108" s="13" t="s">
        <v>3834</v>
      </c>
      <c r="F108" s="236" t="s">
        <v>3967</v>
      </c>
      <c r="G108" s="236" t="s">
        <v>4050</v>
      </c>
      <c r="H108" s="237">
        <v>44090</v>
      </c>
      <c r="I108" s="235"/>
      <c r="J108" s="237">
        <v>44081</v>
      </c>
      <c r="K108" s="178">
        <f t="shared" ref="K108:K112" si="6">YEAR(J108)</f>
        <v>2020</v>
      </c>
      <c r="L108" s="178">
        <f t="shared" ref="L108:L112" si="7">MONTH(J108)</f>
        <v>9</v>
      </c>
      <c r="M108" s="237">
        <v>44091</v>
      </c>
      <c r="N108" s="342" t="s">
        <v>4060</v>
      </c>
      <c r="O108" s="343">
        <v>15</v>
      </c>
      <c r="P108" s="535">
        <f>VLOOKUP(E108,'Cost of items'!$A$3:$C$95,3,0)</f>
        <v>12.498789346246973</v>
      </c>
      <c r="Q108" s="179"/>
      <c r="R108" s="179"/>
      <c r="S108" s="179"/>
      <c r="T108" s="179"/>
      <c r="U108" s="179"/>
      <c r="V108" s="179"/>
      <c r="W108" s="179"/>
      <c r="X108" s="179"/>
      <c r="Y108" s="179"/>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9"/>
      <c r="BF108" s="179"/>
      <c r="BG108" s="179"/>
      <c r="BH108" s="179"/>
      <c r="BI108" s="179"/>
      <c r="BJ108" s="179"/>
      <c r="BK108" s="179"/>
      <c r="BL108" s="179"/>
      <c r="BM108" s="179"/>
      <c r="BN108" s="179"/>
      <c r="BO108" s="179"/>
      <c r="BP108" s="179"/>
      <c r="BQ108" s="179"/>
      <c r="BR108" s="179"/>
      <c r="BS108" s="179"/>
      <c r="BT108" s="179"/>
      <c r="BU108" s="179"/>
      <c r="BV108" s="179"/>
      <c r="BW108" s="179"/>
      <c r="BX108" s="179"/>
      <c r="BY108" s="179"/>
      <c r="BZ108" s="179"/>
      <c r="CA108" s="179"/>
      <c r="CB108" s="179"/>
      <c r="CC108" s="179"/>
      <c r="CD108" s="179"/>
      <c r="CE108" s="179"/>
      <c r="CF108" s="179"/>
      <c r="CG108" s="179"/>
      <c r="CH108" s="179"/>
      <c r="CI108" s="179"/>
      <c r="CJ108" s="179"/>
      <c r="CK108" s="179"/>
      <c r="CL108" s="179"/>
      <c r="CM108" s="179"/>
      <c r="CN108" s="179"/>
      <c r="CO108" s="179"/>
      <c r="CP108" s="179"/>
      <c r="CQ108" s="179"/>
      <c r="CR108" s="179"/>
      <c r="CS108" s="179"/>
      <c r="CT108" s="179"/>
      <c r="CU108" s="179"/>
      <c r="CV108" s="179"/>
      <c r="CW108" s="179"/>
      <c r="CX108" s="179"/>
      <c r="CY108" s="179"/>
      <c r="CZ108" s="179"/>
      <c r="DA108" s="179"/>
      <c r="DB108" s="179"/>
      <c r="DC108" s="179"/>
      <c r="DD108" s="179"/>
      <c r="DE108" s="179"/>
      <c r="DF108" s="179"/>
      <c r="DG108" s="179"/>
      <c r="DH108" s="179"/>
      <c r="DI108" s="179"/>
      <c r="DJ108" s="179"/>
      <c r="DK108" s="179"/>
      <c r="DL108" s="179"/>
      <c r="DM108" s="179"/>
      <c r="DN108" s="179"/>
      <c r="DO108" s="179"/>
      <c r="DP108" s="179"/>
      <c r="DQ108" s="179"/>
      <c r="DR108" s="179"/>
      <c r="DS108" s="179"/>
      <c r="DT108" s="179"/>
      <c r="DU108" s="179"/>
      <c r="DV108" s="179"/>
      <c r="DW108" s="179"/>
      <c r="DX108" s="179"/>
      <c r="DY108" s="179"/>
      <c r="DZ108" s="179"/>
      <c r="EA108" s="179"/>
      <c r="EB108" s="179"/>
      <c r="EC108" s="179"/>
      <c r="ED108" s="179"/>
      <c r="EE108" s="179"/>
      <c r="EF108" s="179"/>
      <c r="EG108" s="179"/>
    </row>
    <row r="109" spans="1:137" s="78" customFormat="1" ht="25.5">
      <c r="A109" s="178">
        <v>108</v>
      </c>
      <c r="B109" s="235" t="s">
        <v>2044</v>
      </c>
      <c r="C109" s="236" t="s">
        <v>3749</v>
      </c>
      <c r="D109" s="203" t="s">
        <v>4072</v>
      </c>
      <c r="E109" s="13" t="s">
        <v>2076</v>
      </c>
      <c r="F109" s="236" t="s">
        <v>3968</v>
      </c>
      <c r="G109" s="236" t="s">
        <v>4051</v>
      </c>
      <c r="H109" s="237">
        <v>44115</v>
      </c>
      <c r="I109" s="235" t="s">
        <v>4053</v>
      </c>
      <c r="J109" s="237">
        <v>44115</v>
      </c>
      <c r="K109" s="178">
        <f t="shared" si="6"/>
        <v>2020</v>
      </c>
      <c r="L109" s="178">
        <f t="shared" si="7"/>
        <v>10</v>
      </c>
      <c r="M109" s="237">
        <v>44116</v>
      </c>
      <c r="N109" s="342" t="s">
        <v>4057</v>
      </c>
      <c r="O109" s="343">
        <v>11</v>
      </c>
      <c r="P109" s="535">
        <f>VLOOKUP(E109,'Cost of items'!$A$3:$C$95,3,0)</f>
        <v>14.521950271950272</v>
      </c>
      <c r="Q109" s="179"/>
      <c r="R109" s="179"/>
      <c r="S109" s="179"/>
      <c r="T109" s="179"/>
      <c r="U109" s="179"/>
      <c r="V109" s="179"/>
      <c r="W109" s="179"/>
      <c r="X109" s="179"/>
      <c r="Y109" s="179"/>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9"/>
      <c r="BF109" s="179"/>
      <c r="BG109" s="179"/>
      <c r="BH109" s="179"/>
      <c r="BI109" s="179"/>
      <c r="BJ109" s="179"/>
      <c r="BK109" s="179"/>
      <c r="BL109" s="179"/>
      <c r="BM109" s="179"/>
      <c r="BN109" s="179"/>
      <c r="BO109" s="179"/>
      <c r="BP109" s="179"/>
      <c r="BQ109" s="179"/>
      <c r="BR109" s="179"/>
      <c r="BS109" s="179"/>
      <c r="BT109" s="179"/>
      <c r="BU109" s="179"/>
      <c r="BV109" s="179"/>
      <c r="BW109" s="179"/>
      <c r="BX109" s="179"/>
      <c r="BY109" s="179"/>
      <c r="BZ109" s="179"/>
      <c r="CA109" s="179"/>
      <c r="CB109" s="179"/>
      <c r="CC109" s="179"/>
      <c r="CD109" s="179"/>
      <c r="CE109" s="179"/>
      <c r="CF109" s="179"/>
      <c r="CG109" s="179"/>
      <c r="CH109" s="179"/>
      <c r="CI109" s="179"/>
      <c r="CJ109" s="179"/>
      <c r="CK109" s="179"/>
      <c r="CL109" s="179"/>
      <c r="CM109" s="179"/>
      <c r="CN109" s="179"/>
      <c r="CO109" s="179"/>
      <c r="CP109" s="179"/>
      <c r="CQ109" s="179"/>
      <c r="CR109" s="179"/>
      <c r="CS109" s="179"/>
      <c r="CT109" s="179"/>
      <c r="CU109" s="179"/>
      <c r="CV109" s="179"/>
      <c r="CW109" s="179"/>
      <c r="CX109" s="179"/>
      <c r="CY109" s="179"/>
      <c r="CZ109" s="179"/>
      <c r="DA109" s="179"/>
      <c r="DB109" s="179"/>
      <c r="DC109" s="179"/>
      <c r="DD109" s="179"/>
      <c r="DE109" s="179"/>
      <c r="DF109" s="179"/>
      <c r="DG109" s="179"/>
      <c r="DH109" s="179"/>
      <c r="DI109" s="179"/>
      <c r="DJ109" s="179"/>
      <c r="DK109" s="179"/>
      <c r="DL109" s="179"/>
      <c r="DM109" s="179"/>
      <c r="DN109" s="179"/>
      <c r="DO109" s="179"/>
      <c r="DP109" s="179"/>
      <c r="DQ109" s="179"/>
      <c r="DR109" s="179"/>
      <c r="DS109" s="179"/>
      <c r="DT109" s="179"/>
      <c r="DU109" s="179"/>
      <c r="DV109" s="179"/>
      <c r="DW109" s="179"/>
      <c r="DX109" s="179"/>
      <c r="DY109" s="179"/>
      <c r="DZ109" s="179"/>
      <c r="EA109" s="179"/>
      <c r="EB109" s="179"/>
      <c r="EC109" s="179"/>
      <c r="ED109" s="179"/>
      <c r="EE109" s="179"/>
      <c r="EF109" s="179"/>
      <c r="EG109" s="179"/>
    </row>
    <row r="110" spans="1:137" s="78" customFormat="1" ht="25.5">
      <c r="A110" s="383">
        <v>109</v>
      </c>
      <c r="B110" s="235" t="s">
        <v>2044</v>
      </c>
      <c r="C110" s="236" t="s">
        <v>1877</v>
      </c>
      <c r="D110" s="236" t="s">
        <v>3638</v>
      </c>
      <c r="E110" s="13" t="s">
        <v>3642</v>
      </c>
      <c r="F110" s="236" t="s">
        <v>3969</v>
      </c>
      <c r="G110" s="236" t="s">
        <v>4052</v>
      </c>
      <c r="H110" s="237">
        <v>44173</v>
      </c>
      <c r="I110" s="235"/>
      <c r="J110" s="237">
        <v>44155</v>
      </c>
      <c r="K110" s="178">
        <f t="shared" si="6"/>
        <v>2020</v>
      </c>
      <c r="L110" s="178">
        <f t="shared" si="7"/>
        <v>11</v>
      </c>
      <c r="M110" s="237">
        <v>44201</v>
      </c>
      <c r="N110" s="342" t="s">
        <v>4061</v>
      </c>
      <c r="O110" s="434">
        <v>25</v>
      </c>
      <c r="P110" s="535">
        <f>VLOOKUP(E110,'Cost of items'!$A$3:$C$95,3,0)</f>
        <v>18.550264550264551</v>
      </c>
      <c r="Q110" s="179"/>
      <c r="R110" s="179"/>
      <c r="S110" s="179"/>
      <c r="T110" s="179"/>
      <c r="U110" s="179"/>
      <c r="V110" s="179"/>
      <c r="W110" s="179"/>
      <c r="X110" s="179"/>
      <c r="Y110" s="179"/>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9"/>
      <c r="BF110" s="179"/>
      <c r="BG110" s="179"/>
      <c r="BH110" s="179"/>
      <c r="BI110" s="179"/>
      <c r="BJ110" s="179"/>
      <c r="BK110" s="179"/>
      <c r="BL110" s="179"/>
      <c r="BM110" s="179"/>
      <c r="BN110" s="179"/>
      <c r="BO110" s="179"/>
      <c r="BP110" s="179"/>
      <c r="BQ110" s="179"/>
      <c r="BR110" s="179"/>
      <c r="BS110" s="179"/>
      <c r="BT110" s="179"/>
      <c r="BU110" s="179"/>
      <c r="BV110" s="179"/>
      <c r="BW110" s="179"/>
      <c r="BX110" s="179"/>
      <c r="BY110" s="179"/>
      <c r="BZ110" s="179"/>
      <c r="CA110" s="179"/>
      <c r="CB110" s="179"/>
      <c r="CC110" s="179"/>
      <c r="CD110" s="179"/>
      <c r="CE110" s="179"/>
      <c r="CF110" s="179"/>
      <c r="CG110" s="179"/>
      <c r="CH110" s="179"/>
      <c r="CI110" s="179"/>
      <c r="CJ110" s="179"/>
      <c r="CK110" s="179"/>
      <c r="CL110" s="179"/>
      <c r="CM110" s="179"/>
      <c r="CN110" s="179"/>
      <c r="CO110" s="179"/>
      <c r="CP110" s="179"/>
      <c r="CQ110" s="179"/>
      <c r="CR110" s="179"/>
      <c r="CS110" s="179"/>
      <c r="CT110" s="179"/>
      <c r="CU110" s="179"/>
      <c r="CV110" s="179"/>
      <c r="CW110" s="179"/>
      <c r="CX110" s="179"/>
      <c r="CY110" s="179"/>
      <c r="CZ110" s="179"/>
      <c r="DA110" s="179"/>
      <c r="DB110" s="179"/>
      <c r="DC110" s="179"/>
      <c r="DD110" s="179"/>
      <c r="DE110" s="179"/>
      <c r="DF110" s="179"/>
      <c r="DG110" s="179"/>
      <c r="DH110" s="179"/>
      <c r="DI110" s="179"/>
      <c r="DJ110" s="179"/>
      <c r="DK110" s="179"/>
      <c r="DL110" s="179"/>
      <c r="DM110" s="179"/>
      <c r="DN110" s="179"/>
      <c r="DO110" s="179"/>
      <c r="DP110" s="179"/>
      <c r="DQ110" s="179"/>
      <c r="DR110" s="179"/>
      <c r="DS110" s="179"/>
      <c r="DT110" s="179"/>
      <c r="DU110" s="179"/>
      <c r="DV110" s="179"/>
      <c r="DW110" s="179"/>
      <c r="DX110" s="179"/>
      <c r="DY110" s="179"/>
      <c r="DZ110" s="179"/>
      <c r="EA110" s="179"/>
      <c r="EB110" s="179"/>
      <c r="EC110" s="179"/>
      <c r="ED110" s="179"/>
      <c r="EE110" s="179"/>
      <c r="EF110" s="179"/>
      <c r="EG110" s="179"/>
    </row>
    <row r="111" spans="1:137" s="78" customFormat="1" ht="25.5">
      <c r="A111" s="178">
        <v>110</v>
      </c>
      <c r="B111" s="235" t="s">
        <v>2044</v>
      </c>
      <c r="C111" s="236" t="s">
        <v>2392</v>
      </c>
      <c r="D111" s="191" t="s">
        <v>4064</v>
      </c>
      <c r="E111" s="13" t="s">
        <v>3847</v>
      </c>
      <c r="F111" s="236" t="s">
        <v>3970</v>
      </c>
      <c r="G111" s="13" t="s">
        <v>3847</v>
      </c>
      <c r="H111" s="237">
        <v>44194</v>
      </c>
      <c r="I111" s="235" t="s">
        <v>4053</v>
      </c>
      <c r="J111" s="237">
        <v>44177</v>
      </c>
      <c r="K111" s="178">
        <f t="shared" si="6"/>
        <v>2020</v>
      </c>
      <c r="L111" s="178">
        <f t="shared" si="7"/>
        <v>12</v>
      </c>
      <c r="M111" s="237">
        <v>44196</v>
      </c>
      <c r="N111" s="342" t="s">
        <v>4060</v>
      </c>
      <c r="O111" s="343">
        <v>28</v>
      </c>
      <c r="P111" s="535">
        <f>VLOOKUP(E111,'Cost of items'!$A$3:$C$95,3,0)</f>
        <v>21.140145502645503</v>
      </c>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79"/>
      <c r="CM111" s="179"/>
      <c r="CN111" s="179"/>
      <c r="CO111" s="179"/>
      <c r="CP111" s="179"/>
      <c r="CQ111" s="179"/>
      <c r="CR111" s="179"/>
      <c r="CS111" s="179"/>
      <c r="CT111" s="179"/>
      <c r="CU111" s="179"/>
      <c r="CV111" s="179"/>
      <c r="CW111" s="179"/>
      <c r="CX111" s="179"/>
      <c r="CY111" s="179"/>
      <c r="CZ111" s="179"/>
      <c r="DA111" s="179"/>
      <c r="DB111" s="179"/>
      <c r="DC111" s="179"/>
      <c r="DD111" s="179"/>
      <c r="DE111" s="179"/>
      <c r="DF111" s="179"/>
      <c r="DG111" s="179"/>
      <c r="DH111" s="179"/>
      <c r="DI111" s="179"/>
      <c r="DJ111" s="179"/>
      <c r="DK111" s="179"/>
      <c r="DL111" s="179"/>
      <c r="DM111" s="179"/>
      <c r="DN111" s="179"/>
      <c r="DO111" s="179"/>
      <c r="DP111" s="179"/>
      <c r="DQ111" s="179"/>
      <c r="DR111" s="179"/>
      <c r="DS111" s="179"/>
      <c r="DT111" s="179"/>
      <c r="DU111" s="179"/>
      <c r="DV111" s="179"/>
      <c r="DW111" s="179"/>
      <c r="DX111" s="179"/>
      <c r="DY111" s="179"/>
      <c r="DZ111" s="179"/>
      <c r="EA111" s="179"/>
      <c r="EB111" s="179"/>
      <c r="EC111" s="179"/>
      <c r="ED111" s="179"/>
      <c r="EE111" s="179"/>
      <c r="EF111" s="179"/>
      <c r="EG111" s="179"/>
    </row>
    <row r="112" spans="1:137" s="78" customFormat="1" ht="25.5">
      <c r="A112" s="383">
        <v>111</v>
      </c>
      <c r="B112" s="235" t="s">
        <v>2044</v>
      </c>
      <c r="C112" s="236" t="s">
        <v>2392</v>
      </c>
      <c r="D112" s="191" t="s">
        <v>4064</v>
      </c>
      <c r="E112" s="13" t="s">
        <v>3838</v>
      </c>
      <c r="F112" s="236" t="s">
        <v>3970</v>
      </c>
      <c r="G112" s="203" t="s">
        <v>4029</v>
      </c>
      <c r="H112" s="237">
        <v>44194</v>
      </c>
      <c r="I112" s="235" t="s">
        <v>4053</v>
      </c>
      <c r="J112" s="237">
        <v>44177</v>
      </c>
      <c r="K112" s="178">
        <f t="shared" si="6"/>
        <v>2020</v>
      </c>
      <c r="L112" s="178">
        <f t="shared" si="7"/>
        <v>12</v>
      </c>
      <c r="M112" s="237">
        <v>44196</v>
      </c>
      <c r="N112" s="342" t="s">
        <v>4060</v>
      </c>
      <c r="O112" s="343">
        <v>42</v>
      </c>
      <c r="P112" s="535">
        <f>VLOOKUP(E112,'Cost of items'!$A$3:$C$95,3,0)</f>
        <v>32.130687830687833</v>
      </c>
      <c r="Q112" s="179"/>
      <c r="R112" s="179"/>
      <c r="S112" s="179"/>
      <c r="T112" s="179"/>
      <c r="U112" s="179"/>
      <c r="V112" s="179"/>
      <c r="W112" s="179"/>
      <c r="X112" s="179"/>
      <c r="Y112" s="179"/>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9"/>
      <c r="BF112" s="179"/>
      <c r="BG112" s="179"/>
      <c r="BH112" s="179"/>
      <c r="BI112" s="179"/>
      <c r="BJ112" s="179"/>
      <c r="BK112" s="179"/>
      <c r="BL112" s="179"/>
      <c r="BM112" s="179"/>
      <c r="BN112" s="179"/>
      <c r="BO112" s="179"/>
      <c r="BP112" s="179"/>
      <c r="BQ112" s="179"/>
      <c r="BR112" s="179"/>
      <c r="BS112" s="179"/>
      <c r="BT112" s="179"/>
      <c r="BU112" s="179"/>
      <c r="BV112" s="179"/>
      <c r="BW112" s="179"/>
      <c r="BX112" s="179"/>
      <c r="BY112" s="179"/>
      <c r="BZ112" s="179"/>
      <c r="CA112" s="179"/>
      <c r="CB112" s="179"/>
      <c r="CC112" s="179"/>
      <c r="CD112" s="179"/>
      <c r="CE112" s="179"/>
      <c r="CF112" s="179"/>
      <c r="CG112" s="179"/>
      <c r="CH112" s="179"/>
      <c r="CI112" s="179"/>
      <c r="CJ112" s="179"/>
      <c r="CK112" s="179"/>
      <c r="CL112" s="179"/>
      <c r="CM112" s="179"/>
      <c r="CN112" s="179"/>
      <c r="CO112" s="179"/>
      <c r="CP112" s="179"/>
      <c r="CQ112" s="179"/>
      <c r="CR112" s="179"/>
      <c r="CS112" s="179"/>
      <c r="CT112" s="179"/>
      <c r="CU112" s="179"/>
      <c r="CV112" s="179"/>
      <c r="CW112" s="179"/>
      <c r="CX112" s="179"/>
      <c r="CY112" s="179"/>
      <c r="CZ112" s="179"/>
      <c r="DA112" s="179"/>
      <c r="DB112" s="179"/>
      <c r="DC112" s="179"/>
      <c r="DD112" s="179"/>
      <c r="DE112" s="179"/>
      <c r="DF112" s="179"/>
      <c r="DG112" s="179"/>
      <c r="DH112" s="179"/>
      <c r="DI112" s="179"/>
      <c r="DJ112" s="179"/>
      <c r="DK112" s="179"/>
      <c r="DL112" s="179"/>
      <c r="DM112" s="179"/>
      <c r="DN112" s="179"/>
      <c r="DO112" s="179"/>
      <c r="DP112" s="179"/>
      <c r="DQ112" s="179"/>
      <c r="DR112" s="179"/>
      <c r="DS112" s="179"/>
      <c r="DT112" s="179"/>
      <c r="DU112" s="179"/>
      <c r="DV112" s="179"/>
      <c r="DW112" s="179"/>
      <c r="DX112" s="179"/>
      <c r="DY112" s="179"/>
      <c r="DZ112" s="179"/>
      <c r="EA112" s="179"/>
      <c r="EB112" s="179"/>
      <c r="EC112" s="179"/>
      <c r="ED112" s="179"/>
      <c r="EE112" s="179"/>
      <c r="EF112" s="179"/>
      <c r="EG112" s="179"/>
    </row>
    <row r="113" spans="1:137" s="354" customFormat="1">
      <c r="A113" s="274"/>
      <c r="B113" s="235"/>
      <c r="C113" s="203"/>
      <c r="D113" s="203"/>
      <c r="E113" s="189"/>
      <c r="F113" s="203"/>
      <c r="G113" s="203"/>
      <c r="H113" s="240"/>
      <c r="I113" s="202"/>
      <c r="J113" s="204"/>
      <c r="K113" s="178"/>
      <c r="L113" s="178"/>
      <c r="M113" s="204"/>
      <c r="N113" s="336"/>
      <c r="O113" s="343"/>
      <c r="P113" s="536"/>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c r="AL113" s="179"/>
      <c r="AM113" s="179"/>
      <c r="AN113" s="179"/>
      <c r="AO113" s="179"/>
      <c r="AP113" s="179"/>
      <c r="AQ113" s="179"/>
      <c r="AR113" s="179"/>
      <c r="AS113" s="179"/>
      <c r="AT113" s="179"/>
      <c r="AU113" s="179"/>
      <c r="AV113" s="179"/>
      <c r="AW113" s="179"/>
      <c r="AX113" s="179"/>
      <c r="AY113" s="179"/>
      <c r="AZ113" s="179"/>
      <c r="BA113" s="179"/>
      <c r="BB113" s="179"/>
      <c r="BC113" s="179"/>
      <c r="BD113" s="179"/>
      <c r="BE113" s="179"/>
      <c r="BF113" s="179"/>
      <c r="BG113" s="179"/>
      <c r="BH113" s="179"/>
      <c r="BI113" s="179"/>
      <c r="BJ113" s="179"/>
      <c r="BK113" s="179"/>
      <c r="BL113" s="179"/>
      <c r="BM113" s="179"/>
      <c r="BN113" s="179"/>
      <c r="BO113" s="179"/>
      <c r="BP113" s="179"/>
      <c r="BQ113" s="179"/>
      <c r="BR113" s="179"/>
      <c r="BS113" s="179"/>
      <c r="BT113" s="179"/>
      <c r="BU113" s="179"/>
      <c r="BV113" s="179"/>
      <c r="BW113" s="179"/>
      <c r="BX113" s="179"/>
      <c r="BY113" s="179"/>
      <c r="BZ113" s="179"/>
      <c r="CA113" s="179"/>
      <c r="CB113" s="179"/>
      <c r="CC113" s="179"/>
      <c r="CD113" s="179"/>
      <c r="CE113" s="179"/>
      <c r="CF113" s="179"/>
      <c r="CG113" s="179"/>
      <c r="CH113" s="179"/>
      <c r="CI113" s="179"/>
      <c r="CJ113" s="179"/>
      <c r="CK113" s="179"/>
      <c r="CL113" s="179"/>
      <c r="CM113" s="179"/>
      <c r="CN113" s="179"/>
      <c r="CO113" s="179"/>
      <c r="CP113" s="179"/>
      <c r="CQ113" s="179"/>
      <c r="CR113" s="179"/>
      <c r="CS113" s="179"/>
      <c r="CT113" s="179"/>
      <c r="CU113" s="179"/>
      <c r="CV113" s="179"/>
      <c r="CW113" s="179"/>
      <c r="CX113" s="179"/>
      <c r="CY113" s="179"/>
      <c r="CZ113" s="179"/>
      <c r="DA113" s="179"/>
      <c r="DB113" s="179"/>
      <c r="DC113" s="179"/>
      <c r="DD113" s="179"/>
      <c r="DE113" s="179"/>
      <c r="DF113" s="179"/>
      <c r="DG113" s="179"/>
      <c r="DH113" s="179"/>
      <c r="DI113" s="179"/>
      <c r="DJ113" s="179"/>
      <c r="DK113" s="179"/>
      <c r="DL113" s="179"/>
      <c r="DM113" s="179"/>
      <c r="DN113" s="179"/>
      <c r="DO113" s="179"/>
      <c r="DP113" s="179"/>
      <c r="DQ113" s="179"/>
      <c r="DR113" s="179"/>
      <c r="DS113" s="179"/>
      <c r="DT113" s="179"/>
      <c r="DU113" s="179"/>
      <c r="DV113" s="179"/>
      <c r="DW113" s="179"/>
      <c r="DX113" s="179"/>
      <c r="DY113" s="179"/>
      <c r="DZ113" s="179"/>
      <c r="EA113" s="179"/>
      <c r="EB113" s="179"/>
      <c r="EC113" s="179"/>
      <c r="ED113" s="179"/>
      <c r="EE113" s="179"/>
      <c r="EF113" s="179"/>
      <c r="EG113" s="179"/>
    </row>
    <row r="114" spans="1:137" s="354" customFormat="1" ht="13.5" thickBot="1">
      <c r="A114" s="274"/>
      <c r="B114" s="202"/>
      <c r="C114" s="203"/>
      <c r="D114" s="203"/>
      <c r="E114" s="189"/>
      <c r="F114" s="203"/>
      <c r="G114" s="203"/>
      <c r="H114" s="240"/>
      <c r="I114" s="202"/>
      <c r="J114" s="204"/>
      <c r="K114" s="178"/>
      <c r="L114" s="178"/>
      <c r="M114" s="425"/>
      <c r="N114" s="426"/>
      <c r="O114" s="427"/>
      <c r="P114" s="536"/>
      <c r="Q114" s="179"/>
      <c r="R114" s="179"/>
      <c r="S114" s="179"/>
      <c r="T114" s="179"/>
      <c r="U114" s="179"/>
      <c r="V114" s="179"/>
      <c r="W114" s="179"/>
      <c r="X114" s="179"/>
      <c r="Y114" s="179"/>
      <c r="Z114" s="179"/>
      <c r="AA114" s="179"/>
      <c r="AB114" s="179"/>
      <c r="AC114" s="179"/>
      <c r="AD114" s="179"/>
      <c r="AE114" s="179"/>
      <c r="AF114" s="179"/>
      <c r="AG114" s="179"/>
      <c r="AH114" s="179"/>
      <c r="AI114" s="179"/>
      <c r="AJ114" s="179"/>
      <c r="AK114" s="179"/>
      <c r="AL114" s="179"/>
      <c r="AM114" s="179"/>
      <c r="AN114" s="179"/>
      <c r="AO114" s="179"/>
      <c r="AP114" s="179"/>
      <c r="AQ114" s="179"/>
      <c r="AR114" s="179"/>
      <c r="AS114" s="179"/>
      <c r="AT114" s="179"/>
      <c r="AU114" s="179"/>
      <c r="AV114" s="179"/>
      <c r="AW114" s="179"/>
      <c r="AX114" s="179"/>
      <c r="AY114" s="179"/>
      <c r="AZ114" s="179"/>
      <c r="BA114" s="179"/>
      <c r="BB114" s="179"/>
      <c r="BC114" s="179"/>
      <c r="BD114" s="179"/>
      <c r="BE114" s="179"/>
      <c r="BF114" s="179"/>
      <c r="BG114" s="179"/>
      <c r="BH114" s="179"/>
      <c r="BI114" s="179"/>
      <c r="BJ114" s="179"/>
      <c r="BK114" s="179"/>
      <c r="BL114" s="179"/>
      <c r="BM114" s="179"/>
      <c r="BN114" s="179"/>
      <c r="BO114" s="179"/>
      <c r="BP114" s="179"/>
      <c r="BQ114" s="179"/>
      <c r="BR114" s="179"/>
      <c r="BS114" s="179"/>
      <c r="BT114" s="179"/>
      <c r="BU114" s="179"/>
      <c r="BV114" s="179"/>
      <c r="BW114" s="179"/>
      <c r="BX114" s="179"/>
      <c r="BY114" s="179"/>
      <c r="BZ114" s="179"/>
      <c r="CA114" s="179"/>
      <c r="CB114" s="179"/>
      <c r="CC114" s="179"/>
      <c r="CD114" s="179"/>
      <c r="CE114" s="179"/>
      <c r="CF114" s="179"/>
      <c r="CG114" s="179"/>
      <c r="CH114" s="179"/>
      <c r="CI114" s="179"/>
      <c r="CJ114" s="179"/>
      <c r="CK114" s="179"/>
      <c r="CL114" s="179"/>
      <c r="CM114" s="179"/>
      <c r="CN114" s="179"/>
      <c r="CO114" s="179"/>
      <c r="CP114" s="179"/>
      <c r="CQ114" s="179"/>
      <c r="CR114" s="179"/>
      <c r="CS114" s="179"/>
      <c r="CT114" s="179"/>
      <c r="CU114" s="179"/>
      <c r="CV114" s="179"/>
      <c r="CW114" s="179"/>
      <c r="CX114" s="179"/>
      <c r="CY114" s="179"/>
      <c r="CZ114" s="179"/>
      <c r="DA114" s="179"/>
      <c r="DB114" s="179"/>
      <c r="DC114" s="179"/>
      <c r="DD114" s="179"/>
      <c r="DE114" s="179"/>
      <c r="DF114" s="179"/>
      <c r="DG114" s="179"/>
      <c r="DH114" s="179"/>
      <c r="DI114" s="179"/>
      <c r="DJ114" s="179"/>
      <c r="DK114" s="179"/>
      <c r="DL114" s="179"/>
      <c r="DM114" s="179"/>
      <c r="DN114" s="179"/>
      <c r="DO114" s="179"/>
      <c r="DP114" s="179"/>
      <c r="DQ114" s="179"/>
      <c r="DR114" s="179"/>
      <c r="DS114" s="179"/>
      <c r="DT114" s="179"/>
      <c r="DU114" s="179"/>
      <c r="DV114" s="179"/>
      <c r="DW114" s="179"/>
      <c r="DX114" s="179"/>
      <c r="DY114" s="179"/>
      <c r="DZ114" s="179"/>
      <c r="EA114" s="179"/>
      <c r="EB114" s="179"/>
      <c r="EC114" s="179"/>
      <c r="ED114" s="179"/>
      <c r="EE114" s="179"/>
      <c r="EF114" s="179"/>
      <c r="EG114" s="179"/>
    </row>
    <row r="115" spans="1:137">
      <c r="M115" s="430" t="s">
        <v>1121</v>
      </c>
      <c r="N115" s="428">
        <f>SUM(N2:N114)</f>
        <v>131.66</v>
      </c>
      <c r="O115" s="432">
        <f>SUM(O2:O114)</f>
        <v>3489</v>
      </c>
    </row>
    <row r="116" spans="1:137" ht="13.5" thickBot="1">
      <c r="M116" s="431" t="s">
        <v>1747</v>
      </c>
      <c r="N116" s="433"/>
      <c r="O116" s="429">
        <f>COUNT(O3:O114)</f>
        <v>110</v>
      </c>
    </row>
    <row r="117" spans="1:137">
      <c r="O117" s="220"/>
    </row>
    <row r="119" spans="1:137">
      <c r="J119" s="1"/>
      <c r="K119" s="1"/>
      <c r="L119" s="1"/>
    </row>
  </sheetData>
  <autoFilter ref="A1:EG112" xr:uid="{B68A5331-1F3B-44B1-9B12-8CC906D25484}"/>
  <mergeCells count="18">
    <mergeCell ref="N79:N80"/>
    <mergeCell ref="H84:H86"/>
    <mergeCell ref="N84:N86"/>
    <mergeCell ref="N91:N92"/>
    <mergeCell ref="N96:N98"/>
    <mergeCell ref="N33:N35"/>
    <mergeCell ref="N36:N37"/>
    <mergeCell ref="N39:N40"/>
    <mergeCell ref="N43:N45"/>
    <mergeCell ref="F44:F45"/>
    <mergeCell ref="M47:M48"/>
    <mergeCell ref="N47:N48"/>
    <mergeCell ref="N2:N3"/>
    <mergeCell ref="N11:N12"/>
    <mergeCell ref="N21:N22"/>
    <mergeCell ref="G23:G24"/>
    <mergeCell ref="N25:N26"/>
    <mergeCell ref="N27:N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86B6B-9E84-4983-80C3-D2BE0406BCF8}">
  <dimension ref="A1:O26"/>
  <sheetViews>
    <sheetView zoomScale="85" zoomScaleNormal="85" workbookViewId="0">
      <selection activeCell="G3" sqref="G3"/>
    </sheetView>
  </sheetViews>
  <sheetFormatPr defaultColWidth="9" defaultRowHeight="14.25"/>
  <cols>
    <col min="1" max="1" width="22.42578125" style="92" bestFit="1" customWidth="1"/>
    <col min="2" max="2" width="9.140625" style="92" bestFit="1" customWidth="1"/>
    <col min="3" max="3" width="10.5703125" style="92" bestFit="1" customWidth="1"/>
    <col min="4" max="4" width="13" style="92" bestFit="1" customWidth="1"/>
    <col min="5" max="5" width="14.42578125" style="360" bestFit="1" customWidth="1"/>
    <col min="6" max="6" width="11.7109375" style="360" bestFit="1" customWidth="1"/>
    <col min="7" max="9" width="9" style="92"/>
    <col min="10" max="10" width="20.28515625" style="92" bestFit="1" customWidth="1"/>
    <col min="11" max="11" width="15.5703125" style="92" bestFit="1" customWidth="1"/>
    <col min="12" max="12" width="22.42578125" style="92" bestFit="1" customWidth="1"/>
    <col min="13" max="13" width="20.7109375" style="92" bestFit="1" customWidth="1"/>
    <col min="14" max="16384" width="9" style="92"/>
  </cols>
  <sheetData>
    <row r="1" spans="1:15">
      <c r="B1" s="92">
        <v>15</v>
      </c>
      <c r="C1" s="371">
        <v>4500</v>
      </c>
    </row>
    <row r="2" spans="1:15" ht="15">
      <c r="B2" s="370">
        <f>F26</f>
        <v>20.658778999999999</v>
      </c>
      <c r="C2" s="375">
        <f>B2*C1/B1</f>
        <v>6197.6337000000003</v>
      </c>
      <c r="D2" s="92" t="s">
        <v>3690</v>
      </c>
      <c r="E2" s="360">
        <f>100*100*100</f>
        <v>1000000</v>
      </c>
      <c r="J2" s="92" t="s">
        <v>3703</v>
      </c>
    </row>
    <row r="3" spans="1:15" ht="15" thickBot="1">
      <c r="D3" s="92" t="s">
        <v>2177</v>
      </c>
    </row>
    <row r="4" spans="1:15" ht="15.75" thickBot="1">
      <c r="A4" s="364" t="s">
        <v>3665</v>
      </c>
      <c r="B4" s="365"/>
      <c r="C4" s="365"/>
      <c r="D4" s="365"/>
      <c r="E4" s="365"/>
      <c r="F4" s="366" t="s">
        <v>3691</v>
      </c>
      <c r="I4" s="372" t="s">
        <v>3747</v>
      </c>
      <c r="J4" s="373" t="s">
        <v>3708</v>
      </c>
      <c r="K4" s="373" t="s">
        <v>3748</v>
      </c>
      <c r="L4" s="373" t="s">
        <v>3712</v>
      </c>
      <c r="M4" s="373" t="s">
        <v>3709</v>
      </c>
      <c r="N4" s="373" t="s">
        <v>3710</v>
      </c>
      <c r="O4" s="374" t="s">
        <v>3722</v>
      </c>
    </row>
    <row r="5" spans="1:15">
      <c r="A5" s="362" t="s">
        <v>3684</v>
      </c>
      <c r="B5" s="362">
        <v>90</v>
      </c>
      <c r="C5" s="362">
        <v>175</v>
      </c>
      <c r="D5" s="362">
        <v>33</v>
      </c>
      <c r="E5" s="363">
        <f>B5*D5*D5</f>
        <v>98010</v>
      </c>
      <c r="F5" s="363">
        <f t="shared" ref="F5:F10" si="0">E5/$E$2</f>
        <v>9.801E-2</v>
      </c>
      <c r="I5" s="362" t="s">
        <v>3746</v>
      </c>
      <c r="J5" s="362" t="s">
        <v>3704</v>
      </c>
      <c r="K5" s="362" t="s">
        <v>3705</v>
      </c>
      <c r="L5" s="362" t="s">
        <v>3715</v>
      </c>
      <c r="M5" s="362" t="s">
        <v>3714</v>
      </c>
      <c r="N5" s="362">
        <v>249</v>
      </c>
      <c r="O5" s="362"/>
    </row>
    <row r="6" spans="1:15">
      <c r="A6" s="244" t="s">
        <v>3685</v>
      </c>
      <c r="B6" s="244">
        <v>90</v>
      </c>
      <c r="C6" s="244">
        <v>35</v>
      </c>
      <c r="D6" s="244">
        <v>177</v>
      </c>
      <c r="E6" s="361">
        <f t="shared" ref="E6:E10" si="1">B6*D6*D6</f>
        <v>2819610</v>
      </c>
      <c r="F6" s="361">
        <f t="shared" si="0"/>
        <v>2.8196099999999999</v>
      </c>
      <c r="I6" s="244" t="s">
        <v>3746</v>
      </c>
      <c r="J6" s="244"/>
      <c r="K6" s="244" t="s">
        <v>3705</v>
      </c>
      <c r="L6" s="244" t="s">
        <v>3715</v>
      </c>
      <c r="M6" s="244" t="s">
        <v>3716</v>
      </c>
      <c r="N6" s="244">
        <v>349</v>
      </c>
      <c r="O6" s="244"/>
    </row>
    <row r="7" spans="1:15">
      <c r="A7" s="244" t="s">
        <v>3686</v>
      </c>
      <c r="B7" s="244">
        <v>41</v>
      </c>
      <c r="C7" s="244">
        <v>60</v>
      </c>
      <c r="D7" s="244">
        <v>110</v>
      </c>
      <c r="E7" s="361">
        <f t="shared" si="1"/>
        <v>496100</v>
      </c>
      <c r="F7" s="361">
        <f t="shared" si="0"/>
        <v>0.49609999999999999</v>
      </c>
      <c r="I7" s="244" t="s">
        <v>3746</v>
      </c>
      <c r="J7" s="244" t="s">
        <v>3717</v>
      </c>
      <c r="K7" s="244" t="s">
        <v>3705</v>
      </c>
      <c r="L7" s="244" t="s">
        <v>3719</v>
      </c>
      <c r="M7" s="244" t="s">
        <v>3718</v>
      </c>
      <c r="N7" s="244">
        <v>399</v>
      </c>
      <c r="O7" s="244">
        <v>4</v>
      </c>
    </row>
    <row r="8" spans="1:15">
      <c r="A8" s="244" t="s">
        <v>3687</v>
      </c>
      <c r="B8" s="244">
        <v>71</v>
      </c>
      <c r="C8" s="244">
        <v>95</v>
      </c>
      <c r="D8" s="244">
        <v>53</v>
      </c>
      <c r="E8" s="361">
        <f t="shared" si="1"/>
        <v>199439</v>
      </c>
      <c r="F8" s="361">
        <f t="shared" si="0"/>
        <v>0.19943900000000001</v>
      </c>
      <c r="I8" s="244" t="s">
        <v>3746</v>
      </c>
      <c r="J8" s="244"/>
      <c r="K8" s="244" t="s">
        <v>3705</v>
      </c>
      <c r="L8" s="244" t="s">
        <v>3719</v>
      </c>
      <c r="M8" s="244" t="s">
        <v>3718</v>
      </c>
      <c r="N8" s="244">
        <v>399</v>
      </c>
      <c r="O8" s="244">
        <v>4</v>
      </c>
    </row>
    <row r="9" spans="1:15">
      <c r="A9" s="244" t="s">
        <v>3688</v>
      </c>
      <c r="B9" s="244">
        <v>55</v>
      </c>
      <c r="C9" s="244">
        <v>75</v>
      </c>
      <c r="D9" s="244">
        <v>78</v>
      </c>
      <c r="E9" s="361">
        <f t="shared" si="1"/>
        <v>334620</v>
      </c>
      <c r="F9" s="361">
        <f t="shared" si="0"/>
        <v>0.33461999999999997</v>
      </c>
      <c r="I9" s="244"/>
      <c r="J9" s="244" t="s">
        <v>3720</v>
      </c>
      <c r="K9" s="244" t="s">
        <v>3705</v>
      </c>
      <c r="L9" s="244" t="s">
        <v>3723</v>
      </c>
      <c r="M9" s="244" t="s">
        <v>3721</v>
      </c>
      <c r="N9" s="244">
        <v>299</v>
      </c>
      <c r="O9" s="244">
        <v>4</v>
      </c>
    </row>
    <row r="10" spans="1:15">
      <c r="A10" s="244" t="s">
        <v>3689</v>
      </c>
      <c r="B10" s="244">
        <v>40</v>
      </c>
      <c r="C10" s="244">
        <v>47</v>
      </c>
      <c r="D10" s="244">
        <v>155</v>
      </c>
      <c r="E10" s="361">
        <f t="shared" si="1"/>
        <v>961000</v>
      </c>
      <c r="F10" s="361">
        <f t="shared" si="0"/>
        <v>0.96099999999999997</v>
      </c>
      <c r="I10" s="244"/>
      <c r="J10" s="244"/>
      <c r="K10" s="244" t="s">
        <v>3705</v>
      </c>
      <c r="L10" s="244" t="s">
        <v>3723</v>
      </c>
      <c r="M10" s="244" t="s">
        <v>3721</v>
      </c>
      <c r="N10" s="244">
        <v>299</v>
      </c>
      <c r="O10" s="244">
        <v>4</v>
      </c>
    </row>
    <row r="11" spans="1:15">
      <c r="A11" s="244" t="s">
        <v>3692</v>
      </c>
      <c r="B11" s="244"/>
      <c r="C11" s="244"/>
      <c r="D11" s="244"/>
      <c r="E11" s="361"/>
      <c r="F11" s="361">
        <v>1</v>
      </c>
      <c r="I11" s="244" t="s">
        <v>3746</v>
      </c>
      <c r="J11" s="244" t="s">
        <v>3738</v>
      </c>
      <c r="K11" s="244" t="s">
        <v>3705</v>
      </c>
      <c r="L11" s="244"/>
      <c r="M11" s="244" t="s">
        <v>3724</v>
      </c>
      <c r="N11" s="244">
        <v>15</v>
      </c>
      <c r="O11" s="244"/>
    </row>
    <row r="12" spans="1:15">
      <c r="A12" s="244" t="s">
        <v>3693</v>
      </c>
      <c r="B12" s="244"/>
      <c r="C12" s="244"/>
      <c r="D12" s="244"/>
      <c r="E12" s="361"/>
      <c r="F12" s="361">
        <v>1</v>
      </c>
      <c r="I12" s="244" t="s">
        <v>3746</v>
      </c>
      <c r="J12" s="244"/>
      <c r="K12" s="244" t="s">
        <v>3705</v>
      </c>
      <c r="L12" s="244"/>
      <c r="M12" s="244" t="s">
        <v>3724</v>
      </c>
      <c r="N12" s="244">
        <v>15</v>
      </c>
      <c r="O12" s="244"/>
    </row>
    <row r="13" spans="1:15">
      <c r="A13" s="244" t="s">
        <v>3694</v>
      </c>
      <c r="B13" s="244"/>
      <c r="C13" s="244"/>
      <c r="D13" s="244"/>
      <c r="E13" s="361"/>
      <c r="F13" s="361">
        <v>1</v>
      </c>
      <c r="I13" s="244" t="s">
        <v>3746</v>
      </c>
      <c r="J13" s="244" t="s">
        <v>3725</v>
      </c>
      <c r="K13" s="244" t="s">
        <v>3705</v>
      </c>
      <c r="L13" s="244"/>
      <c r="M13" s="244" t="s">
        <v>3726</v>
      </c>
      <c r="N13" s="244">
        <v>25</v>
      </c>
      <c r="O13" s="244"/>
    </row>
    <row r="14" spans="1:15">
      <c r="A14" s="244" t="s">
        <v>3700</v>
      </c>
      <c r="B14" s="244"/>
      <c r="C14" s="244"/>
      <c r="D14" s="244"/>
      <c r="E14" s="361"/>
      <c r="F14" s="361">
        <v>3</v>
      </c>
      <c r="I14" s="244"/>
      <c r="J14" s="244"/>
      <c r="K14" s="244" t="s">
        <v>3705</v>
      </c>
      <c r="L14" s="244"/>
      <c r="M14" s="244" t="s">
        <v>3726</v>
      </c>
      <c r="N14" s="244">
        <v>25</v>
      </c>
      <c r="O14" s="244"/>
    </row>
    <row r="15" spans="1:15">
      <c r="A15" s="244" t="s">
        <v>3695</v>
      </c>
      <c r="B15" s="244"/>
      <c r="C15" s="244"/>
      <c r="D15" s="244"/>
      <c r="E15" s="361"/>
      <c r="F15" s="361">
        <v>1</v>
      </c>
      <c r="I15" s="244"/>
      <c r="J15" s="244" t="s">
        <v>3727</v>
      </c>
      <c r="K15" s="244"/>
      <c r="L15" s="244" t="s">
        <v>3730</v>
      </c>
      <c r="M15" s="244" t="s">
        <v>3728</v>
      </c>
      <c r="N15" s="244">
        <v>20</v>
      </c>
      <c r="O15" s="244"/>
    </row>
    <row r="16" spans="1:15">
      <c r="A16" s="244" t="s">
        <v>3696</v>
      </c>
      <c r="B16" s="244"/>
      <c r="C16" s="244"/>
      <c r="D16" s="244"/>
      <c r="E16" s="361"/>
      <c r="F16" s="361">
        <v>0.5</v>
      </c>
      <c r="I16" s="244"/>
      <c r="J16" s="244"/>
      <c r="K16" s="244"/>
      <c r="L16" s="244" t="s">
        <v>3731</v>
      </c>
      <c r="M16" s="244" t="s">
        <v>3729</v>
      </c>
      <c r="N16" s="244">
        <v>35</v>
      </c>
      <c r="O16" s="244"/>
    </row>
    <row r="17" spans="1:15">
      <c r="A17" s="244" t="s">
        <v>3697</v>
      </c>
      <c r="B17" s="244"/>
      <c r="C17" s="244"/>
      <c r="D17" s="244"/>
      <c r="E17" s="361"/>
      <c r="F17" s="361">
        <v>1</v>
      </c>
      <c r="I17" s="244"/>
      <c r="J17" s="244" t="s">
        <v>3732</v>
      </c>
      <c r="K17" s="244" t="s">
        <v>3733</v>
      </c>
      <c r="L17" s="244" t="s">
        <v>3734</v>
      </c>
      <c r="M17" s="244" t="s">
        <v>3735</v>
      </c>
      <c r="N17" s="244">
        <v>35</v>
      </c>
      <c r="O17" s="244">
        <v>5</v>
      </c>
    </row>
    <row r="18" spans="1:15">
      <c r="A18" s="244" t="s">
        <v>3698</v>
      </c>
      <c r="B18" s="244"/>
      <c r="C18" s="244"/>
      <c r="D18" s="244"/>
      <c r="E18" s="361"/>
      <c r="F18" s="361">
        <v>1</v>
      </c>
      <c r="I18" s="244"/>
      <c r="J18" s="244"/>
      <c r="K18" s="244" t="s">
        <v>3733</v>
      </c>
      <c r="L18" s="244" t="s">
        <v>3737</v>
      </c>
      <c r="M18" s="244" t="s">
        <v>3736</v>
      </c>
      <c r="N18" s="244">
        <v>9</v>
      </c>
      <c r="O18" s="244">
        <v>5</v>
      </c>
    </row>
    <row r="19" spans="1:15">
      <c r="A19" s="244" t="s">
        <v>3699</v>
      </c>
      <c r="B19" s="244"/>
      <c r="C19" s="244"/>
      <c r="D19" s="244"/>
      <c r="E19" s="361"/>
      <c r="F19" s="361">
        <v>0.25</v>
      </c>
      <c r="I19" s="244" t="s">
        <v>3746</v>
      </c>
      <c r="J19" s="244" t="s">
        <v>3739</v>
      </c>
      <c r="K19" s="244" t="s">
        <v>3742</v>
      </c>
      <c r="L19" s="244" t="s">
        <v>3740</v>
      </c>
      <c r="M19" s="244" t="s">
        <v>3741</v>
      </c>
      <c r="N19" s="244">
        <v>699</v>
      </c>
      <c r="O19" s="244">
        <v>4</v>
      </c>
    </row>
    <row r="20" spans="1:15">
      <c r="A20" s="244" t="s">
        <v>3701</v>
      </c>
      <c r="B20" s="244"/>
      <c r="C20" s="244"/>
      <c r="D20" s="244"/>
      <c r="E20" s="361"/>
      <c r="F20" s="361">
        <v>3</v>
      </c>
      <c r="I20" s="244" t="s">
        <v>3746</v>
      </c>
      <c r="J20" s="244" t="s">
        <v>3744</v>
      </c>
      <c r="K20" s="244" t="s">
        <v>3742</v>
      </c>
      <c r="L20" s="244" t="s">
        <v>3745</v>
      </c>
      <c r="M20" s="244" t="s">
        <v>3743</v>
      </c>
      <c r="N20" s="244">
        <v>699</v>
      </c>
      <c r="O20" s="244">
        <v>4</v>
      </c>
    </row>
    <row r="21" spans="1:15">
      <c r="A21" s="244" t="s">
        <v>3702</v>
      </c>
      <c r="B21" s="244"/>
      <c r="C21" s="244"/>
      <c r="D21" s="244"/>
      <c r="E21" s="361"/>
      <c r="F21" s="361">
        <v>2</v>
      </c>
      <c r="I21" s="244"/>
      <c r="J21" s="244" t="s">
        <v>3706</v>
      </c>
      <c r="K21" s="244" t="s">
        <v>3707</v>
      </c>
      <c r="L21" s="244" t="s">
        <v>3713</v>
      </c>
      <c r="M21" s="244" t="s">
        <v>3711</v>
      </c>
      <c r="N21" s="244">
        <v>715</v>
      </c>
      <c r="O21" s="244"/>
    </row>
    <row r="22" spans="1:15">
      <c r="A22" s="244" t="s">
        <v>2327</v>
      </c>
      <c r="B22" s="244"/>
      <c r="C22" s="244"/>
      <c r="D22" s="244"/>
      <c r="E22" s="361"/>
      <c r="F22" s="361">
        <v>1</v>
      </c>
      <c r="I22" s="244"/>
      <c r="J22" s="244"/>
      <c r="K22" s="244"/>
      <c r="L22" s="244"/>
      <c r="M22" s="244"/>
      <c r="N22" s="244"/>
      <c r="O22" s="244"/>
    </row>
    <row r="23" spans="1:15">
      <c r="A23" s="244"/>
      <c r="B23" s="244"/>
      <c r="C23" s="244"/>
      <c r="D23" s="244"/>
      <c r="E23" s="244"/>
      <c r="F23" s="244"/>
      <c r="I23" s="244"/>
      <c r="J23" s="244"/>
      <c r="K23" s="244"/>
      <c r="L23" s="244"/>
      <c r="M23" s="244"/>
      <c r="N23" s="244"/>
      <c r="O23" s="244"/>
    </row>
    <row r="24" spans="1:15">
      <c r="A24" s="244"/>
      <c r="B24" s="244"/>
      <c r="C24" s="244"/>
      <c r="D24" s="244"/>
      <c r="E24" s="361"/>
      <c r="F24" s="361"/>
      <c r="I24" s="244"/>
      <c r="J24" s="244"/>
      <c r="K24" s="244"/>
      <c r="L24" s="244"/>
      <c r="M24" s="244"/>
      <c r="N24" s="244"/>
      <c r="O24" s="244"/>
    </row>
    <row r="25" spans="1:15" ht="15" thickBot="1">
      <c r="A25" s="244"/>
      <c r="B25" s="244"/>
      <c r="C25" s="244"/>
      <c r="D25" s="244"/>
      <c r="E25" s="367"/>
      <c r="F25" s="367"/>
      <c r="I25" s="244"/>
      <c r="J25" s="244"/>
      <c r="K25" s="244"/>
      <c r="L25" s="244"/>
      <c r="M25" s="244"/>
      <c r="N25" s="244"/>
      <c r="O25" s="244"/>
    </row>
    <row r="26" spans="1:15" ht="15" thickBot="1">
      <c r="E26" s="369">
        <f>SUM(E5:E25)</f>
        <v>4908779</v>
      </c>
      <c r="F26" s="368">
        <f>SUM(F5:F25)</f>
        <v>20.658778999999999</v>
      </c>
      <c r="N26" s="376">
        <f>SUM(N5:N21)</f>
        <v>4286</v>
      </c>
    </row>
  </sheetData>
  <autoFilter ref="I4:O22" xr:uid="{87C2B999-5E24-4A1A-A698-2524B0CD5951}"/>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66F4-1F4E-4EC6-B451-94238A03AEF2}">
  <dimension ref="A1:O58"/>
  <sheetViews>
    <sheetView workbookViewId="0">
      <pane ySplit="12" topLeftCell="A40" activePane="bottomLeft" state="frozen"/>
      <selection pane="bottomLeft" activeCell="J49" sqref="J49"/>
    </sheetView>
  </sheetViews>
  <sheetFormatPr defaultRowHeight="12.75"/>
  <cols>
    <col min="1" max="1" width="32.140625" style="1" bestFit="1" customWidth="1"/>
    <col min="2" max="2" width="10.140625" style="1" bestFit="1" customWidth="1"/>
    <col min="3" max="3" width="9.7109375" style="1" bestFit="1" customWidth="1"/>
    <col min="4" max="8" width="11.28515625" style="1" bestFit="1" customWidth="1"/>
    <col min="9" max="10" width="10.85546875" style="1" bestFit="1" customWidth="1"/>
    <col min="11" max="12" width="9.140625" style="1"/>
    <col min="13" max="13" width="11.7109375" style="1" bestFit="1" customWidth="1"/>
    <col min="14" max="14" width="13.42578125" style="1" bestFit="1" customWidth="1"/>
    <col min="15" max="15" width="5" style="1" bestFit="1" customWidth="1"/>
    <col min="16" max="16384" width="9.140625" style="1"/>
  </cols>
  <sheetData>
    <row r="1" spans="1:15">
      <c r="A1" s="312" t="s">
        <v>2734</v>
      </c>
    </row>
    <row r="2" spans="1:15" ht="13.5" thickBot="1"/>
    <row r="3" spans="1:15" ht="13.5" thickBot="1">
      <c r="A3" s="308" t="s">
        <v>2726</v>
      </c>
      <c r="B3" s="309" t="s">
        <v>2728</v>
      </c>
      <c r="C3" s="309">
        <v>1</v>
      </c>
      <c r="D3" s="309">
        <v>2</v>
      </c>
      <c r="E3" s="309">
        <v>3</v>
      </c>
      <c r="F3" s="309">
        <v>4</v>
      </c>
      <c r="G3" s="309">
        <v>5</v>
      </c>
      <c r="H3" s="310">
        <v>6</v>
      </c>
      <c r="I3" s="309">
        <v>7</v>
      </c>
      <c r="J3" s="311">
        <v>8</v>
      </c>
    </row>
    <row r="4" spans="1:15">
      <c r="A4" s="304" t="s">
        <v>2729</v>
      </c>
      <c r="B4" s="296" t="s">
        <v>2727</v>
      </c>
      <c r="C4" s="304" t="s">
        <v>2644</v>
      </c>
      <c r="D4" s="296" t="s">
        <v>2646</v>
      </c>
      <c r="E4" s="304" t="s">
        <v>2648</v>
      </c>
      <c r="F4" s="296" t="s">
        <v>2650</v>
      </c>
      <c r="G4" s="304" t="s">
        <v>2652</v>
      </c>
      <c r="H4" s="296" t="s">
        <v>2654</v>
      </c>
      <c r="I4" s="304" t="s">
        <v>2656</v>
      </c>
      <c r="J4" s="297" t="s">
        <v>2658</v>
      </c>
      <c r="N4" s="1" t="s">
        <v>2737</v>
      </c>
      <c r="O4" s="1">
        <f>44*36</f>
        <v>1584</v>
      </c>
    </row>
    <row r="5" spans="1:15" ht="13.5" thickBot="1">
      <c r="A5" s="303"/>
      <c r="B5" s="79" t="s">
        <v>2643</v>
      </c>
      <c r="C5" s="303" t="s">
        <v>2645</v>
      </c>
      <c r="D5" s="79" t="s">
        <v>2647</v>
      </c>
      <c r="E5" s="303" t="s">
        <v>2649</v>
      </c>
      <c r="F5" s="79" t="s">
        <v>2651</v>
      </c>
      <c r="G5" s="303" t="s">
        <v>2653</v>
      </c>
      <c r="H5" s="79" t="s">
        <v>2655</v>
      </c>
      <c r="I5" s="303" t="s">
        <v>2657</v>
      </c>
      <c r="J5" s="300" t="s">
        <v>2659</v>
      </c>
      <c r="N5" s="1" t="s">
        <v>1563</v>
      </c>
      <c r="O5" s="1">
        <f>44*39</f>
        <v>1716</v>
      </c>
    </row>
    <row r="6" spans="1:15">
      <c r="A6" s="304" t="s">
        <v>2730</v>
      </c>
      <c r="B6" s="296" t="s">
        <v>2731</v>
      </c>
      <c r="C6" s="304" t="s">
        <v>2661</v>
      </c>
      <c r="D6" s="296" t="s">
        <v>2663</v>
      </c>
      <c r="E6" s="304" t="s">
        <v>2665</v>
      </c>
      <c r="F6" s="296" t="s">
        <v>2667</v>
      </c>
      <c r="G6" s="304" t="s">
        <v>2669</v>
      </c>
      <c r="H6" s="296" t="s">
        <v>2671</v>
      </c>
      <c r="I6" s="304" t="s">
        <v>2673</v>
      </c>
      <c r="J6" s="297" t="s">
        <v>2675</v>
      </c>
      <c r="M6" s="1" t="s">
        <v>2688</v>
      </c>
      <c r="N6" s="1" t="s">
        <v>2739</v>
      </c>
      <c r="O6" s="1">
        <v>8</v>
      </c>
    </row>
    <row r="7" spans="1:15" ht="13.5" thickBot="1">
      <c r="A7" s="303"/>
      <c r="B7" s="79" t="s">
        <v>2660</v>
      </c>
      <c r="C7" s="303" t="s">
        <v>2662</v>
      </c>
      <c r="D7" s="79" t="s">
        <v>2664</v>
      </c>
      <c r="E7" s="303" t="s">
        <v>2666</v>
      </c>
      <c r="F7" s="79" t="s">
        <v>2668</v>
      </c>
      <c r="G7" s="303" t="s">
        <v>2670</v>
      </c>
      <c r="H7" s="79" t="s">
        <v>2672</v>
      </c>
      <c r="I7" s="303" t="s">
        <v>2674</v>
      </c>
      <c r="J7" s="300" t="s">
        <v>2676</v>
      </c>
      <c r="N7" s="1" t="s">
        <v>2738</v>
      </c>
      <c r="O7" s="1">
        <v>8</v>
      </c>
    </row>
    <row r="8" spans="1:15">
      <c r="A8" s="304" t="s">
        <v>2732</v>
      </c>
      <c r="B8" s="296" t="s">
        <v>2733</v>
      </c>
      <c r="C8" s="304" t="s">
        <v>2678</v>
      </c>
      <c r="D8" s="296" t="s">
        <v>2680</v>
      </c>
      <c r="E8" s="304" t="s">
        <v>2661</v>
      </c>
      <c r="F8" s="296" t="s">
        <v>2663</v>
      </c>
      <c r="G8" s="304" t="s">
        <v>2682</v>
      </c>
      <c r="H8" s="296" t="s">
        <v>2684</v>
      </c>
      <c r="I8" s="304" t="s">
        <v>2686</v>
      </c>
      <c r="J8" s="297" t="s">
        <v>2671</v>
      </c>
      <c r="M8" s="1" t="s">
        <v>2786</v>
      </c>
      <c r="N8" s="1" t="s">
        <v>2739</v>
      </c>
      <c r="O8" s="1">
        <v>8</v>
      </c>
    </row>
    <row r="9" spans="1:15" ht="13.5" thickBot="1">
      <c r="A9" s="303"/>
      <c r="B9" s="79" t="s">
        <v>2677</v>
      </c>
      <c r="C9" s="303" t="s">
        <v>2679</v>
      </c>
      <c r="D9" s="79" t="s">
        <v>2681</v>
      </c>
      <c r="E9" s="303" t="s">
        <v>2662</v>
      </c>
      <c r="F9" s="79" t="s">
        <v>2664</v>
      </c>
      <c r="G9" s="303" t="s">
        <v>2683</v>
      </c>
      <c r="H9" s="79" t="s">
        <v>2685</v>
      </c>
      <c r="I9" s="303" t="s">
        <v>2687</v>
      </c>
      <c r="J9" s="300" t="s">
        <v>2672</v>
      </c>
      <c r="N9" s="1" t="s">
        <v>2738</v>
      </c>
      <c r="O9" s="1">
        <v>8</v>
      </c>
    </row>
    <row r="10" spans="1:15">
      <c r="A10" s="304" t="s">
        <v>2735</v>
      </c>
      <c r="B10" s="296" t="s">
        <v>2689</v>
      </c>
      <c r="C10" s="304" t="s">
        <v>2690</v>
      </c>
      <c r="D10" s="296" t="s">
        <v>2692</v>
      </c>
      <c r="E10" s="304" t="s">
        <v>2693</v>
      </c>
      <c r="F10" s="296" t="s">
        <v>2669</v>
      </c>
      <c r="G10" s="304" t="s">
        <v>2671</v>
      </c>
      <c r="H10" s="296" t="s">
        <v>2673</v>
      </c>
      <c r="I10" s="304" t="s">
        <v>2694</v>
      </c>
      <c r="J10" s="297" t="s">
        <v>2696</v>
      </c>
      <c r="M10" s="1" t="s">
        <v>2775</v>
      </c>
      <c r="N10" s="1" t="s">
        <v>2739</v>
      </c>
      <c r="O10" s="1">
        <v>8</v>
      </c>
    </row>
    <row r="11" spans="1:15" ht="13.5" thickBot="1">
      <c r="A11" s="303"/>
      <c r="B11" s="79" t="s">
        <v>2681</v>
      </c>
      <c r="C11" s="303" t="s">
        <v>2691</v>
      </c>
      <c r="D11" s="79" t="s">
        <v>2666</v>
      </c>
      <c r="E11" s="303" t="s">
        <v>2668</v>
      </c>
      <c r="F11" s="79" t="s">
        <v>2670</v>
      </c>
      <c r="G11" s="303" t="s">
        <v>2672</v>
      </c>
      <c r="H11" s="79" t="s">
        <v>2674</v>
      </c>
      <c r="I11" s="303" t="s">
        <v>2695</v>
      </c>
      <c r="J11" s="300" t="s">
        <v>2697</v>
      </c>
      <c r="N11" s="1" t="s">
        <v>2738</v>
      </c>
      <c r="O11" s="1">
        <v>8</v>
      </c>
    </row>
    <row r="12" spans="1:15">
      <c r="A12" s="304" t="s">
        <v>2736</v>
      </c>
      <c r="B12" s="296" t="s">
        <v>2698</v>
      </c>
      <c r="C12" s="304" t="s">
        <v>2680</v>
      </c>
      <c r="D12" s="296" t="s">
        <v>2665</v>
      </c>
      <c r="E12" s="304" t="s">
        <v>2667</v>
      </c>
      <c r="F12" s="296" t="s">
        <v>2686</v>
      </c>
      <c r="G12" s="304" t="s">
        <v>2700</v>
      </c>
      <c r="H12" s="296" t="s">
        <v>2701</v>
      </c>
      <c r="I12" s="304" t="s">
        <v>2675</v>
      </c>
      <c r="J12" s="297" t="s">
        <v>2703</v>
      </c>
    </row>
    <row r="13" spans="1:15" ht="13.5" thickBot="1">
      <c r="A13" s="303"/>
      <c r="B13" s="79" t="s">
        <v>2699</v>
      </c>
      <c r="C13" s="303" t="s">
        <v>2681</v>
      </c>
      <c r="D13" s="79" t="s">
        <v>2666</v>
      </c>
      <c r="E13" s="303" t="s">
        <v>2668</v>
      </c>
      <c r="F13" s="79" t="s">
        <v>2687</v>
      </c>
      <c r="G13" s="303" t="s">
        <v>2674</v>
      </c>
      <c r="H13" s="79" t="s">
        <v>2702</v>
      </c>
      <c r="I13" s="303" t="s">
        <v>2676</v>
      </c>
      <c r="J13" s="300" t="s">
        <v>2704</v>
      </c>
    </row>
    <row r="14" spans="1:15" ht="13.5" thickBot="1">
      <c r="A14" s="305" t="s">
        <v>2705</v>
      </c>
      <c r="B14" s="306"/>
      <c r="C14" s="305"/>
      <c r="D14" s="306"/>
      <c r="E14" s="305"/>
      <c r="F14" s="306"/>
      <c r="G14" s="305"/>
      <c r="H14" s="306"/>
      <c r="I14" s="305"/>
      <c r="J14" s="307"/>
    </row>
    <row r="15" spans="1:15">
      <c r="A15" s="304" t="s">
        <v>2688</v>
      </c>
      <c r="B15" s="296">
        <v>15.75</v>
      </c>
      <c r="C15" s="304">
        <v>16.75</v>
      </c>
      <c r="D15" s="296">
        <v>17.5</v>
      </c>
      <c r="E15" s="304">
        <v>18.5</v>
      </c>
      <c r="F15" s="296">
        <v>19.25</v>
      </c>
      <c r="G15" s="304">
        <v>20.25</v>
      </c>
      <c r="H15" s="296">
        <v>21</v>
      </c>
      <c r="I15" s="304">
        <v>22</v>
      </c>
      <c r="J15" s="297">
        <v>23</v>
      </c>
    </row>
    <row r="16" spans="1:15" ht="13.5" thickBot="1">
      <c r="A16" s="303"/>
      <c r="B16" s="79" t="s">
        <v>2706</v>
      </c>
      <c r="C16" s="303" t="s">
        <v>2707</v>
      </c>
      <c r="D16" s="79" t="s">
        <v>2708</v>
      </c>
      <c r="E16" s="303" t="s">
        <v>2677</v>
      </c>
      <c r="F16" s="79" t="s">
        <v>2679</v>
      </c>
      <c r="G16" s="303" t="s">
        <v>2662</v>
      </c>
      <c r="H16" s="79" t="s">
        <v>2664</v>
      </c>
      <c r="I16" s="303" t="s">
        <v>2683</v>
      </c>
      <c r="J16" s="300" t="s">
        <v>2670</v>
      </c>
    </row>
    <row r="17" spans="1:10">
      <c r="A17" s="304" t="s">
        <v>2709</v>
      </c>
      <c r="B17" s="296">
        <v>39</v>
      </c>
      <c r="C17" s="304">
        <v>40</v>
      </c>
      <c r="D17" s="296">
        <v>42</v>
      </c>
      <c r="E17" s="304">
        <v>44</v>
      </c>
      <c r="F17" s="296">
        <v>48</v>
      </c>
      <c r="G17" s="304">
        <v>52</v>
      </c>
      <c r="H17" s="296">
        <v>55</v>
      </c>
      <c r="I17" s="304">
        <v>60</v>
      </c>
      <c r="J17" s="297">
        <v>64</v>
      </c>
    </row>
    <row r="18" spans="1:10" ht="13.5" thickBot="1">
      <c r="A18" s="303"/>
      <c r="B18" s="79" t="s">
        <v>2710</v>
      </c>
      <c r="C18" s="303" t="s">
        <v>2711</v>
      </c>
      <c r="D18" s="79" t="s">
        <v>2712</v>
      </c>
      <c r="E18" s="303" t="s">
        <v>2713</v>
      </c>
      <c r="F18" s="79" t="s">
        <v>2657</v>
      </c>
      <c r="G18" s="303" t="s">
        <v>2714</v>
      </c>
      <c r="H18" s="79" t="s">
        <v>2715</v>
      </c>
      <c r="I18" s="303" t="s">
        <v>2716</v>
      </c>
      <c r="J18" s="300" t="s">
        <v>2717</v>
      </c>
    </row>
    <row r="19" spans="1:10">
      <c r="A19" s="304" t="s">
        <v>2718</v>
      </c>
      <c r="B19" s="296">
        <v>26</v>
      </c>
      <c r="C19" s="304">
        <v>27</v>
      </c>
      <c r="D19" s="296">
        <v>29</v>
      </c>
      <c r="E19" s="304">
        <v>30</v>
      </c>
      <c r="F19" s="296">
        <v>32</v>
      </c>
      <c r="G19" s="304">
        <v>34</v>
      </c>
      <c r="H19" s="296">
        <v>35</v>
      </c>
      <c r="I19" s="304">
        <v>37</v>
      </c>
      <c r="J19" s="297">
        <v>38</v>
      </c>
    </row>
    <row r="20" spans="1:10" ht="13.5" thickBot="1">
      <c r="A20" s="303"/>
      <c r="B20" s="79" t="s">
        <v>2695</v>
      </c>
      <c r="C20" s="303" t="s">
        <v>2719</v>
      </c>
      <c r="D20" s="79" t="s">
        <v>2720</v>
      </c>
      <c r="E20" s="303" t="s">
        <v>2721</v>
      </c>
      <c r="F20" s="79" t="s">
        <v>2722</v>
      </c>
      <c r="G20" s="303" t="s">
        <v>2645</v>
      </c>
      <c r="H20" s="79" t="s">
        <v>2723</v>
      </c>
      <c r="I20" s="303" t="s">
        <v>2724</v>
      </c>
      <c r="J20" s="300" t="s">
        <v>2725</v>
      </c>
    </row>
    <row r="21" spans="1:10">
      <c r="A21" s="313" t="s">
        <v>2775</v>
      </c>
      <c r="B21" s="304"/>
      <c r="C21" s="296"/>
      <c r="D21" s="304"/>
      <c r="E21" s="296"/>
      <c r="F21" s="304"/>
      <c r="G21" s="296"/>
      <c r="H21" s="304"/>
      <c r="I21" s="296"/>
      <c r="J21" s="304"/>
    </row>
    <row r="22" spans="1:10">
      <c r="A22" s="298" t="s">
        <v>2773</v>
      </c>
      <c r="B22" s="302" t="s">
        <v>2779</v>
      </c>
      <c r="C22" s="1" t="s">
        <v>2741</v>
      </c>
      <c r="D22" s="302" t="s">
        <v>2743</v>
      </c>
      <c r="E22" s="1" t="s">
        <v>2745</v>
      </c>
      <c r="F22" s="302" t="s">
        <v>2747</v>
      </c>
      <c r="G22" s="1" t="s">
        <v>2749</v>
      </c>
      <c r="H22" s="302" t="s">
        <v>2750</v>
      </c>
      <c r="I22" s="1" t="s">
        <v>2752</v>
      </c>
      <c r="J22" s="302" t="s">
        <v>2754</v>
      </c>
    </row>
    <row r="23" spans="1:10" ht="13.5" thickBot="1">
      <c r="A23" s="299"/>
      <c r="B23" s="303" t="s">
        <v>2740</v>
      </c>
      <c r="C23" s="79" t="s">
        <v>2742</v>
      </c>
      <c r="D23" s="303" t="s">
        <v>2744</v>
      </c>
      <c r="E23" s="79" t="s">
        <v>2746</v>
      </c>
      <c r="F23" s="303" t="s">
        <v>2748</v>
      </c>
      <c r="G23" s="79" t="s">
        <v>2748</v>
      </c>
      <c r="H23" s="303" t="s">
        <v>2751</v>
      </c>
      <c r="I23" s="79" t="s">
        <v>2753</v>
      </c>
      <c r="J23" s="303" t="s">
        <v>2755</v>
      </c>
    </row>
    <row r="24" spans="1:10">
      <c r="A24" s="298" t="s">
        <v>2774</v>
      </c>
      <c r="B24" s="304" t="s">
        <v>2776</v>
      </c>
      <c r="C24" s="296" t="s">
        <v>2757</v>
      </c>
      <c r="D24" s="304" t="s">
        <v>2759</v>
      </c>
      <c r="E24" s="296" t="s">
        <v>2761</v>
      </c>
      <c r="F24" s="304" t="s">
        <v>2763</v>
      </c>
      <c r="G24" s="296" t="s">
        <v>2765</v>
      </c>
      <c r="H24" s="304" t="s">
        <v>2767</v>
      </c>
      <c r="I24" s="296" t="s">
        <v>2769</v>
      </c>
      <c r="J24" s="304" t="s">
        <v>2771</v>
      </c>
    </row>
    <row r="25" spans="1:10" ht="13.5" thickBot="1">
      <c r="A25" s="299"/>
      <c r="B25" s="303" t="s">
        <v>2756</v>
      </c>
      <c r="C25" s="79" t="s">
        <v>2758</v>
      </c>
      <c r="D25" s="303" t="s">
        <v>2760</v>
      </c>
      <c r="E25" s="79" t="s">
        <v>2762</v>
      </c>
      <c r="F25" s="303" t="s">
        <v>2764</v>
      </c>
      <c r="G25" s="79" t="s">
        <v>2766</v>
      </c>
      <c r="H25" s="303" t="s">
        <v>2768</v>
      </c>
      <c r="I25" s="79" t="s">
        <v>2770</v>
      </c>
      <c r="J25" s="303" t="s">
        <v>2772</v>
      </c>
    </row>
    <row r="26" spans="1:10">
      <c r="B26" s="3">
        <f>4*10.25</f>
        <v>41</v>
      </c>
      <c r="C26" s="3">
        <f>4*10.5</f>
        <v>42</v>
      </c>
      <c r="D26" s="3">
        <f>4.5*10.75</f>
        <v>48.375</v>
      </c>
      <c r="E26" s="3">
        <f>4*11.25</f>
        <v>45</v>
      </c>
      <c r="F26" s="3">
        <f>5*11.5</f>
        <v>57.5</v>
      </c>
      <c r="G26" s="3">
        <f>5*11.75</f>
        <v>58.75</v>
      </c>
      <c r="H26" s="3">
        <f>5*12.25</f>
        <v>61.25</v>
      </c>
      <c r="I26" s="3">
        <f>5.5*12.75</f>
        <v>70.125</v>
      </c>
      <c r="J26" s="3">
        <f>5.5*13.25</f>
        <v>72.875</v>
      </c>
    </row>
    <row r="27" spans="1:10" ht="13.5" thickBot="1">
      <c r="B27" s="3">
        <f>2*4*26</f>
        <v>208</v>
      </c>
      <c r="C27" s="3">
        <f>2*4*26.5</f>
        <v>212</v>
      </c>
      <c r="D27" s="3">
        <f>2*4.5*27</f>
        <v>243</v>
      </c>
      <c r="E27" s="3">
        <f>2*4.5*27.5</f>
        <v>247.5</v>
      </c>
      <c r="F27" s="3">
        <f>2*5*28</f>
        <v>280</v>
      </c>
      <c r="G27" s="3">
        <f>2*5*28.5</f>
        <v>285</v>
      </c>
      <c r="H27" s="3">
        <f>2*5*29</f>
        <v>290</v>
      </c>
      <c r="I27" s="3">
        <f>2*5.5*29.5</f>
        <v>324.5</v>
      </c>
      <c r="J27" s="3">
        <f>2*5.5*30</f>
        <v>330</v>
      </c>
    </row>
    <row r="28" spans="1:10" ht="13.5" thickBot="1">
      <c r="A28" s="308" t="s">
        <v>2780</v>
      </c>
      <c r="B28" s="314">
        <f>SUM(B26:B27)</f>
        <v>249</v>
      </c>
      <c r="C28" s="315">
        <f t="shared" ref="C28:J28" si="0">SUM(C26:C27)</f>
        <v>254</v>
      </c>
      <c r="D28" s="315">
        <f t="shared" si="0"/>
        <v>291.375</v>
      </c>
      <c r="E28" s="315">
        <f t="shared" si="0"/>
        <v>292.5</v>
      </c>
      <c r="F28" s="315">
        <f t="shared" si="0"/>
        <v>337.5</v>
      </c>
      <c r="G28" s="315">
        <f t="shared" si="0"/>
        <v>343.75</v>
      </c>
      <c r="H28" s="315">
        <f t="shared" si="0"/>
        <v>351.25</v>
      </c>
      <c r="I28" s="315">
        <f t="shared" si="0"/>
        <v>394.625</v>
      </c>
      <c r="J28" s="316">
        <f t="shared" si="0"/>
        <v>402.875</v>
      </c>
    </row>
    <row r="30" spans="1:10" ht="13.5" thickBot="1">
      <c r="A30" s="312" t="s">
        <v>1571</v>
      </c>
    </row>
    <row r="31" spans="1:10">
      <c r="A31" s="322" t="s">
        <v>2688</v>
      </c>
      <c r="B31" s="319">
        <f t="shared" ref="B31:J31" si="1">(B15*44*$O$6)/$O$4</f>
        <v>3.5</v>
      </c>
      <c r="C31" s="317">
        <f t="shared" si="1"/>
        <v>3.7222222222222223</v>
      </c>
      <c r="D31" s="317">
        <f t="shared" si="1"/>
        <v>3.8888888888888888</v>
      </c>
      <c r="E31" s="317">
        <f t="shared" si="1"/>
        <v>4.1111111111111107</v>
      </c>
      <c r="F31" s="317">
        <f t="shared" si="1"/>
        <v>4.2777777777777777</v>
      </c>
      <c r="G31" s="317">
        <f t="shared" si="1"/>
        <v>4.5</v>
      </c>
      <c r="H31" s="317">
        <f t="shared" si="1"/>
        <v>4.666666666666667</v>
      </c>
      <c r="I31" s="317">
        <f t="shared" si="1"/>
        <v>4.8888888888888893</v>
      </c>
      <c r="J31" s="318">
        <f t="shared" si="1"/>
        <v>5.1111111111111107</v>
      </c>
    </row>
    <row r="32" spans="1:10">
      <c r="A32" s="323" t="s">
        <v>2709</v>
      </c>
      <c r="B32" s="320">
        <f t="shared" ref="B32:J32" si="2">(B17*44*$O$8)/$O$4</f>
        <v>8.6666666666666661</v>
      </c>
      <c r="C32" s="320">
        <f t="shared" si="2"/>
        <v>8.8888888888888893</v>
      </c>
      <c r="D32" s="320">
        <f t="shared" si="2"/>
        <v>9.3333333333333339</v>
      </c>
      <c r="E32" s="320">
        <f t="shared" si="2"/>
        <v>9.7777777777777786</v>
      </c>
      <c r="F32" s="320">
        <f t="shared" si="2"/>
        <v>10.666666666666666</v>
      </c>
      <c r="G32" s="320">
        <f t="shared" si="2"/>
        <v>11.555555555555555</v>
      </c>
      <c r="H32" s="320">
        <f t="shared" si="2"/>
        <v>12.222222222222221</v>
      </c>
      <c r="I32" s="320">
        <f t="shared" si="2"/>
        <v>13.333333333333334</v>
      </c>
      <c r="J32" s="320">
        <f t="shared" si="2"/>
        <v>14.222222222222221</v>
      </c>
    </row>
    <row r="33" spans="1:10">
      <c r="A33" s="323" t="s">
        <v>2718</v>
      </c>
      <c r="B33" s="320">
        <f t="shared" ref="B33:J33" si="3">(B19*44*$O$8)/$O$4</f>
        <v>5.7777777777777777</v>
      </c>
      <c r="C33" s="320">
        <f t="shared" si="3"/>
        <v>6</v>
      </c>
      <c r="D33" s="320">
        <f t="shared" si="3"/>
        <v>6.4444444444444446</v>
      </c>
      <c r="E33" s="320">
        <f t="shared" si="3"/>
        <v>6.666666666666667</v>
      </c>
      <c r="F33" s="320">
        <f t="shared" si="3"/>
        <v>7.1111111111111107</v>
      </c>
      <c r="G33" s="320">
        <f t="shared" si="3"/>
        <v>7.5555555555555554</v>
      </c>
      <c r="H33" s="320">
        <f t="shared" si="3"/>
        <v>7.7777777777777777</v>
      </c>
      <c r="I33" s="320">
        <f t="shared" si="3"/>
        <v>8.2222222222222214</v>
      </c>
      <c r="J33" s="320">
        <f t="shared" si="3"/>
        <v>8.4444444444444446</v>
      </c>
    </row>
    <row r="34" spans="1:10" ht="13.5" thickBot="1">
      <c r="A34" s="324" t="s">
        <v>2775</v>
      </c>
      <c r="B34" s="321">
        <f t="shared" ref="B34:J34" si="4">(B28*$O$10)/$O$4</f>
        <v>1.2575757575757576</v>
      </c>
      <c r="C34" s="321">
        <f t="shared" si="4"/>
        <v>1.2828282828282829</v>
      </c>
      <c r="D34" s="321">
        <f t="shared" si="4"/>
        <v>1.4715909090909092</v>
      </c>
      <c r="E34" s="321">
        <f t="shared" si="4"/>
        <v>1.4772727272727273</v>
      </c>
      <c r="F34" s="321">
        <f t="shared" si="4"/>
        <v>1.7045454545454546</v>
      </c>
      <c r="G34" s="321">
        <f t="shared" si="4"/>
        <v>1.7361111111111112</v>
      </c>
      <c r="H34" s="321">
        <f t="shared" si="4"/>
        <v>1.773989898989899</v>
      </c>
      <c r="I34" s="321">
        <f t="shared" si="4"/>
        <v>1.9930555555555556</v>
      </c>
      <c r="J34" s="321">
        <f t="shared" si="4"/>
        <v>2.0347222222222223</v>
      </c>
    </row>
    <row r="37" spans="1:10" ht="13.5" thickBot="1"/>
    <row r="38" spans="1:10" ht="13.5" thickBot="1">
      <c r="A38" s="304" t="s">
        <v>2777</v>
      </c>
      <c r="B38" s="53">
        <f t="shared" ref="B38:J38" si="5">B31+B32</f>
        <v>12.166666666666666</v>
      </c>
      <c r="C38" s="53">
        <f t="shared" si="5"/>
        <v>12.611111111111111</v>
      </c>
      <c r="D38" s="53">
        <f t="shared" si="5"/>
        <v>13.222222222222223</v>
      </c>
      <c r="E38" s="53">
        <f t="shared" si="5"/>
        <v>13.888888888888889</v>
      </c>
      <c r="F38" s="53">
        <f t="shared" si="5"/>
        <v>14.944444444444443</v>
      </c>
      <c r="G38" s="53">
        <f t="shared" si="5"/>
        <v>16.055555555555557</v>
      </c>
      <c r="H38" s="53">
        <f t="shared" si="5"/>
        <v>16.888888888888889</v>
      </c>
      <c r="I38" s="53">
        <f t="shared" si="5"/>
        <v>18.222222222222221</v>
      </c>
      <c r="J38" s="53">
        <f t="shared" si="5"/>
        <v>19.333333333333332</v>
      </c>
    </row>
    <row r="39" spans="1:10" ht="13.5" thickBot="1">
      <c r="A39" s="304" t="s">
        <v>2781</v>
      </c>
      <c r="B39" s="53">
        <f t="shared" ref="B39:J39" si="6">B31+B32+B34</f>
        <v>13.424242424242424</v>
      </c>
      <c r="C39" s="53">
        <f t="shared" si="6"/>
        <v>13.893939393939394</v>
      </c>
      <c r="D39" s="53">
        <f t="shared" si="6"/>
        <v>14.693813131313131</v>
      </c>
      <c r="E39" s="53">
        <f t="shared" si="6"/>
        <v>15.366161616161616</v>
      </c>
      <c r="F39" s="53">
        <f t="shared" si="6"/>
        <v>16.648989898989896</v>
      </c>
      <c r="G39" s="53">
        <f t="shared" si="6"/>
        <v>17.791666666666668</v>
      </c>
      <c r="H39" s="53">
        <f t="shared" si="6"/>
        <v>18.662878787878789</v>
      </c>
      <c r="I39" s="53">
        <f t="shared" si="6"/>
        <v>20.215277777777779</v>
      </c>
      <c r="J39" s="53">
        <f t="shared" si="6"/>
        <v>21.368055555555554</v>
      </c>
    </row>
    <row r="40" spans="1:10" ht="13.5" thickBot="1">
      <c r="A40" s="301" t="s">
        <v>2778</v>
      </c>
      <c r="B40" s="53">
        <f t="shared" ref="B40:J40" si="7">B31+B33</f>
        <v>9.2777777777777786</v>
      </c>
      <c r="C40" s="53">
        <f t="shared" si="7"/>
        <v>9.7222222222222214</v>
      </c>
      <c r="D40" s="53">
        <f t="shared" si="7"/>
        <v>10.333333333333334</v>
      </c>
      <c r="E40" s="53">
        <f t="shared" si="7"/>
        <v>10.777777777777779</v>
      </c>
      <c r="F40" s="53">
        <f t="shared" si="7"/>
        <v>11.388888888888889</v>
      </c>
      <c r="G40" s="53">
        <f t="shared" si="7"/>
        <v>12.055555555555555</v>
      </c>
      <c r="H40" s="53">
        <f t="shared" si="7"/>
        <v>12.444444444444445</v>
      </c>
      <c r="I40" s="53">
        <f t="shared" si="7"/>
        <v>13.111111111111111</v>
      </c>
      <c r="J40" s="53">
        <f t="shared" si="7"/>
        <v>13.555555555555555</v>
      </c>
    </row>
    <row r="41" spans="1:10" ht="13.5" thickBot="1">
      <c r="A41" s="301" t="s">
        <v>2782</v>
      </c>
      <c r="B41" s="53">
        <f t="shared" ref="B41:J41" si="8">B31+B33+B34</f>
        <v>10.535353535353536</v>
      </c>
      <c r="C41" s="53">
        <f t="shared" si="8"/>
        <v>11.005050505050505</v>
      </c>
      <c r="D41" s="53">
        <f t="shared" si="8"/>
        <v>11.804924242424242</v>
      </c>
      <c r="E41" s="53">
        <f t="shared" si="8"/>
        <v>12.255050505050505</v>
      </c>
      <c r="F41" s="53">
        <f t="shared" si="8"/>
        <v>13.093434343434344</v>
      </c>
      <c r="G41" s="53">
        <f t="shared" si="8"/>
        <v>13.791666666666666</v>
      </c>
      <c r="H41" s="53">
        <f t="shared" si="8"/>
        <v>14.218434343434344</v>
      </c>
      <c r="I41" s="53">
        <f t="shared" si="8"/>
        <v>15.104166666666666</v>
      </c>
      <c r="J41" s="53">
        <f t="shared" si="8"/>
        <v>15.590277777777779</v>
      </c>
    </row>
    <row r="44" spans="1:10">
      <c r="A44" s="1" t="s">
        <v>2783</v>
      </c>
      <c r="B44" s="1">
        <v>8</v>
      </c>
    </row>
    <row r="45" spans="1:10">
      <c r="A45" s="1" t="s">
        <v>2784</v>
      </c>
      <c r="B45" s="1">
        <v>2.5</v>
      </c>
      <c r="C45" s="1">
        <f>B44*B45</f>
        <v>20</v>
      </c>
    </row>
    <row r="47" spans="1:10" ht="13.5" thickBot="1">
      <c r="A47" s="7" t="s">
        <v>2785</v>
      </c>
    </row>
    <row r="48" spans="1:10" ht="13.5" thickBot="1">
      <c r="A48" s="304" t="s">
        <v>2777</v>
      </c>
      <c r="B48" s="60">
        <f>B38+$C$45</f>
        <v>32.166666666666664</v>
      </c>
      <c r="C48" s="60">
        <f t="shared" ref="C48:J48" si="9">C38+$C$45</f>
        <v>32.611111111111114</v>
      </c>
      <c r="D48" s="60">
        <f t="shared" si="9"/>
        <v>33.222222222222221</v>
      </c>
      <c r="E48" s="60">
        <f t="shared" si="9"/>
        <v>33.888888888888886</v>
      </c>
      <c r="F48" s="60">
        <f t="shared" si="9"/>
        <v>34.944444444444443</v>
      </c>
      <c r="G48" s="60">
        <f t="shared" si="9"/>
        <v>36.055555555555557</v>
      </c>
      <c r="H48" s="60">
        <f t="shared" si="9"/>
        <v>36.888888888888886</v>
      </c>
      <c r="I48" s="60">
        <f t="shared" si="9"/>
        <v>38.222222222222221</v>
      </c>
      <c r="J48" s="60">
        <f t="shared" si="9"/>
        <v>39.333333333333329</v>
      </c>
    </row>
    <row r="49" spans="1:10" ht="13.5" thickBot="1">
      <c r="A49" s="304" t="s">
        <v>2781</v>
      </c>
      <c r="B49" s="60">
        <f t="shared" ref="B49:J49" si="10">B39+$C$45</f>
        <v>33.424242424242422</v>
      </c>
      <c r="C49" s="60">
        <f t="shared" si="10"/>
        <v>33.893939393939391</v>
      </c>
      <c r="D49" s="60">
        <f t="shared" si="10"/>
        <v>34.693813131313135</v>
      </c>
      <c r="E49" s="60">
        <f t="shared" si="10"/>
        <v>35.366161616161619</v>
      </c>
      <c r="F49" s="60">
        <f t="shared" si="10"/>
        <v>36.648989898989896</v>
      </c>
      <c r="G49" s="60">
        <f t="shared" si="10"/>
        <v>37.791666666666671</v>
      </c>
      <c r="H49" s="60">
        <f t="shared" si="10"/>
        <v>38.662878787878789</v>
      </c>
      <c r="I49" s="60">
        <f t="shared" si="10"/>
        <v>40.215277777777779</v>
      </c>
      <c r="J49" s="60">
        <f t="shared" si="10"/>
        <v>41.368055555555557</v>
      </c>
    </row>
    <row r="50" spans="1:10" ht="13.5" thickBot="1">
      <c r="A50" s="301" t="s">
        <v>2778</v>
      </c>
      <c r="B50" s="60">
        <f t="shared" ref="B50:J50" si="11">B40+$C$45</f>
        <v>29.277777777777779</v>
      </c>
      <c r="C50" s="60">
        <f t="shared" si="11"/>
        <v>29.722222222222221</v>
      </c>
      <c r="D50" s="60">
        <f t="shared" si="11"/>
        <v>30.333333333333336</v>
      </c>
      <c r="E50" s="60">
        <f t="shared" si="11"/>
        <v>30.777777777777779</v>
      </c>
      <c r="F50" s="60">
        <f t="shared" si="11"/>
        <v>31.388888888888889</v>
      </c>
      <c r="G50" s="60">
        <f t="shared" si="11"/>
        <v>32.055555555555557</v>
      </c>
      <c r="H50" s="60">
        <f t="shared" si="11"/>
        <v>32.444444444444443</v>
      </c>
      <c r="I50" s="60">
        <f t="shared" si="11"/>
        <v>33.111111111111114</v>
      </c>
      <c r="J50" s="60">
        <f t="shared" si="11"/>
        <v>33.555555555555557</v>
      </c>
    </row>
    <row r="51" spans="1:10" ht="13.5" thickBot="1">
      <c r="A51" s="301" t="s">
        <v>2782</v>
      </c>
      <c r="B51" s="60">
        <f t="shared" ref="B51:J51" si="12">B41+$C$45</f>
        <v>30.535353535353536</v>
      </c>
      <c r="C51" s="60">
        <f t="shared" si="12"/>
        <v>31.005050505050505</v>
      </c>
      <c r="D51" s="60">
        <f t="shared" si="12"/>
        <v>31.804924242424242</v>
      </c>
      <c r="E51" s="60">
        <f t="shared" si="12"/>
        <v>32.255050505050505</v>
      </c>
      <c r="F51" s="60">
        <f t="shared" si="12"/>
        <v>33.093434343434346</v>
      </c>
      <c r="G51" s="60">
        <f t="shared" si="12"/>
        <v>33.791666666666664</v>
      </c>
      <c r="H51" s="60">
        <f t="shared" si="12"/>
        <v>34.218434343434346</v>
      </c>
      <c r="I51" s="60">
        <f t="shared" si="12"/>
        <v>35.104166666666664</v>
      </c>
      <c r="J51" s="60">
        <f t="shared" si="12"/>
        <v>35.590277777777779</v>
      </c>
    </row>
    <row r="54" spans="1:10" ht="13.5" thickBot="1">
      <c r="A54" s="7" t="s">
        <v>2787</v>
      </c>
    </row>
    <row r="55" spans="1:10" ht="13.5" thickBot="1">
      <c r="A55" s="304" t="s">
        <v>2777</v>
      </c>
      <c r="B55" s="60">
        <f>B48*1.3</f>
        <v>41.816666666666663</v>
      </c>
      <c r="C55" s="60">
        <f t="shared" ref="C55:J55" si="13">C48*1.3</f>
        <v>42.394444444444453</v>
      </c>
      <c r="D55" s="60">
        <f t="shared" si="13"/>
        <v>43.18888888888889</v>
      </c>
      <c r="E55" s="60">
        <f t="shared" si="13"/>
        <v>44.05555555555555</v>
      </c>
      <c r="F55" s="60">
        <f t="shared" si="13"/>
        <v>45.427777777777777</v>
      </c>
      <c r="G55" s="60">
        <f t="shared" si="13"/>
        <v>46.872222222222227</v>
      </c>
      <c r="H55" s="60">
        <f t="shared" si="13"/>
        <v>47.955555555555556</v>
      </c>
      <c r="I55" s="60">
        <f t="shared" si="13"/>
        <v>49.68888888888889</v>
      </c>
      <c r="J55" s="60">
        <f t="shared" si="13"/>
        <v>51.133333333333326</v>
      </c>
    </row>
    <row r="56" spans="1:10" ht="13.5" thickBot="1">
      <c r="A56" s="304" t="s">
        <v>2781</v>
      </c>
      <c r="B56" s="60">
        <f t="shared" ref="B56:J56" si="14">B49*1.3</f>
        <v>43.451515151515153</v>
      </c>
      <c r="C56" s="60">
        <f t="shared" si="14"/>
        <v>44.062121212121212</v>
      </c>
      <c r="D56" s="60">
        <f t="shared" si="14"/>
        <v>45.10195707070708</v>
      </c>
      <c r="E56" s="60">
        <f t="shared" si="14"/>
        <v>45.976010101010104</v>
      </c>
      <c r="F56" s="60">
        <f t="shared" si="14"/>
        <v>47.643686868686864</v>
      </c>
      <c r="G56" s="60">
        <f t="shared" si="14"/>
        <v>49.129166666666677</v>
      </c>
      <c r="H56" s="60">
        <f t="shared" si="14"/>
        <v>50.261742424242428</v>
      </c>
      <c r="I56" s="60">
        <f t="shared" si="14"/>
        <v>52.279861111111117</v>
      </c>
      <c r="J56" s="60">
        <f t="shared" si="14"/>
        <v>53.778472222222227</v>
      </c>
    </row>
    <row r="57" spans="1:10" ht="13.5" thickBot="1">
      <c r="A57" s="301" t="s">
        <v>2778</v>
      </c>
      <c r="B57" s="60">
        <f t="shared" ref="B57:J57" si="15">B50*1.3</f>
        <v>38.06111111111111</v>
      </c>
      <c r="C57" s="60">
        <f t="shared" si="15"/>
        <v>38.638888888888886</v>
      </c>
      <c r="D57" s="60">
        <f t="shared" si="15"/>
        <v>39.433333333333337</v>
      </c>
      <c r="E57" s="60">
        <f t="shared" si="15"/>
        <v>40.011111111111113</v>
      </c>
      <c r="F57" s="60">
        <f t="shared" si="15"/>
        <v>40.805555555555557</v>
      </c>
      <c r="G57" s="60">
        <f t="shared" si="15"/>
        <v>41.672222222222224</v>
      </c>
      <c r="H57" s="60">
        <f t="shared" si="15"/>
        <v>42.177777777777777</v>
      </c>
      <c r="I57" s="60">
        <f t="shared" si="15"/>
        <v>43.044444444444451</v>
      </c>
      <c r="J57" s="60">
        <f t="shared" si="15"/>
        <v>43.622222222222227</v>
      </c>
    </row>
    <row r="58" spans="1:10" ht="13.5" thickBot="1">
      <c r="A58" s="301" t="s">
        <v>2782</v>
      </c>
      <c r="B58" s="60">
        <f t="shared" ref="B58:J58" si="16">B51*1.3</f>
        <v>39.6959595959596</v>
      </c>
      <c r="C58" s="60">
        <f t="shared" si="16"/>
        <v>40.30656565656566</v>
      </c>
      <c r="D58" s="60">
        <f t="shared" si="16"/>
        <v>41.346401515151513</v>
      </c>
      <c r="E58" s="60">
        <f t="shared" si="16"/>
        <v>41.93156565656566</v>
      </c>
      <c r="F58" s="60">
        <f t="shared" si="16"/>
        <v>43.021464646464651</v>
      </c>
      <c r="G58" s="60">
        <f t="shared" si="16"/>
        <v>43.929166666666667</v>
      </c>
      <c r="H58" s="60">
        <f t="shared" si="16"/>
        <v>44.483964646464649</v>
      </c>
      <c r="I58" s="60">
        <f t="shared" si="16"/>
        <v>45.635416666666664</v>
      </c>
      <c r="J58" s="60">
        <f t="shared" si="16"/>
        <v>46.267361111111114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CD9C4-D491-4B7B-8841-0AD789A3504C}">
  <dimension ref="A6:H90"/>
  <sheetViews>
    <sheetView zoomScale="85" zoomScaleNormal="85" workbookViewId="0">
      <selection activeCell="C57" sqref="C57:H57"/>
    </sheetView>
  </sheetViews>
  <sheetFormatPr defaultRowHeight="14.25"/>
  <cols>
    <col min="1" max="1" width="10.42578125" style="92" bestFit="1" customWidth="1"/>
    <col min="2" max="2" width="15.5703125" style="92" bestFit="1" customWidth="1"/>
    <col min="3" max="3" width="21" style="92" bestFit="1" customWidth="1"/>
    <col min="4" max="4" width="18.140625" style="92" bestFit="1" customWidth="1"/>
    <col min="5" max="5" width="84.7109375" style="92" bestFit="1" customWidth="1"/>
    <col min="6" max="6" width="24.85546875" style="291" bestFit="1" customWidth="1"/>
    <col min="7" max="7" width="21" style="291" bestFit="1" customWidth="1"/>
    <col min="8" max="8" width="14" style="291" bestFit="1" customWidth="1"/>
    <col min="9" max="16384" width="9.140625" style="92"/>
  </cols>
  <sheetData>
    <row r="6" spans="1:8">
      <c r="A6" s="284" t="s">
        <v>2406</v>
      </c>
      <c r="B6" s="284" t="s">
        <v>2407</v>
      </c>
      <c r="C6" s="284" t="s">
        <v>2408</v>
      </c>
      <c r="D6" s="285" t="s">
        <v>2409</v>
      </c>
      <c r="E6" s="285" t="s">
        <v>2410</v>
      </c>
      <c r="F6" s="289" t="s">
        <v>2411</v>
      </c>
      <c r="G6" s="289" t="s">
        <v>2412</v>
      </c>
      <c r="H6" s="289" t="s">
        <v>2413</v>
      </c>
    </row>
    <row r="7" spans="1:8">
      <c r="A7" s="286">
        <v>1</v>
      </c>
      <c r="B7" s="287" t="s">
        <v>2414</v>
      </c>
      <c r="C7" s="287" t="s">
        <v>2414</v>
      </c>
      <c r="D7" s="288" t="s">
        <v>2415</v>
      </c>
      <c r="E7" s="288" t="s">
        <v>2416</v>
      </c>
      <c r="F7" s="290">
        <v>0</v>
      </c>
      <c r="G7" s="290">
        <v>176</v>
      </c>
      <c r="H7" s="290">
        <v>137246.71</v>
      </c>
    </row>
    <row r="8" spans="1:8">
      <c r="A8" s="286">
        <v>2</v>
      </c>
      <c r="B8" s="287" t="s">
        <v>2417</v>
      </c>
      <c r="C8" s="287" t="s">
        <v>2417</v>
      </c>
      <c r="D8" s="288" t="s">
        <v>2415</v>
      </c>
      <c r="E8" s="288" t="s">
        <v>2418</v>
      </c>
      <c r="F8" s="290">
        <v>200</v>
      </c>
      <c r="G8" s="290">
        <v>0</v>
      </c>
      <c r="H8" s="290">
        <v>137046.71</v>
      </c>
    </row>
    <row r="9" spans="1:8">
      <c r="A9" s="286">
        <v>3</v>
      </c>
      <c r="B9" s="287" t="s">
        <v>2417</v>
      </c>
      <c r="C9" s="287" t="s">
        <v>2417</v>
      </c>
      <c r="D9" s="288" t="s">
        <v>2415</v>
      </c>
      <c r="E9" s="288" t="s">
        <v>2419</v>
      </c>
      <c r="F9" s="290">
        <v>18</v>
      </c>
      <c r="G9" s="290">
        <v>0</v>
      </c>
      <c r="H9" s="290">
        <v>137028.71</v>
      </c>
    </row>
    <row r="10" spans="1:8">
      <c r="A10" s="286">
        <v>4</v>
      </c>
      <c r="B10" s="287" t="s">
        <v>2417</v>
      </c>
      <c r="C10" s="287" t="s">
        <v>2417</v>
      </c>
      <c r="D10" s="288" t="s">
        <v>2415</v>
      </c>
      <c r="E10" s="288" t="s">
        <v>2420</v>
      </c>
      <c r="F10" s="290">
        <v>18</v>
      </c>
      <c r="G10" s="290">
        <v>0</v>
      </c>
      <c r="H10" s="290">
        <v>137010.71</v>
      </c>
    </row>
    <row r="11" spans="1:8">
      <c r="A11" s="286">
        <v>5</v>
      </c>
      <c r="B11" s="287" t="s">
        <v>2421</v>
      </c>
      <c r="C11" s="287" t="s">
        <v>2421</v>
      </c>
      <c r="D11" s="288" t="s">
        <v>2415</v>
      </c>
      <c r="E11" s="288" t="s">
        <v>2422</v>
      </c>
      <c r="F11" s="290">
        <v>177</v>
      </c>
      <c r="G11" s="290">
        <v>0</v>
      </c>
      <c r="H11" s="290">
        <v>136833.71</v>
      </c>
    </row>
    <row r="12" spans="1:8">
      <c r="A12" s="286">
        <v>6</v>
      </c>
      <c r="B12" s="287" t="s">
        <v>2423</v>
      </c>
      <c r="C12" s="287" t="s">
        <v>2423</v>
      </c>
      <c r="D12" s="288" t="s">
        <v>2415</v>
      </c>
      <c r="E12" s="288" t="s">
        <v>2424</v>
      </c>
      <c r="F12" s="290">
        <v>17.7</v>
      </c>
      <c r="G12" s="290">
        <v>0</v>
      </c>
      <c r="H12" s="290">
        <v>136816.01</v>
      </c>
    </row>
    <row r="13" spans="1:8">
      <c r="A13" s="286">
        <v>7</v>
      </c>
      <c r="B13" s="287" t="s">
        <v>2425</v>
      </c>
      <c r="C13" s="287" t="s">
        <v>2425</v>
      </c>
      <c r="D13" s="288" t="s">
        <v>2415</v>
      </c>
      <c r="E13" s="288" t="s">
        <v>2426</v>
      </c>
      <c r="F13" s="290">
        <v>0</v>
      </c>
      <c r="G13" s="290">
        <v>400</v>
      </c>
      <c r="H13" s="290">
        <v>137216.01</v>
      </c>
    </row>
    <row r="14" spans="1:8">
      <c r="A14" s="286">
        <v>8</v>
      </c>
      <c r="B14" s="287" t="s">
        <v>2427</v>
      </c>
      <c r="C14" s="287" t="s">
        <v>2427</v>
      </c>
      <c r="D14" s="288" t="s">
        <v>2415</v>
      </c>
      <c r="E14" s="288" t="s">
        <v>2428</v>
      </c>
      <c r="F14" s="290">
        <v>0</v>
      </c>
      <c r="G14" s="290">
        <v>405</v>
      </c>
      <c r="H14" s="290">
        <v>137621.01</v>
      </c>
    </row>
    <row r="15" spans="1:8">
      <c r="A15" s="286">
        <v>9</v>
      </c>
      <c r="B15" s="287" t="s">
        <v>2429</v>
      </c>
      <c r="C15" s="287" t="s">
        <v>2430</v>
      </c>
      <c r="D15" s="288" t="s">
        <v>2415</v>
      </c>
      <c r="E15" s="288" t="s">
        <v>2431</v>
      </c>
      <c r="F15" s="290">
        <v>0</v>
      </c>
      <c r="G15" s="290">
        <v>1210</v>
      </c>
      <c r="H15" s="290">
        <v>138831.01</v>
      </c>
    </row>
    <row r="16" spans="1:8">
      <c r="A16" s="286">
        <v>10</v>
      </c>
      <c r="B16" s="287" t="s">
        <v>2432</v>
      </c>
      <c r="C16" s="287" t="s">
        <v>2432</v>
      </c>
      <c r="D16" s="288" t="s">
        <v>2415</v>
      </c>
      <c r="E16" s="288" t="s">
        <v>2433</v>
      </c>
      <c r="F16" s="290">
        <v>0</v>
      </c>
      <c r="G16" s="290">
        <v>2015</v>
      </c>
      <c r="H16" s="290">
        <v>140846.01</v>
      </c>
    </row>
    <row r="17" spans="1:8">
      <c r="A17" s="286">
        <v>11</v>
      </c>
      <c r="B17" s="287" t="s">
        <v>2434</v>
      </c>
      <c r="C17" s="287" t="s">
        <v>2434</v>
      </c>
      <c r="D17" s="288" t="s">
        <v>2415</v>
      </c>
      <c r="E17" s="288" t="s">
        <v>2435</v>
      </c>
      <c r="F17" s="290">
        <v>0</v>
      </c>
      <c r="G17" s="290">
        <v>1120</v>
      </c>
      <c r="H17" s="290">
        <v>141966.01</v>
      </c>
    </row>
    <row r="18" spans="1:8">
      <c r="A18" s="286">
        <v>12</v>
      </c>
      <c r="B18" s="287" t="s">
        <v>2436</v>
      </c>
      <c r="C18" s="287" t="s">
        <v>2436</v>
      </c>
      <c r="D18" s="288" t="s">
        <v>2415</v>
      </c>
      <c r="E18" s="288" t="s">
        <v>2437</v>
      </c>
      <c r="F18" s="290">
        <v>0</v>
      </c>
      <c r="G18" s="290">
        <v>264</v>
      </c>
      <c r="H18" s="290">
        <v>142230.01</v>
      </c>
    </row>
    <row r="19" spans="1:8">
      <c r="A19" s="286">
        <v>13</v>
      </c>
      <c r="B19" s="287" t="s">
        <v>2438</v>
      </c>
      <c r="C19" s="287" t="s">
        <v>2438</v>
      </c>
      <c r="D19" s="288" t="s">
        <v>2415</v>
      </c>
      <c r="E19" s="288" t="s">
        <v>2439</v>
      </c>
      <c r="F19" s="290">
        <v>0</v>
      </c>
      <c r="G19" s="290">
        <v>413.1</v>
      </c>
      <c r="H19" s="290">
        <v>142643.10999999999</v>
      </c>
    </row>
    <row r="20" spans="1:8">
      <c r="A20" s="286">
        <v>14</v>
      </c>
      <c r="B20" s="287" t="s">
        <v>2438</v>
      </c>
      <c r="C20" s="287" t="s">
        <v>2438</v>
      </c>
      <c r="D20" s="288" t="s">
        <v>2415</v>
      </c>
      <c r="E20" s="288" t="s">
        <v>2440</v>
      </c>
      <c r="F20" s="290">
        <v>0</v>
      </c>
      <c r="G20" s="290">
        <v>200</v>
      </c>
      <c r="H20" s="290">
        <v>142843.10999999999</v>
      </c>
    </row>
    <row r="21" spans="1:8">
      <c r="A21" s="286">
        <v>15</v>
      </c>
      <c r="B21" s="287" t="s">
        <v>2441</v>
      </c>
      <c r="C21" s="287" t="s">
        <v>2441</v>
      </c>
      <c r="D21" s="288" t="s">
        <v>2415</v>
      </c>
      <c r="E21" s="288" t="s">
        <v>2442</v>
      </c>
      <c r="F21" s="290">
        <v>0</v>
      </c>
      <c r="G21" s="290">
        <v>53.6</v>
      </c>
      <c r="H21" s="290">
        <v>142896.71</v>
      </c>
    </row>
    <row r="22" spans="1:8">
      <c r="A22" s="286">
        <v>16</v>
      </c>
      <c r="B22" s="287" t="s">
        <v>2443</v>
      </c>
      <c r="C22" s="287" t="s">
        <v>2443</v>
      </c>
      <c r="D22" s="288" t="s">
        <v>2415</v>
      </c>
      <c r="E22" s="288" t="s">
        <v>2444</v>
      </c>
      <c r="F22" s="290">
        <v>0</v>
      </c>
      <c r="G22" s="290">
        <v>294</v>
      </c>
      <c r="H22" s="290">
        <v>143190.71</v>
      </c>
    </row>
    <row r="23" spans="1:8">
      <c r="A23" s="286">
        <v>17</v>
      </c>
      <c r="B23" s="287" t="s">
        <v>2445</v>
      </c>
      <c r="C23" s="287" t="s">
        <v>2445</v>
      </c>
      <c r="D23" s="288" t="s">
        <v>2415</v>
      </c>
      <c r="E23" s="288" t="s">
        <v>2446</v>
      </c>
      <c r="F23" s="290">
        <v>0</v>
      </c>
      <c r="G23" s="290">
        <v>784</v>
      </c>
      <c r="H23" s="290">
        <v>143974.71</v>
      </c>
    </row>
    <row r="24" spans="1:8">
      <c r="A24" s="286">
        <v>18</v>
      </c>
      <c r="B24" s="287" t="s">
        <v>2447</v>
      </c>
      <c r="C24" s="287" t="s">
        <v>2447</v>
      </c>
      <c r="D24" s="288" t="s">
        <v>2415</v>
      </c>
      <c r="E24" s="288" t="s">
        <v>2448</v>
      </c>
      <c r="F24" s="290">
        <v>0</v>
      </c>
      <c r="G24" s="290">
        <v>180</v>
      </c>
      <c r="H24" s="290">
        <v>144154.71</v>
      </c>
    </row>
    <row r="25" spans="1:8">
      <c r="A25" s="286">
        <v>19</v>
      </c>
      <c r="B25" s="287" t="s">
        <v>2449</v>
      </c>
      <c r="C25" s="287" t="s">
        <v>2449</v>
      </c>
      <c r="D25" s="288" t="s">
        <v>2415</v>
      </c>
      <c r="E25" s="288" t="s">
        <v>2450</v>
      </c>
      <c r="F25" s="290">
        <v>0</v>
      </c>
      <c r="G25" s="290">
        <v>400</v>
      </c>
      <c r="H25" s="290">
        <v>144554.71</v>
      </c>
    </row>
    <row r="26" spans="1:8">
      <c r="A26" s="286">
        <v>20</v>
      </c>
      <c r="B26" s="287" t="s">
        <v>2451</v>
      </c>
      <c r="C26" s="287" t="s">
        <v>2451</v>
      </c>
      <c r="D26" s="288" t="s">
        <v>2415</v>
      </c>
      <c r="E26" s="288" t="s">
        <v>2452</v>
      </c>
      <c r="F26" s="290">
        <v>0</v>
      </c>
      <c r="G26" s="290">
        <v>108</v>
      </c>
      <c r="H26" s="290">
        <v>144662.71</v>
      </c>
    </row>
    <row r="27" spans="1:8">
      <c r="A27" s="286">
        <v>21</v>
      </c>
      <c r="B27" s="287" t="s">
        <v>2453</v>
      </c>
      <c r="C27" s="287" t="s">
        <v>2453</v>
      </c>
      <c r="D27" s="288" t="s">
        <v>2415</v>
      </c>
      <c r="E27" s="288" t="s">
        <v>2454</v>
      </c>
      <c r="F27" s="290">
        <v>0</v>
      </c>
      <c r="G27" s="290">
        <v>230</v>
      </c>
      <c r="H27" s="290">
        <v>144892.71</v>
      </c>
    </row>
    <row r="28" spans="1:8">
      <c r="A28" s="286">
        <v>22</v>
      </c>
      <c r="B28" s="287" t="s">
        <v>2455</v>
      </c>
      <c r="C28" s="287" t="s">
        <v>2455</v>
      </c>
      <c r="D28" s="288" t="s">
        <v>2415</v>
      </c>
      <c r="E28" s="288" t="s">
        <v>2456</v>
      </c>
      <c r="F28" s="290">
        <v>0</v>
      </c>
      <c r="G28" s="290">
        <v>440</v>
      </c>
      <c r="H28" s="290">
        <v>145332.71</v>
      </c>
    </row>
    <row r="29" spans="1:8">
      <c r="A29" s="286">
        <v>23</v>
      </c>
      <c r="B29" s="287" t="s">
        <v>2457</v>
      </c>
      <c r="C29" s="287" t="s">
        <v>2457</v>
      </c>
      <c r="D29" s="288" t="s">
        <v>2415</v>
      </c>
      <c r="E29" s="288" t="s">
        <v>2458</v>
      </c>
      <c r="F29" s="290">
        <v>0</v>
      </c>
      <c r="G29" s="290">
        <v>29340</v>
      </c>
      <c r="H29" s="290">
        <v>174672.71</v>
      </c>
    </row>
    <row r="30" spans="1:8">
      <c r="A30" s="286">
        <v>24</v>
      </c>
      <c r="B30" s="287" t="s">
        <v>2459</v>
      </c>
      <c r="C30" s="287" t="s">
        <v>2459</v>
      </c>
      <c r="D30" s="288" t="s">
        <v>2415</v>
      </c>
      <c r="E30" s="288" t="s">
        <v>2460</v>
      </c>
      <c r="F30" s="290">
        <v>0</v>
      </c>
      <c r="G30" s="290">
        <v>82.5</v>
      </c>
      <c r="H30" s="290">
        <v>174755.21</v>
      </c>
    </row>
    <row r="31" spans="1:8">
      <c r="A31" s="286">
        <v>25</v>
      </c>
      <c r="B31" s="287" t="s">
        <v>2461</v>
      </c>
      <c r="C31" s="287" t="s">
        <v>2461</v>
      </c>
      <c r="D31" s="288" t="s">
        <v>2415</v>
      </c>
      <c r="E31" s="288" t="s">
        <v>2462</v>
      </c>
      <c r="F31" s="290">
        <v>17.7</v>
      </c>
      <c r="G31" s="290">
        <v>0</v>
      </c>
      <c r="H31" s="290">
        <v>174737.51</v>
      </c>
    </row>
    <row r="32" spans="1:8">
      <c r="A32" s="286">
        <v>26</v>
      </c>
      <c r="B32" s="287" t="s">
        <v>2463</v>
      </c>
      <c r="C32" s="287" t="s">
        <v>2463</v>
      </c>
      <c r="D32" s="288" t="s">
        <v>2415</v>
      </c>
      <c r="E32" s="288" t="s">
        <v>2464</v>
      </c>
      <c r="F32" s="290">
        <v>101559.82</v>
      </c>
      <c r="G32" s="290">
        <v>0</v>
      </c>
      <c r="H32" s="290">
        <v>73177.69</v>
      </c>
    </row>
    <row r="33" spans="1:8">
      <c r="A33" s="286">
        <v>27</v>
      </c>
      <c r="B33" s="287" t="s">
        <v>2465</v>
      </c>
      <c r="C33" s="287" t="s">
        <v>2466</v>
      </c>
      <c r="D33" s="288" t="s">
        <v>2415</v>
      </c>
      <c r="E33" s="288" t="s">
        <v>2467</v>
      </c>
      <c r="F33" s="290">
        <v>0</v>
      </c>
      <c r="G33" s="290">
        <v>1279</v>
      </c>
      <c r="H33" s="290">
        <v>74456.69</v>
      </c>
    </row>
    <row r="34" spans="1:8">
      <c r="A34" s="286">
        <v>28</v>
      </c>
      <c r="B34" s="287" t="s">
        <v>2468</v>
      </c>
      <c r="C34" s="287" t="s">
        <v>2468</v>
      </c>
      <c r="D34" s="288" t="s">
        <v>2415</v>
      </c>
      <c r="E34" s="288" t="s">
        <v>2469</v>
      </c>
      <c r="F34" s="290">
        <v>0</v>
      </c>
      <c r="G34" s="290">
        <v>200000</v>
      </c>
      <c r="H34" s="290">
        <v>274456.69</v>
      </c>
    </row>
    <row r="35" spans="1:8">
      <c r="A35" s="286">
        <v>29</v>
      </c>
      <c r="B35" s="287" t="s">
        <v>2468</v>
      </c>
      <c r="C35" s="287" t="s">
        <v>2468</v>
      </c>
      <c r="D35" s="288" t="s">
        <v>2415</v>
      </c>
      <c r="E35" s="288" t="s">
        <v>2470</v>
      </c>
      <c r="F35" s="290">
        <v>0</v>
      </c>
      <c r="G35" s="290">
        <v>153</v>
      </c>
      <c r="H35" s="290">
        <v>274609.69</v>
      </c>
    </row>
    <row r="36" spans="1:8">
      <c r="A36" s="286">
        <v>30</v>
      </c>
      <c r="B36" s="287" t="s">
        <v>2471</v>
      </c>
      <c r="C36" s="287" t="s">
        <v>2471</v>
      </c>
      <c r="D36" s="288" t="s">
        <v>2415</v>
      </c>
      <c r="E36" s="288" t="s">
        <v>2472</v>
      </c>
      <c r="F36" s="290">
        <v>0</v>
      </c>
      <c r="G36" s="290">
        <v>264</v>
      </c>
      <c r="H36" s="290">
        <v>274873.69</v>
      </c>
    </row>
    <row r="37" spans="1:8">
      <c r="A37" s="286">
        <v>31</v>
      </c>
      <c r="B37" s="287" t="s">
        <v>2473</v>
      </c>
      <c r="C37" s="287" t="s">
        <v>2473</v>
      </c>
      <c r="D37" s="288" t="s">
        <v>2415</v>
      </c>
      <c r="E37" s="288" t="s">
        <v>2474</v>
      </c>
      <c r="F37" s="290">
        <v>0</v>
      </c>
      <c r="G37" s="290">
        <v>6</v>
      </c>
      <c r="H37" s="290">
        <v>274879.69</v>
      </c>
    </row>
    <row r="38" spans="1:8">
      <c r="A38" s="286">
        <v>32</v>
      </c>
      <c r="B38" s="287" t="s">
        <v>2475</v>
      </c>
      <c r="C38" s="287" t="s">
        <v>2475</v>
      </c>
      <c r="D38" s="288" t="s">
        <v>2415</v>
      </c>
      <c r="E38" s="288" t="s">
        <v>2476</v>
      </c>
      <c r="F38" s="290">
        <v>0</v>
      </c>
      <c r="G38" s="290">
        <v>550</v>
      </c>
      <c r="H38" s="290">
        <v>275429.69</v>
      </c>
    </row>
    <row r="39" spans="1:8">
      <c r="A39" s="286">
        <v>33</v>
      </c>
      <c r="B39" s="287" t="s">
        <v>2477</v>
      </c>
      <c r="C39" s="287" t="s">
        <v>2477</v>
      </c>
      <c r="D39" s="288" t="s">
        <v>2415</v>
      </c>
      <c r="E39" s="288" t="s">
        <v>2478</v>
      </c>
      <c r="F39" s="290">
        <v>17.7</v>
      </c>
      <c r="G39" s="290">
        <v>0</v>
      </c>
      <c r="H39" s="290">
        <v>275411.99</v>
      </c>
    </row>
    <row r="40" spans="1:8">
      <c r="A40" s="286">
        <v>34</v>
      </c>
      <c r="B40" s="287" t="s">
        <v>2479</v>
      </c>
      <c r="C40" s="287" t="s">
        <v>2480</v>
      </c>
      <c r="D40" s="288" t="s">
        <v>2415</v>
      </c>
      <c r="E40" s="288" t="s">
        <v>2481</v>
      </c>
      <c r="F40" s="290">
        <v>0</v>
      </c>
      <c r="G40" s="290">
        <v>2241</v>
      </c>
      <c r="H40" s="290">
        <v>277652.99</v>
      </c>
    </row>
    <row r="41" spans="1:8">
      <c r="A41" s="286">
        <v>35</v>
      </c>
      <c r="B41" s="287" t="s">
        <v>2482</v>
      </c>
      <c r="C41" s="287" t="s">
        <v>2482</v>
      </c>
      <c r="D41" s="288" t="s">
        <v>2415</v>
      </c>
      <c r="E41" s="288" t="s">
        <v>2483</v>
      </c>
      <c r="F41" s="290">
        <v>0</v>
      </c>
      <c r="G41" s="290">
        <v>264</v>
      </c>
      <c r="H41" s="290">
        <v>277916.99</v>
      </c>
    </row>
    <row r="42" spans="1:8">
      <c r="A42" s="286">
        <v>36</v>
      </c>
      <c r="B42" s="287" t="s">
        <v>2484</v>
      </c>
      <c r="C42" s="287" t="s">
        <v>2484</v>
      </c>
      <c r="D42" s="288" t="s">
        <v>2415</v>
      </c>
      <c r="E42" s="288" t="s">
        <v>2485</v>
      </c>
      <c r="F42" s="290">
        <v>0</v>
      </c>
      <c r="G42" s="290">
        <v>120</v>
      </c>
      <c r="H42" s="290">
        <v>278036.99</v>
      </c>
    </row>
    <row r="43" spans="1:8">
      <c r="A43" s="286">
        <v>37</v>
      </c>
      <c r="B43" s="287" t="s">
        <v>2486</v>
      </c>
      <c r="C43" s="287" t="s">
        <v>2486</v>
      </c>
      <c r="D43" s="288" t="s">
        <v>2415</v>
      </c>
      <c r="E43" s="288" t="s">
        <v>2487</v>
      </c>
      <c r="F43" s="290">
        <v>0</v>
      </c>
      <c r="G43" s="290">
        <v>6</v>
      </c>
      <c r="H43" s="290">
        <v>278042.99</v>
      </c>
    </row>
    <row r="44" spans="1:8">
      <c r="A44" s="286">
        <v>38</v>
      </c>
      <c r="B44" s="287" t="s">
        <v>2488</v>
      </c>
      <c r="C44" s="287" t="s">
        <v>2488</v>
      </c>
      <c r="D44" s="288" t="s">
        <v>2415</v>
      </c>
      <c r="E44" s="288" t="s">
        <v>2489</v>
      </c>
      <c r="F44" s="290">
        <v>0</v>
      </c>
      <c r="G44" s="290">
        <v>550</v>
      </c>
      <c r="H44" s="290">
        <v>278592.99</v>
      </c>
    </row>
    <row r="45" spans="1:8">
      <c r="A45" s="286">
        <v>39</v>
      </c>
      <c r="B45" s="287" t="s">
        <v>2490</v>
      </c>
      <c r="C45" s="287" t="s">
        <v>2490</v>
      </c>
      <c r="D45" s="288" t="s">
        <v>2415</v>
      </c>
      <c r="E45" s="288" t="s">
        <v>2491</v>
      </c>
      <c r="F45" s="290">
        <v>17.7</v>
      </c>
      <c r="G45" s="290">
        <v>0</v>
      </c>
      <c r="H45" s="290">
        <v>278575.28999999998</v>
      </c>
    </row>
    <row r="46" spans="1:8">
      <c r="A46" s="286">
        <v>40</v>
      </c>
      <c r="B46" s="287" t="s">
        <v>2492</v>
      </c>
      <c r="C46" s="287" t="s">
        <v>2492</v>
      </c>
      <c r="D46" s="288" t="s">
        <v>2415</v>
      </c>
      <c r="E46" s="288" t="s">
        <v>2493</v>
      </c>
      <c r="F46" s="290">
        <v>826</v>
      </c>
      <c r="G46" s="290">
        <v>0</v>
      </c>
      <c r="H46" s="290">
        <v>277749.28999999998</v>
      </c>
    </row>
    <row r="47" spans="1:8">
      <c r="A47" s="286">
        <v>41</v>
      </c>
      <c r="B47" s="287" t="s">
        <v>2494</v>
      </c>
      <c r="C47" s="287" t="s">
        <v>2495</v>
      </c>
      <c r="D47" s="288" t="s">
        <v>2415</v>
      </c>
      <c r="E47" s="288" t="s">
        <v>2496</v>
      </c>
      <c r="F47" s="290">
        <v>0</v>
      </c>
      <c r="G47" s="290">
        <v>2399</v>
      </c>
      <c r="H47" s="290">
        <v>280148.28999999998</v>
      </c>
    </row>
    <row r="48" spans="1:8">
      <c r="A48" s="286">
        <v>42</v>
      </c>
      <c r="B48" s="287" t="s">
        <v>2497</v>
      </c>
      <c r="C48" s="287" t="s">
        <v>2497</v>
      </c>
      <c r="D48" s="288" t="s">
        <v>2415</v>
      </c>
      <c r="E48" s="288" t="s">
        <v>2498</v>
      </c>
      <c r="F48" s="290">
        <v>0</v>
      </c>
      <c r="G48" s="290">
        <v>109.97</v>
      </c>
      <c r="H48" s="290">
        <v>280258.26</v>
      </c>
    </row>
    <row r="51" spans="1:8">
      <c r="A51" s="472" t="s">
        <v>2499</v>
      </c>
      <c r="B51" s="473"/>
      <c r="C51" s="472" t="s">
        <v>2500</v>
      </c>
      <c r="D51" s="473"/>
      <c r="E51" s="473"/>
      <c r="F51" s="473"/>
      <c r="G51" s="473"/>
      <c r="H51" s="473"/>
    </row>
    <row r="52" spans="1:8">
      <c r="A52" s="472" t="s">
        <v>2501</v>
      </c>
      <c r="B52" s="473"/>
      <c r="C52" s="292" t="s">
        <v>2502</v>
      </c>
      <c r="D52" s="292" t="s">
        <v>2503</v>
      </c>
      <c r="E52" s="472" t="s">
        <v>2504</v>
      </c>
      <c r="F52" s="473"/>
      <c r="G52" s="473"/>
      <c r="H52" s="473"/>
    </row>
    <row r="53" spans="1:8">
      <c r="A53" s="472" t="s">
        <v>2505</v>
      </c>
      <c r="B53" s="473"/>
      <c r="C53" s="474" t="s">
        <v>2506</v>
      </c>
      <c r="D53" s="473"/>
      <c r="E53" s="473"/>
      <c r="F53" s="473"/>
      <c r="G53" s="473"/>
      <c r="H53" s="473"/>
    </row>
    <row r="54" spans="1:8">
      <c r="A54" s="476" t="s">
        <v>2507</v>
      </c>
      <c r="B54" s="473"/>
      <c r="C54" s="473"/>
      <c r="D54" s="473"/>
      <c r="E54" s="473"/>
      <c r="F54" s="473"/>
      <c r="G54" s="473"/>
      <c r="H54" s="473"/>
    </row>
    <row r="55" spans="1:8">
      <c r="A55" s="472" t="s">
        <v>2508</v>
      </c>
      <c r="B55" s="473"/>
      <c r="C55" s="292" t="s">
        <v>2509</v>
      </c>
      <c r="D55" s="292" t="s">
        <v>2503</v>
      </c>
      <c r="E55" s="472" t="s">
        <v>2509</v>
      </c>
      <c r="F55" s="473"/>
      <c r="G55" s="473"/>
      <c r="H55" s="473"/>
    </row>
    <row r="56" spans="1:8">
      <c r="A56" s="472" t="s">
        <v>2510</v>
      </c>
      <c r="B56" s="473"/>
      <c r="C56" s="293" t="s">
        <v>2509</v>
      </c>
      <c r="D56" s="292" t="s">
        <v>2503</v>
      </c>
      <c r="E56" s="474" t="s">
        <v>2509</v>
      </c>
      <c r="F56" s="473"/>
      <c r="G56" s="473"/>
      <c r="H56" s="473"/>
    </row>
    <row r="57" spans="1:8">
      <c r="A57" s="472" t="s">
        <v>2511</v>
      </c>
      <c r="B57" s="473"/>
      <c r="C57" s="474" t="s">
        <v>2509</v>
      </c>
      <c r="D57" s="473"/>
      <c r="E57" s="473"/>
      <c r="F57" s="473"/>
      <c r="G57" s="473"/>
      <c r="H57" s="473"/>
    </row>
    <row r="58" spans="1:8">
      <c r="A58" s="472" t="s">
        <v>2512</v>
      </c>
      <c r="B58" s="473"/>
      <c r="C58" s="474" t="s">
        <v>2513</v>
      </c>
      <c r="D58" s="473"/>
      <c r="E58" s="473"/>
      <c r="F58" s="473"/>
      <c r="G58" s="473"/>
      <c r="H58" s="473"/>
    </row>
    <row r="59" spans="1:8">
      <c r="A59" s="475" t="s">
        <v>2514</v>
      </c>
      <c r="B59" s="473"/>
      <c r="C59" s="473"/>
      <c r="D59" s="473"/>
      <c r="E59" s="473"/>
      <c r="F59" s="473"/>
      <c r="G59" s="473"/>
      <c r="H59" s="473"/>
    </row>
    <row r="63" spans="1:8">
      <c r="A63" s="476" t="s">
        <v>2515</v>
      </c>
      <c r="B63" s="473"/>
      <c r="C63" s="473"/>
      <c r="D63" s="473"/>
      <c r="E63" s="473"/>
      <c r="F63" s="473"/>
      <c r="G63" s="473"/>
      <c r="H63" s="473"/>
    </row>
    <row r="64" spans="1:8">
      <c r="A64" s="472" t="s">
        <v>2516</v>
      </c>
      <c r="B64" s="473"/>
      <c r="C64" s="473"/>
      <c r="D64" s="473"/>
      <c r="E64" s="473"/>
      <c r="F64" s="473"/>
      <c r="G64" s="473"/>
      <c r="H64" s="473"/>
    </row>
    <row r="65" spans="1:8">
      <c r="A65" s="472" t="s">
        <v>2517</v>
      </c>
      <c r="B65" s="473"/>
      <c r="C65" s="473"/>
      <c r="D65" s="473"/>
      <c r="E65" s="473"/>
      <c r="F65" s="473"/>
      <c r="G65" s="473"/>
      <c r="H65" s="473"/>
    </row>
    <row r="66" spans="1:8">
      <c r="A66" s="472" t="s">
        <v>2518</v>
      </c>
      <c r="B66" s="473"/>
      <c r="C66" s="473"/>
      <c r="D66" s="473"/>
      <c r="E66" s="473"/>
      <c r="F66" s="473"/>
      <c r="G66" s="473"/>
      <c r="H66" s="473"/>
    </row>
    <row r="67" spans="1:8">
      <c r="A67" s="472" t="s">
        <v>2519</v>
      </c>
      <c r="B67" s="473"/>
      <c r="C67" s="473"/>
      <c r="D67" s="473"/>
      <c r="E67" s="473"/>
      <c r="F67" s="473"/>
      <c r="G67" s="473"/>
      <c r="H67" s="473"/>
    </row>
    <row r="68" spans="1:8">
      <c r="A68" s="472" t="s">
        <v>2520</v>
      </c>
      <c r="B68" s="473"/>
      <c r="C68" s="473"/>
      <c r="D68" s="473"/>
      <c r="E68" s="473"/>
      <c r="F68" s="473"/>
      <c r="G68" s="473"/>
      <c r="H68" s="473"/>
    </row>
    <row r="69" spans="1:8">
      <c r="A69" s="472" t="s">
        <v>2521</v>
      </c>
      <c r="B69" s="473"/>
      <c r="C69" s="473"/>
      <c r="D69" s="473"/>
      <c r="E69" s="473"/>
      <c r="F69" s="473"/>
      <c r="G69" s="473"/>
      <c r="H69" s="473"/>
    </row>
    <row r="70" spans="1:8">
      <c r="A70" s="472" t="s">
        <v>2522</v>
      </c>
      <c r="B70" s="473"/>
      <c r="C70" s="473"/>
      <c r="D70" s="473"/>
      <c r="E70" s="473"/>
      <c r="F70" s="473"/>
      <c r="G70" s="473"/>
      <c r="H70" s="473"/>
    </row>
    <row r="71" spans="1:8">
      <c r="A71" s="472" t="s">
        <v>2523</v>
      </c>
      <c r="B71" s="473"/>
      <c r="C71" s="473"/>
      <c r="D71" s="473"/>
      <c r="E71" s="473"/>
      <c r="F71" s="473"/>
      <c r="G71" s="473"/>
      <c r="H71" s="473"/>
    </row>
    <row r="72" spans="1:8">
      <c r="A72" s="472" t="s">
        <v>2524</v>
      </c>
      <c r="B72" s="473"/>
      <c r="C72" s="473"/>
      <c r="D72" s="473"/>
      <c r="E72" s="473"/>
      <c r="F72" s="473"/>
      <c r="G72" s="473"/>
      <c r="H72" s="473"/>
    </row>
    <row r="73" spans="1:8">
      <c r="A73" s="472" t="s">
        <v>2525</v>
      </c>
      <c r="B73" s="473"/>
      <c r="C73" s="473"/>
      <c r="D73" s="473"/>
      <c r="E73" s="473"/>
      <c r="F73" s="473"/>
      <c r="G73" s="473"/>
      <c r="H73" s="473"/>
    </row>
    <row r="74" spans="1:8">
      <c r="A74" s="472" t="s">
        <v>2526</v>
      </c>
      <c r="B74" s="473"/>
      <c r="C74" s="473"/>
      <c r="D74" s="473"/>
      <c r="E74" s="473"/>
      <c r="F74" s="473"/>
      <c r="G74" s="473"/>
      <c r="H74" s="473"/>
    </row>
    <row r="75" spans="1:8">
      <c r="A75" s="472" t="s">
        <v>2527</v>
      </c>
      <c r="B75" s="473"/>
      <c r="C75" s="473"/>
      <c r="D75" s="473"/>
      <c r="E75" s="473"/>
      <c r="F75" s="473"/>
      <c r="G75" s="473"/>
      <c r="H75" s="473"/>
    </row>
    <row r="76" spans="1:8">
      <c r="A76" s="472" t="s">
        <v>2528</v>
      </c>
      <c r="B76" s="473"/>
      <c r="C76" s="473"/>
      <c r="D76" s="473"/>
      <c r="E76" s="473"/>
      <c r="F76" s="473"/>
      <c r="G76" s="473"/>
      <c r="H76" s="473"/>
    </row>
    <row r="77" spans="1:8">
      <c r="A77" s="472" t="s">
        <v>2529</v>
      </c>
      <c r="B77" s="473"/>
      <c r="C77" s="473"/>
      <c r="D77" s="473"/>
      <c r="E77" s="473"/>
      <c r="F77" s="473"/>
      <c r="G77" s="473"/>
      <c r="H77" s="473"/>
    </row>
    <row r="78" spans="1:8">
      <c r="A78" s="472" t="s">
        <v>2530</v>
      </c>
      <c r="B78" s="473"/>
      <c r="C78" s="473"/>
      <c r="D78" s="473"/>
      <c r="E78" s="473"/>
      <c r="F78" s="473"/>
      <c r="G78" s="473"/>
      <c r="H78" s="473"/>
    </row>
    <row r="79" spans="1:8">
      <c r="A79" s="472" t="s">
        <v>2531</v>
      </c>
      <c r="B79" s="473"/>
      <c r="C79" s="473"/>
      <c r="D79" s="473"/>
      <c r="E79" s="473"/>
      <c r="F79" s="473"/>
      <c r="G79" s="473"/>
      <c r="H79" s="473"/>
    </row>
    <row r="80" spans="1:8">
      <c r="A80" s="472" t="s">
        <v>2532</v>
      </c>
      <c r="B80" s="473"/>
      <c r="C80" s="473"/>
      <c r="D80" s="473"/>
      <c r="E80" s="473"/>
      <c r="F80" s="473"/>
      <c r="G80" s="473"/>
      <c r="H80" s="473"/>
    </row>
    <row r="81" spans="1:8">
      <c r="A81" s="472" t="s">
        <v>2533</v>
      </c>
      <c r="B81" s="473"/>
      <c r="C81" s="473"/>
      <c r="D81" s="473"/>
      <c r="E81" s="473"/>
      <c r="F81" s="473"/>
      <c r="G81" s="473"/>
      <c r="H81" s="473"/>
    </row>
    <row r="82" spans="1:8">
      <c r="A82" s="472" t="s">
        <v>2534</v>
      </c>
      <c r="B82" s="473"/>
      <c r="C82" s="473"/>
      <c r="D82" s="473"/>
      <c r="E82" s="473"/>
      <c r="F82" s="473"/>
      <c r="G82" s="473"/>
      <c r="H82" s="473"/>
    </row>
    <row r="83" spans="1:8">
      <c r="A83" s="472" t="s">
        <v>2535</v>
      </c>
      <c r="B83" s="473"/>
      <c r="C83" s="473"/>
      <c r="D83" s="473"/>
      <c r="E83" s="473"/>
      <c r="F83" s="473"/>
      <c r="G83" s="473"/>
      <c r="H83" s="473"/>
    </row>
    <row r="84" spans="1:8">
      <c r="A84" s="472" t="s">
        <v>2536</v>
      </c>
      <c r="B84" s="473"/>
      <c r="C84" s="473"/>
      <c r="D84" s="473"/>
      <c r="E84" s="473"/>
      <c r="F84" s="473"/>
      <c r="G84" s="473"/>
      <c r="H84" s="473"/>
    </row>
    <row r="85" spans="1:8">
      <c r="A85" s="472" t="s">
        <v>2537</v>
      </c>
      <c r="B85" s="473"/>
      <c r="C85" s="473"/>
      <c r="D85" s="473"/>
      <c r="E85" s="473"/>
      <c r="F85" s="473"/>
      <c r="G85" s="473"/>
      <c r="H85" s="473"/>
    </row>
    <row r="86" spans="1:8">
      <c r="A86" s="472" t="s">
        <v>2538</v>
      </c>
      <c r="B86" s="473"/>
      <c r="C86" s="473"/>
      <c r="D86" s="473"/>
      <c r="E86" s="473"/>
      <c r="F86" s="473"/>
      <c r="G86" s="473"/>
      <c r="H86" s="473"/>
    </row>
    <row r="87" spans="1:8">
      <c r="A87" s="472" t="s">
        <v>2539</v>
      </c>
      <c r="B87" s="473"/>
      <c r="C87" s="473"/>
      <c r="D87" s="473"/>
      <c r="E87" s="473"/>
      <c r="F87" s="473"/>
      <c r="G87" s="473"/>
      <c r="H87" s="473"/>
    </row>
    <row r="88" spans="1:8">
      <c r="A88" s="472" t="s">
        <v>2540</v>
      </c>
      <c r="B88" s="473"/>
      <c r="C88" s="473"/>
      <c r="D88" s="473"/>
      <c r="E88" s="473"/>
      <c r="F88" s="473"/>
      <c r="G88" s="473"/>
      <c r="H88" s="473"/>
    </row>
    <row r="89" spans="1:8">
      <c r="A89" s="472" t="s">
        <v>2541</v>
      </c>
      <c r="B89" s="473"/>
      <c r="C89" s="473"/>
      <c r="D89" s="473"/>
      <c r="E89" s="473"/>
      <c r="F89" s="473"/>
      <c r="G89" s="473"/>
      <c r="H89" s="473"/>
    </row>
    <row r="90" spans="1:8">
      <c r="A90" s="472" t="s">
        <v>2542</v>
      </c>
      <c r="B90" s="473"/>
      <c r="C90" s="473"/>
      <c r="D90" s="473"/>
      <c r="E90" s="473"/>
      <c r="F90" s="473"/>
      <c r="G90" s="473"/>
      <c r="H90" s="473"/>
    </row>
  </sheetData>
  <autoFilter ref="A6:H48" xr:uid="{09373C99-48DD-407B-8BC2-554596DD584D}">
    <sortState xmlns:xlrd2="http://schemas.microsoft.com/office/spreadsheetml/2017/richdata2" ref="A7:H48">
      <sortCondition ref="A9"/>
    </sortState>
  </autoFilter>
  <mergeCells count="44">
    <mergeCell ref="A69:H69"/>
    <mergeCell ref="A63:H63"/>
    <mergeCell ref="A64:H64"/>
    <mergeCell ref="A65:H65"/>
    <mergeCell ref="A66:H66"/>
    <mergeCell ref="A67:H67"/>
    <mergeCell ref="A68:H68"/>
    <mergeCell ref="A81:H81"/>
    <mergeCell ref="A70:H70"/>
    <mergeCell ref="A71:H71"/>
    <mergeCell ref="A72:H72"/>
    <mergeCell ref="A73:H73"/>
    <mergeCell ref="A74:H74"/>
    <mergeCell ref="A75:H75"/>
    <mergeCell ref="A76:H76"/>
    <mergeCell ref="A77:H77"/>
    <mergeCell ref="A78:H78"/>
    <mergeCell ref="A79:H79"/>
    <mergeCell ref="A80:H80"/>
    <mergeCell ref="A88:H88"/>
    <mergeCell ref="A89:H89"/>
    <mergeCell ref="A90:H90"/>
    <mergeCell ref="A82:H82"/>
    <mergeCell ref="A83:H83"/>
    <mergeCell ref="A84:H84"/>
    <mergeCell ref="A85:H85"/>
    <mergeCell ref="A86:H86"/>
    <mergeCell ref="A87:H87"/>
    <mergeCell ref="A56:B56"/>
    <mergeCell ref="E56:H56"/>
    <mergeCell ref="A51:B51"/>
    <mergeCell ref="C51:H51"/>
    <mergeCell ref="A52:B52"/>
    <mergeCell ref="E52:H52"/>
    <mergeCell ref="A53:B53"/>
    <mergeCell ref="C53:H53"/>
    <mergeCell ref="A54:H54"/>
    <mergeCell ref="A55:B55"/>
    <mergeCell ref="E55:H55"/>
    <mergeCell ref="A57:B57"/>
    <mergeCell ref="C57:H57"/>
    <mergeCell ref="A58:B58"/>
    <mergeCell ref="C58:H58"/>
    <mergeCell ref="A59:H59"/>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1BC8-D2CE-477E-95E6-587228807959}">
  <dimension ref="A1:C94"/>
  <sheetViews>
    <sheetView zoomScale="85" zoomScaleNormal="85" workbookViewId="0"/>
  </sheetViews>
  <sheetFormatPr defaultRowHeight="12.75"/>
  <cols>
    <col min="1" max="1" width="48.5703125" style="1" bestFit="1" customWidth="1"/>
    <col min="2" max="2" width="21" style="1" customWidth="1"/>
    <col min="3" max="3" width="12" style="60" bestFit="1" customWidth="1"/>
    <col min="4" max="16384" width="9.140625" style="1"/>
  </cols>
  <sheetData>
    <row r="1" spans="1:3" ht="13.5" thickBot="1">
      <c r="A1" s="123" t="s">
        <v>4092</v>
      </c>
    </row>
    <row r="2" spans="1:3" ht="13.5" thickBot="1">
      <c r="A2" s="430" t="s">
        <v>3665</v>
      </c>
      <c r="B2" s="430" t="s">
        <v>1760</v>
      </c>
      <c r="C2" s="537" t="s">
        <v>1571</v>
      </c>
    </row>
    <row r="3" spans="1:3">
      <c r="A3" s="538" t="s">
        <v>1555</v>
      </c>
      <c r="B3" s="539"/>
      <c r="C3" s="540">
        <v>11.32010582010582</v>
      </c>
    </row>
    <row r="4" spans="1:3">
      <c r="A4" s="541" t="s">
        <v>3531</v>
      </c>
      <c r="B4" s="11"/>
      <c r="C4" s="542">
        <v>85</v>
      </c>
    </row>
    <row r="5" spans="1:3">
      <c r="A5" s="541" t="s">
        <v>2609</v>
      </c>
      <c r="B5" s="11"/>
      <c r="C5" s="542">
        <v>12.276800092017483</v>
      </c>
    </row>
    <row r="6" spans="1:3">
      <c r="A6" s="541" t="s">
        <v>2613</v>
      </c>
      <c r="B6" s="11"/>
      <c r="C6" s="542">
        <v>23.708772246272247</v>
      </c>
    </row>
    <row r="7" spans="1:3">
      <c r="A7" s="541" t="s">
        <v>3845</v>
      </c>
      <c r="B7" s="11"/>
      <c r="C7" s="542">
        <v>10</v>
      </c>
    </row>
    <row r="8" spans="1:3">
      <c r="A8" s="541" t="s">
        <v>2127</v>
      </c>
      <c r="B8" s="11" t="s">
        <v>2094</v>
      </c>
      <c r="C8" s="542">
        <v>12.133886483886485</v>
      </c>
    </row>
    <row r="9" spans="1:3">
      <c r="A9" s="541" t="s">
        <v>2127</v>
      </c>
      <c r="B9" s="11" t="s">
        <v>2095</v>
      </c>
      <c r="C9" s="542">
        <v>12.360014348025711</v>
      </c>
    </row>
    <row r="10" spans="1:3">
      <c r="A10" s="541" t="s">
        <v>2127</v>
      </c>
      <c r="B10" s="11" t="s">
        <v>2093</v>
      </c>
      <c r="C10" s="542">
        <v>13.077477152477153</v>
      </c>
    </row>
    <row r="11" spans="1:3">
      <c r="A11" s="541" t="s">
        <v>3838</v>
      </c>
      <c r="B11" s="11"/>
      <c r="C11" s="542">
        <v>32.130687830687833</v>
      </c>
    </row>
    <row r="12" spans="1:3">
      <c r="A12" s="543" t="s">
        <v>3668</v>
      </c>
      <c r="B12" s="11"/>
      <c r="C12" s="542">
        <v>47.956613756613748</v>
      </c>
    </row>
    <row r="13" spans="1:3">
      <c r="A13" s="541" t="s">
        <v>2390</v>
      </c>
      <c r="B13" s="11"/>
      <c r="C13" s="542">
        <v>35.429478458049886</v>
      </c>
    </row>
    <row r="14" spans="1:3">
      <c r="A14" s="541" t="s">
        <v>3568</v>
      </c>
      <c r="B14" s="11"/>
      <c r="C14" s="542">
        <v>40.328023431594858</v>
      </c>
    </row>
    <row r="15" spans="1:3">
      <c r="A15" s="541" t="s">
        <v>2060</v>
      </c>
      <c r="B15" s="11"/>
      <c r="C15" s="542">
        <v>16.528327228327228</v>
      </c>
    </row>
    <row r="16" spans="1:3">
      <c r="A16" s="541" t="s">
        <v>2032</v>
      </c>
      <c r="B16" s="11"/>
      <c r="C16" s="542">
        <v>27.618121693121694</v>
      </c>
    </row>
    <row r="17" spans="1:3">
      <c r="A17" s="541" t="s">
        <v>3831</v>
      </c>
      <c r="B17" s="11"/>
      <c r="C17" s="542">
        <v>7.0962962962962965</v>
      </c>
    </row>
    <row r="18" spans="1:3">
      <c r="A18" s="541" t="s">
        <v>2233</v>
      </c>
      <c r="B18" s="11"/>
      <c r="C18" s="542">
        <v>12.498789346246973</v>
      </c>
    </row>
    <row r="19" spans="1:3">
      <c r="A19" s="541" t="s">
        <v>2233</v>
      </c>
      <c r="B19" s="11"/>
      <c r="C19" s="542">
        <v>9.7142857142857135</v>
      </c>
    </row>
    <row r="20" spans="1:3">
      <c r="A20" s="541" t="s">
        <v>3630</v>
      </c>
      <c r="B20" s="11"/>
      <c r="C20" s="542">
        <v>22.526190476190475</v>
      </c>
    </row>
    <row r="21" spans="1:3">
      <c r="A21" s="541" t="s">
        <v>2628</v>
      </c>
      <c r="B21" s="11"/>
      <c r="C21" s="542">
        <v>29.904761904761905</v>
      </c>
    </row>
    <row r="22" spans="1:3">
      <c r="A22" s="541" t="s">
        <v>3833</v>
      </c>
      <c r="B22" s="11"/>
      <c r="C22" s="542">
        <v>8</v>
      </c>
    </row>
    <row r="23" spans="1:3">
      <c r="A23" s="541" t="s">
        <v>2099</v>
      </c>
      <c r="B23" s="11" t="s">
        <v>2094</v>
      </c>
      <c r="C23" s="542">
        <v>6.9520273707773708</v>
      </c>
    </row>
    <row r="24" spans="1:3">
      <c r="A24" s="541" t="s">
        <v>2099</v>
      </c>
      <c r="B24" s="11" t="s">
        <v>2095</v>
      </c>
      <c r="C24" s="542">
        <v>7.6290394790394789</v>
      </c>
    </row>
    <row r="25" spans="1:3">
      <c r="A25" s="541" t="s">
        <v>2099</v>
      </c>
      <c r="B25" s="11" t="s">
        <v>2093</v>
      </c>
      <c r="C25" s="542">
        <v>8.4171092796092779</v>
      </c>
    </row>
    <row r="26" spans="1:3">
      <c r="A26" s="541" t="s">
        <v>3820</v>
      </c>
      <c r="B26" s="11"/>
      <c r="C26" s="542">
        <v>20</v>
      </c>
    </row>
    <row r="27" spans="1:3">
      <c r="A27" s="541" t="s">
        <v>2360</v>
      </c>
      <c r="B27" s="11"/>
      <c r="C27" s="542">
        <v>7.2222222222222214</v>
      </c>
    </row>
    <row r="28" spans="1:3">
      <c r="A28" s="541" t="s">
        <v>3822</v>
      </c>
      <c r="B28" s="11"/>
      <c r="C28" s="542">
        <v>18</v>
      </c>
    </row>
    <row r="29" spans="1:3">
      <c r="A29" s="541" t="s">
        <v>1614</v>
      </c>
      <c r="B29" s="11"/>
      <c r="C29" s="542">
        <v>15.539682539682538</v>
      </c>
    </row>
    <row r="30" spans="1:3">
      <c r="A30" s="541" t="s">
        <v>2554</v>
      </c>
      <c r="B30" s="11"/>
      <c r="C30" s="542">
        <v>37.935449735449737</v>
      </c>
    </row>
    <row r="31" spans="1:3">
      <c r="A31" s="541" t="s">
        <v>2367</v>
      </c>
      <c r="B31" s="11"/>
      <c r="C31" s="542">
        <v>9.2400793650793656</v>
      </c>
    </row>
    <row r="32" spans="1:3">
      <c r="A32" s="541" t="s">
        <v>2128</v>
      </c>
      <c r="B32" s="11" t="s">
        <v>2094</v>
      </c>
      <c r="C32" s="542">
        <v>9.8000000000000007</v>
      </c>
    </row>
    <row r="33" spans="1:3">
      <c r="A33" s="541" t="s">
        <v>2128</v>
      </c>
      <c r="B33" s="11" t="s">
        <v>2095</v>
      </c>
      <c r="C33" s="542">
        <v>10.666666666666666</v>
      </c>
    </row>
    <row r="34" spans="1:3">
      <c r="A34" s="541" t="s">
        <v>2128</v>
      </c>
      <c r="B34" s="11" t="s">
        <v>2093</v>
      </c>
      <c r="C34" s="542">
        <v>11.7</v>
      </c>
    </row>
    <row r="35" spans="1:3">
      <c r="A35" s="541" t="s">
        <v>4076</v>
      </c>
      <c r="B35" s="11"/>
      <c r="C35" s="542">
        <v>4.8114285714285714</v>
      </c>
    </row>
    <row r="36" spans="1:3">
      <c r="A36" s="541" t="s">
        <v>2069</v>
      </c>
      <c r="B36" s="11"/>
      <c r="C36" s="542">
        <v>14.521950271950272</v>
      </c>
    </row>
    <row r="37" spans="1:3">
      <c r="A37" s="541" t="s">
        <v>2337</v>
      </c>
      <c r="B37" s="11"/>
      <c r="C37" s="542">
        <v>19.372506682543758</v>
      </c>
    </row>
    <row r="38" spans="1:3">
      <c r="A38" s="541" t="s">
        <v>2140</v>
      </c>
      <c r="B38" s="11"/>
      <c r="C38" s="542">
        <v>3.2380952380952381</v>
      </c>
    </row>
    <row r="39" spans="1:3">
      <c r="A39" s="541" t="s">
        <v>1914</v>
      </c>
      <c r="B39" s="11"/>
      <c r="C39" s="542">
        <v>31.649290982871491</v>
      </c>
    </row>
    <row r="40" spans="1:3">
      <c r="A40" s="541" t="s">
        <v>1914</v>
      </c>
      <c r="B40" s="11"/>
      <c r="C40" s="542">
        <v>49.006788222952011</v>
      </c>
    </row>
    <row r="41" spans="1:3">
      <c r="A41" s="541" t="s">
        <v>2549</v>
      </c>
      <c r="B41" s="11"/>
      <c r="C41" s="542">
        <v>18.322448979591837</v>
      </c>
    </row>
    <row r="42" spans="1:3">
      <c r="A42" s="541" t="s">
        <v>3846</v>
      </c>
      <c r="B42" s="11"/>
      <c r="C42" s="542">
        <v>19.135714285714286</v>
      </c>
    </row>
    <row r="43" spans="1:3">
      <c r="A43" s="541" t="s">
        <v>4081</v>
      </c>
      <c r="B43" s="11"/>
      <c r="C43" s="542">
        <v>8</v>
      </c>
    </row>
    <row r="44" spans="1:3">
      <c r="A44" s="541" t="s">
        <v>1651</v>
      </c>
      <c r="B44" s="11"/>
      <c r="C44" s="542">
        <v>8.3952380952380956</v>
      </c>
    </row>
    <row r="45" spans="1:3">
      <c r="A45" s="541" t="s">
        <v>4082</v>
      </c>
      <c r="B45" s="11"/>
      <c r="C45" s="542">
        <v>8</v>
      </c>
    </row>
    <row r="46" spans="1:3">
      <c r="A46" s="541" t="s">
        <v>2082</v>
      </c>
      <c r="B46" s="11"/>
      <c r="C46" s="542">
        <v>16.348053665910808</v>
      </c>
    </row>
    <row r="47" spans="1:3">
      <c r="A47" s="541" t="s">
        <v>3537</v>
      </c>
      <c r="B47" s="11"/>
      <c r="C47" s="542">
        <v>34.656613756613758</v>
      </c>
    </row>
    <row r="48" spans="1:3">
      <c r="A48" s="541" t="s">
        <v>2296</v>
      </c>
      <c r="B48" s="11"/>
      <c r="C48" s="542">
        <v>48.570181405895688</v>
      </c>
    </row>
    <row r="49" spans="1:3">
      <c r="A49" s="541" t="s">
        <v>2316</v>
      </c>
      <c r="B49" s="11"/>
      <c r="C49" s="542">
        <v>35.440816326530609</v>
      </c>
    </row>
    <row r="50" spans="1:3">
      <c r="A50" s="541" t="s">
        <v>2389</v>
      </c>
      <c r="B50" s="11"/>
      <c r="C50" s="542">
        <v>34.04901738473167</v>
      </c>
    </row>
    <row r="51" spans="1:3">
      <c r="A51" s="541" t="s">
        <v>4084</v>
      </c>
      <c r="B51" s="11"/>
      <c r="C51" s="542">
        <v>40.193008314436881</v>
      </c>
    </row>
    <row r="52" spans="1:3">
      <c r="A52" s="541" t="s">
        <v>4083</v>
      </c>
      <c r="B52" s="11"/>
      <c r="C52" s="542">
        <v>19.346502703645562</v>
      </c>
    </row>
    <row r="53" spans="1:3">
      <c r="A53" s="541" t="s">
        <v>3823</v>
      </c>
      <c r="B53" s="11"/>
      <c r="C53" s="542">
        <v>19</v>
      </c>
    </row>
    <row r="54" spans="1:3">
      <c r="A54" s="541" t="s">
        <v>1621</v>
      </c>
      <c r="B54" s="11"/>
      <c r="C54" s="542">
        <v>39.873015873015873</v>
      </c>
    </row>
    <row r="55" spans="1:3">
      <c r="A55" s="541" t="s">
        <v>4093</v>
      </c>
      <c r="B55" s="11"/>
      <c r="C55" s="542">
        <v>28.578689167974883</v>
      </c>
    </row>
    <row r="56" spans="1:3">
      <c r="A56" s="541" t="s">
        <v>2326</v>
      </c>
      <c r="B56" s="11"/>
      <c r="C56" s="542">
        <v>32.353174603174608</v>
      </c>
    </row>
    <row r="57" spans="1:3">
      <c r="A57" s="541" t="s">
        <v>2057</v>
      </c>
      <c r="B57" s="11"/>
      <c r="C57" s="542">
        <v>11.466286799620132</v>
      </c>
    </row>
    <row r="58" spans="1:3">
      <c r="A58" s="541" t="s">
        <v>3799</v>
      </c>
      <c r="B58" s="11"/>
      <c r="C58" s="542">
        <v>30.853174603174601</v>
      </c>
    </row>
    <row r="59" spans="1:3">
      <c r="A59" s="541" t="s">
        <v>3830</v>
      </c>
      <c r="B59" s="11"/>
      <c r="C59" s="542">
        <v>28.904343804343803</v>
      </c>
    </row>
    <row r="60" spans="1:3">
      <c r="A60" s="541" t="s">
        <v>1884</v>
      </c>
      <c r="B60" s="11"/>
      <c r="C60" s="542">
        <v>43.011942554799695</v>
      </c>
    </row>
    <row r="61" spans="1:3">
      <c r="A61" s="541" t="s">
        <v>3841</v>
      </c>
      <c r="B61" s="11"/>
      <c r="C61" s="542">
        <v>43.011942554799695</v>
      </c>
    </row>
    <row r="62" spans="1:3">
      <c r="A62" s="541" t="s">
        <v>2627</v>
      </c>
      <c r="B62" s="11"/>
      <c r="C62" s="542">
        <v>30.4</v>
      </c>
    </row>
    <row r="63" spans="1:3">
      <c r="A63" s="541" t="s">
        <v>3647</v>
      </c>
      <c r="B63" s="11"/>
      <c r="C63" s="542">
        <v>3.7735449735449738</v>
      </c>
    </row>
    <row r="64" spans="1:3">
      <c r="A64" s="541" t="s">
        <v>1903</v>
      </c>
      <c r="B64" s="11"/>
      <c r="C64" s="542">
        <v>29.501322751322753</v>
      </c>
    </row>
    <row r="65" spans="1:3">
      <c r="A65" s="541" t="s">
        <v>2398</v>
      </c>
      <c r="B65" s="11"/>
      <c r="C65" s="542">
        <v>28.684155328798187</v>
      </c>
    </row>
    <row r="66" spans="1:3">
      <c r="A66" s="541" t="s">
        <v>3798</v>
      </c>
      <c r="B66" s="11"/>
      <c r="C66" s="542">
        <v>32.44708994708995</v>
      </c>
    </row>
    <row r="67" spans="1:3">
      <c r="A67" s="541" t="s">
        <v>3536</v>
      </c>
      <c r="B67" s="11"/>
      <c r="C67" s="542">
        <v>22.9</v>
      </c>
    </row>
    <row r="68" spans="1:3">
      <c r="A68" s="541" t="s">
        <v>3750</v>
      </c>
      <c r="B68" s="11"/>
      <c r="C68" s="542">
        <v>21.140145502645503</v>
      </c>
    </row>
    <row r="69" spans="1:3">
      <c r="A69" s="541" t="s">
        <v>3825</v>
      </c>
      <c r="B69" s="11"/>
      <c r="C69" s="542">
        <v>51.571428571428569</v>
      </c>
    </row>
    <row r="70" spans="1:3">
      <c r="A70" s="541" t="s">
        <v>3818</v>
      </c>
      <c r="B70" s="11"/>
      <c r="C70" s="542">
        <v>24</v>
      </c>
    </row>
    <row r="71" spans="1:3">
      <c r="A71" s="541" t="s">
        <v>2604</v>
      </c>
      <c r="B71" s="11"/>
      <c r="C71" s="542">
        <v>33.011111111111113</v>
      </c>
    </row>
    <row r="72" spans="1:3">
      <c r="A72" s="541" t="s">
        <v>3547</v>
      </c>
      <c r="B72" s="11"/>
      <c r="C72" s="542">
        <v>17.547077922077921</v>
      </c>
    </row>
    <row r="73" spans="1:3">
      <c r="A73" s="541" t="s">
        <v>1937</v>
      </c>
      <c r="B73" s="11"/>
      <c r="C73" s="542">
        <v>37.251851851851853</v>
      </c>
    </row>
    <row r="74" spans="1:3">
      <c r="A74" s="541" t="s">
        <v>4077</v>
      </c>
      <c r="B74" s="11"/>
      <c r="C74" s="542">
        <v>6.1989417989417985</v>
      </c>
    </row>
    <row r="75" spans="1:3">
      <c r="A75" s="541" t="s">
        <v>1986</v>
      </c>
      <c r="B75" s="11"/>
      <c r="C75" s="542">
        <v>50.276410616775195</v>
      </c>
    </row>
    <row r="76" spans="1:3">
      <c r="A76" s="541" t="s">
        <v>2137</v>
      </c>
      <c r="B76" s="11"/>
      <c r="C76" s="542">
        <v>4.1349206349206344</v>
      </c>
    </row>
    <row r="77" spans="1:3">
      <c r="A77" s="541" t="s">
        <v>3817</v>
      </c>
      <c r="B77" s="11"/>
      <c r="C77" s="542">
        <v>21.172619047619047</v>
      </c>
    </row>
    <row r="78" spans="1:3">
      <c r="A78" s="541" t="s">
        <v>3796</v>
      </c>
      <c r="B78" s="11"/>
      <c r="C78" s="542">
        <v>31.228835978835981</v>
      </c>
    </row>
    <row r="79" spans="1:3">
      <c r="A79" s="541" t="s">
        <v>3794</v>
      </c>
      <c r="B79" s="11"/>
      <c r="C79" s="542">
        <v>35.437566137566137</v>
      </c>
    </row>
    <row r="80" spans="1:3">
      <c r="A80" s="541" t="s">
        <v>3797</v>
      </c>
      <c r="B80" s="11"/>
      <c r="C80" s="542">
        <v>8.4074074074074083</v>
      </c>
    </row>
    <row r="81" spans="1:3">
      <c r="A81" s="541" t="s">
        <v>3642</v>
      </c>
      <c r="B81" s="11"/>
      <c r="C81" s="542">
        <v>18.550264550264551</v>
      </c>
    </row>
    <row r="82" spans="1:3">
      <c r="A82" s="541" t="s">
        <v>3599</v>
      </c>
      <c r="B82" s="11"/>
      <c r="C82" s="542">
        <v>41.18941798941799</v>
      </c>
    </row>
    <row r="83" spans="1:3">
      <c r="A83" s="541" t="s">
        <v>2608</v>
      </c>
      <c r="B83" s="11"/>
      <c r="C83" s="542">
        <v>8.1851551226551216</v>
      </c>
    </row>
    <row r="84" spans="1:3">
      <c r="A84" s="541" t="s">
        <v>3673</v>
      </c>
      <c r="B84" s="11"/>
      <c r="C84" s="542">
        <v>10.471455627705627</v>
      </c>
    </row>
    <row r="85" spans="1:3">
      <c r="A85" s="541" t="s">
        <v>2626</v>
      </c>
      <c r="B85" s="11"/>
      <c r="C85" s="542">
        <v>28.260317460317459</v>
      </c>
    </row>
    <row r="86" spans="1:3">
      <c r="A86" s="541" t="s">
        <v>2788</v>
      </c>
      <c r="B86" s="11"/>
      <c r="C86" s="542">
        <v>9.3622710622710628</v>
      </c>
    </row>
    <row r="87" spans="1:3">
      <c r="A87" s="541" t="s">
        <v>3616</v>
      </c>
      <c r="B87" s="11"/>
      <c r="C87" s="542">
        <v>35.052380952380958</v>
      </c>
    </row>
    <row r="88" spans="1:3">
      <c r="A88" s="541" t="s">
        <v>3604</v>
      </c>
      <c r="B88" s="11"/>
      <c r="C88" s="542">
        <v>33.923015873015871</v>
      </c>
    </row>
    <row r="89" spans="1:3">
      <c r="A89" s="541" t="s">
        <v>3516</v>
      </c>
      <c r="B89" s="11"/>
      <c r="C89" s="542">
        <v>35.635629251700678</v>
      </c>
    </row>
    <row r="90" spans="1:3">
      <c r="A90" s="541" t="s">
        <v>2368</v>
      </c>
      <c r="B90" s="11"/>
      <c r="C90" s="542">
        <v>28.350529100529101</v>
      </c>
    </row>
    <row r="91" spans="1:3">
      <c r="A91" s="541" t="s">
        <v>2269</v>
      </c>
      <c r="B91" s="11"/>
      <c r="C91" s="542">
        <v>16.780423280423278</v>
      </c>
    </row>
    <row r="92" spans="1:3">
      <c r="A92" s="541" t="s">
        <v>2269</v>
      </c>
      <c r="B92" s="11"/>
      <c r="C92" s="542">
        <v>18.716836734693878</v>
      </c>
    </row>
    <row r="93" spans="1:3">
      <c r="A93" s="541" t="s">
        <v>2375</v>
      </c>
      <c r="B93" s="11"/>
      <c r="C93" s="542">
        <v>28.731670445956158</v>
      </c>
    </row>
    <row r="94" spans="1:3" ht="13.5" thickBot="1">
      <c r="A94" s="544" t="s">
        <v>4080</v>
      </c>
      <c r="B94" s="545"/>
      <c r="C94" s="546">
        <v>23.300831443688587</v>
      </c>
    </row>
  </sheetData>
  <autoFilter ref="A2:C86" xr:uid="{25B21BC8-D2CE-477E-95E6-587228807959}"/>
  <sortState xmlns:xlrd2="http://schemas.microsoft.com/office/spreadsheetml/2017/richdata2" ref="A3:C94">
    <sortCondition ref="A78:A94"/>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B46B-F3EC-4DDF-9EF8-9E2F0DE58D4D}">
  <dimension ref="A1:F26"/>
  <sheetViews>
    <sheetView zoomScale="85" zoomScaleNormal="85" workbookViewId="0"/>
  </sheetViews>
  <sheetFormatPr defaultRowHeight="12.75"/>
  <cols>
    <col min="1" max="1" width="37.42578125" style="1" bestFit="1" customWidth="1"/>
    <col min="2" max="2" width="13.42578125" style="1" bestFit="1" customWidth="1"/>
    <col min="3" max="3" width="8.140625" style="1" bestFit="1" customWidth="1"/>
    <col min="4" max="4" width="13.7109375" style="1" bestFit="1" customWidth="1"/>
    <col min="5" max="5" width="5.7109375" style="1" bestFit="1" customWidth="1"/>
    <col min="6" max="6" width="9.42578125" style="1" bestFit="1" customWidth="1"/>
    <col min="7" max="16384" width="9.140625" style="1"/>
  </cols>
  <sheetData>
    <row r="1" spans="1:6" ht="13.5" thickBot="1">
      <c r="A1" s="421" t="s">
        <v>3790</v>
      </c>
      <c r="B1" s="422" t="s">
        <v>3789</v>
      </c>
      <c r="C1" s="423" t="s">
        <v>1620</v>
      </c>
      <c r="D1" s="422" t="s">
        <v>3791</v>
      </c>
      <c r="E1" s="421" t="s">
        <v>1572</v>
      </c>
      <c r="F1" s="424" t="s">
        <v>3625</v>
      </c>
    </row>
    <row r="2" spans="1:6">
      <c r="A2" s="302" t="s">
        <v>3800</v>
      </c>
      <c r="B2" s="1" t="s">
        <v>1732</v>
      </c>
      <c r="C2" s="435">
        <f>34*45</f>
        <v>1530</v>
      </c>
      <c r="E2" s="438">
        <v>20</v>
      </c>
      <c r="F2" s="418">
        <f>E2/C2*$C$4</f>
        <v>19.764705882352942</v>
      </c>
    </row>
    <row r="3" spans="1:6">
      <c r="A3" s="302" t="s">
        <v>3801</v>
      </c>
      <c r="B3" s="1" t="s">
        <v>2309</v>
      </c>
      <c r="C3" s="436">
        <f>36*108</f>
        <v>3888</v>
      </c>
      <c r="E3" s="439">
        <v>10</v>
      </c>
      <c r="F3" s="418">
        <f>E3/C3*$C$4</f>
        <v>3.8888888888888888</v>
      </c>
    </row>
    <row r="4" spans="1:6">
      <c r="A4" s="302" t="s">
        <v>3802</v>
      </c>
      <c r="B4" s="1" t="s">
        <v>1732</v>
      </c>
      <c r="C4" s="436">
        <f>42*36</f>
        <v>1512</v>
      </c>
      <c r="E4" s="439">
        <v>6</v>
      </c>
      <c r="F4" s="418">
        <f>E4/C4*$C$4</f>
        <v>6</v>
      </c>
    </row>
    <row r="5" spans="1:6">
      <c r="A5" s="302" t="s">
        <v>3803</v>
      </c>
      <c r="B5" s="1" t="s">
        <v>1563</v>
      </c>
      <c r="C5" s="436">
        <f>59*39</f>
        <v>2301</v>
      </c>
      <c r="E5" s="439">
        <v>8</v>
      </c>
      <c r="F5" s="418">
        <f>E5/C5*$C$4</f>
        <v>5.256844850065189</v>
      </c>
    </row>
    <row r="6" spans="1:6">
      <c r="A6" s="302" t="s">
        <v>3804</v>
      </c>
      <c r="B6" s="1" t="s">
        <v>1563</v>
      </c>
      <c r="C6" s="436">
        <f>36*44</f>
        <v>1584</v>
      </c>
      <c r="E6" s="439">
        <v>9</v>
      </c>
      <c r="F6" s="418">
        <f>E6/C6*$C$4</f>
        <v>8.5909090909090917</v>
      </c>
    </row>
    <row r="7" spans="1:6">
      <c r="A7" s="302" t="s">
        <v>3805</v>
      </c>
      <c r="B7" s="1" t="s">
        <v>3588</v>
      </c>
      <c r="C7" s="436">
        <f>10*39</f>
        <v>390</v>
      </c>
      <c r="E7" s="439">
        <v>2</v>
      </c>
      <c r="F7" s="418">
        <f>E7/C7</f>
        <v>5.1282051282051282E-3</v>
      </c>
    </row>
    <row r="8" spans="1:6">
      <c r="A8" s="302" t="s">
        <v>3806</v>
      </c>
      <c r="B8" s="1" t="s">
        <v>3589</v>
      </c>
      <c r="C8" s="436">
        <v>118</v>
      </c>
      <c r="E8" s="439">
        <v>2</v>
      </c>
      <c r="F8" s="418">
        <f>E8/C8</f>
        <v>1.6949152542372881E-2</v>
      </c>
    </row>
    <row r="9" spans="1:6">
      <c r="A9" s="302" t="s">
        <v>3807</v>
      </c>
      <c r="B9" s="1" t="s">
        <v>3624</v>
      </c>
      <c r="C9" s="436">
        <f>39*54</f>
        <v>2106</v>
      </c>
      <c r="E9" s="439">
        <v>4</v>
      </c>
      <c r="F9" s="418">
        <f t="shared" ref="F9:F24" si="0">E9/C9*$C$4</f>
        <v>2.8717948717948718</v>
      </c>
    </row>
    <row r="10" spans="1:6">
      <c r="A10" s="302" t="s">
        <v>3808</v>
      </c>
      <c r="B10" s="1" t="s">
        <v>3624</v>
      </c>
      <c r="C10" s="436">
        <f>39*54</f>
        <v>2106</v>
      </c>
      <c r="E10" s="439">
        <v>5</v>
      </c>
      <c r="F10" s="418">
        <f t="shared" si="0"/>
        <v>3.5897435897435894</v>
      </c>
    </row>
    <row r="11" spans="1:6">
      <c r="A11" s="302" t="s">
        <v>3809</v>
      </c>
      <c r="B11" s="1" t="s">
        <v>3624</v>
      </c>
      <c r="C11" s="436">
        <f>39*54</f>
        <v>2106</v>
      </c>
      <c r="E11" s="439">
        <v>8</v>
      </c>
      <c r="F11" s="418">
        <f t="shared" si="0"/>
        <v>5.7435897435897436</v>
      </c>
    </row>
    <row r="12" spans="1:6">
      <c r="A12" s="302" t="s">
        <v>3810</v>
      </c>
      <c r="B12" s="1" t="s">
        <v>1732</v>
      </c>
      <c r="C12" s="436">
        <f>45*36</f>
        <v>1620</v>
      </c>
      <c r="E12" s="439">
        <v>5.8</v>
      </c>
      <c r="F12" s="418">
        <f t="shared" si="0"/>
        <v>5.4133333333333331</v>
      </c>
    </row>
    <row r="13" spans="1:6">
      <c r="A13" s="302" t="s">
        <v>4086</v>
      </c>
      <c r="B13" s="1" t="s">
        <v>1563</v>
      </c>
      <c r="C13" s="436">
        <f>45*39</f>
        <v>1755</v>
      </c>
      <c r="E13" s="439">
        <v>5</v>
      </c>
      <c r="F13" s="418">
        <f t="shared" si="0"/>
        <v>4.3076923076923075</v>
      </c>
    </row>
    <row r="14" spans="1:6">
      <c r="A14" s="302" t="s">
        <v>4087</v>
      </c>
      <c r="B14" s="1" t="s">
        <v>1563</v>
      </c>
      <c r="C14" s="436">
        <f>58*39</f>
        <v>2262</v>
      </c>
      <c r="E14" s="439">
        <v>7.7</v>
      </c>
      <c r="F14" s="418">
        <f t="shared" si="0"/>
        <v>5.1469496021220156</v>
      </c>
    </row>
    <row r="15" spans="1:6">
      <c r="A15" s="302" t="s">
        <v>4088</v>
      </c>
      <c r="B15" s="1" t="s">
        <v>1563</v>
      </c>
      <c r="C15" s="436">
        <f>45*39</f>
        <v>1755</v>
      </c>
      <c r="E15" s="439">
        <v>7.7</v>
      </c>
      <c r="F15" s="418">
        <f t="shared" si="0"/>
        <v>6.6338461538461537</v>
      </c>
    </row>
    <row r="16" spans="1:6">
      <c r="A16" s="302" t="s">
        <v>4089</v>
      </c>
      <c r="B16" s="1" t="s">
        <v>1563</v>
      </c>
      <c r="C16" s="436">
        <f>45*39</f>
        <v>1755</v>
      </c>
      <c r="E16" s="439">
        <v>5</v>
      </c>
      <c r="F16" s="418">
        <f t="shared" si="0"/>
        <v>4.3076923076923075</v>
      </c>
    </row>
    <row r="17" spans="1:6">
      <c r="A17" s="302" t="s">
        <v>4090</v>
      </c>
      <c r="C17" s="436">
        <f>45*39</f>
        <v>1755</v>
      </c>
      <c r="E17" s="439">
        <v>8.8000000000000007</v>
      </c>
      <c r="F17" s="418">
        <f t="shared" si="0"/>
        <v>7.5815384615384618</v>
      </c>
    </row>
    <row r="18" spans="1:6">
      <c r="A18" s="302" t="s">
        <v>3811</v>
      </c>
      <c r="B18" s="1" t="s">
        <v>1563</v>
      </c>
      <c r="C18" s="436">
        <f>60*39</f>
        <v>2340</v>
      </c>
      <c r="E18" s="439"/>
      <c r="F18" s="418">
        <f t="shared" si="0"/>
        <v>0</v>
      </c>
    </row>
    <row r="19" spans="1:6">
      <c r="A19" s="302" t="s">
        <v>2235</v>
      </c>
      <c r="B19" s="1" t="s">
        <v>1570</v>
      </c>
      <c r="C19" s="436">
        <v>10</v>
      </c>
      <c r="E19" s="439"/>
      <c r="F19" s="418">
        <f t="shared" si="0"/>
        <v>0</v>
      </c>
    </row>
    <row r="20" spans="1:6">
      <c r="A20" s="302" t="s">
        <v>3812</v>
      </c>
      <c r="B20" s="1" t="s">
        <v>2345</v>
      </c>
      <c r="C20" s="436">
        <f>14*30*2</f>
        <v>840</v>
      </c>
      <c r="E20" s="439">
        <v>2.5499999999999998</v>
      </c>
      <c r="F20" s="418">
        <f t="shared" si="0"/>
        <v>4.59</v>
      </c>
    </row>
    <row r="21" spans="1:6">
      <c r="A21" s="302" t="s">
        <v>3812</v>
      </c>
      <c r="B21" s="1" t="s">
        <v>2346</v>
      </c>
      <c r="C21" s="436">
        <f>14*30*5</f>
        <v>2100</v>
      </c>
      <c r="E21" s="439">
        <v>6.5</v>
      </c>
      <c r="F21" s="418">
        <f t="shared" si="0"/>
        <v>4.68</v>
      </c>
    </row>
    <row r="22" spans="1:6">
      <c r="A22" s="302" t="s">
        <v>4091</v>
      </c>
      <c r="B22" s="1" t="s">
        <v>2345</v>
      </c>
      <c r="C22" s="436">
        <f>15*35*2</f>
        <v>1050</v>
      </c>
      <c r="D22" s="1" t="s">
        <v>3659</v>
      </c>
      <c r="E22" s="439">
        <v>4.8</v>
      </c>
      <c r="F22" s="418">
        <f t="shared" si="0"/>
        <v>6.911999999999999</v>
      </c>
    </row>
    <row r="23" spans="1:6">
      <c r="A23" s="302" t="s">
        <v>3813</v>
      </c>
      <c r="B23" s="1" t="s">
        <v>2125</v>
      </c>
      <c r="C23" s="436">
        <f>36*5*44</f>
        <v>7920</v>
      </c>
      <c r="E23" s="439">
        <v>9</v>
      </c>
      <c r="F23" s="418">
        <f t="shared" si="0"/>
        <v>1.718181818181818</v>
      </c>
    </row>
    <row r="24" spans="1:6">
      <c r="A24" s="302" t="s">
        <v>3814</v>
      </c>
      <c r="B24" s="1" t="s">
        <v>2261</v>
      </c>
      <c r="C24" s="436">
        <f>59*35</f>
        <v>2065</v>
      </c>
      <c r="D24" s="1" t="s">
        <v>2260</v>
      </c>
      <c r="E24" s="440">
        <v>6.5</v>
      </c>
      <c r="F24" s="418">
        <f t="shared" si="0"/>
        <v>4.7593220338983055</v>
      </c>
    </row>
    <row r="25" spans="1:6">
      <c r="A25" s="302" t="s">
        <v>1568</v>
      </c>
      <c r="B25" s="1" t="s">
        <v>1563</v>
      </c>
      <c r="C25" s="436">
        <v>39</v>
      </c>
      <c r="E25" s="439"/>
      <c r="F25" s="419"/>
    </row>
    <row r="26" spans="1:6" ht="13.5" thickBot="1">
      <c r="A26" s="303" t="s">
        <v>3815</v>
      </c>
      <c r="B26" s="79" t="s">
        <v>2261</v>
      </c>
      <c r="C26" s="437">
        <f>27*23</f>
        <v>621</v>
      </c>
      <c r="D26" s="79" t="s">
        <v>3504</v>
      </c>
      <c r="E26" s="437">
        <v>2</v>
      </c>
      <c r="F26" s="420">
        <f>E26/C26*$C$4</f>
        <v>4.8695652173913047</v>
      </c>
    </row>
  </sheetData>
  <pageMargins left="0.7" right="0.7" top="0.75" bottom="0.75" header="0.3" footer="0.3"/>
  <ignoredErrors>
    <ignoredError sqref="C14" formula="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996"/>
  <sheetViews>
    <sheetView zoomScale="85" zoomScaleNormal="85" workbookViewId="0">
      <pane ySplit="1" topLeftCell="A2" activePane="bottomLeft" state="frozen"/>
      <selection pane="bottomLeft" activeCell="A2" sqref="A2"/>
    </sheetView>
  </sheetViews>
  <sheetFormatPr defaultColWidth="9.140625" defaultRowHeight="12.75"/>
  <cols>
    <col min="1" max="1" width="33.42578125" style="1" customWidth="1"/>
    <col min="2" max="2" width="28.5703125" style="1" customWidth="1"/>
    <col min="3" max="3" width="31" style="1" customWidth="1"/>
    <col min="4" max="4" width="20.7109375" style="1" bestFit="1" customWidth="1"/>
    <col min="5" max="5" width="10" style="3" bestFit="1" customWidth="1"/>
    <col min="6" max="6" width="16.28515625" style="1" customWidth="1"/>
    <col min="7" max="7" width="11.85546875" style="1" customWidth="1"/>
    <col min="8" max="8" width="10" style="1" customWidth="1"/>
    <col min="9" max="9" width="8.42578125" style="1" customWidth="1"/>
    <col min="10" max="10" width="10.5703125" style="1" bestFit="1" customWidth="1"/>
    <col min="11" max="11" width="9.7109375" style="1" customWidth="1"/>
    <col min="12" max="12" width="18.28515625" style="1" customWidth="1"/>
    <col min="13" max="13" width="17.85546875" style="1" bestFit="1" customWidth="1"/>
    <col min="14" max="14" width="11.140625" style="1" customWidth="1"/>
    <col min="15" max="15" width="18.85546875" style="1" bestFit="1" customWidth="1"/>
    <col min="16" max="16" width="13.42578125" style="1" bestFit="1" customWidth="1"/>
    <col min="17" max="17" width="6" style="1" bestFit="1" customWidth="1"/>
    <col min="18" max="16384" width="9.140625" style="1"/>
  </cols>
  <sheetData>
    <row r="1" spans="1:14" ht="13.5" thickBot="1">
      <c r="A1" s="412" t="s">
        <v>3665</v>
      </c>
      <c r="B1" s="415" t="s">
        <v>1760</v>
      </c>
      <c r="C1" s="413" t="s">
        <v>1761</v>
      </c>
      <c r="D1" s="415" t="s">
        <v>1762</v>
      </c>
      <c r="E1" s="414" t="s">
        <v>1571</v>
      </c>
      <c r="F1" s="414" t="s">
        <v>3792</v>
      </c>
      <c r="N1" s="2"/>
    </row>
    <row r="2" spans="1:14">
      <c r="A2" s="312"/>
      <c r="B2" s="312"/>
      <c r="C2" s="312"/>
      <c r="D2" s="312"/>
      <c r="E2" s="312"/>
      <c r="N2" s="2"/>
    </row>
    <row r="3" spans="1:14">
      <c r="A3" s="7" t="s">
        <v>1555</v>
      </c>
      <c r="B3" s="1" t="s">
        <v>1667</v>
      </c>
      <c r="N3" s="47"/>
    </row>
    <row r="4" spans="1:14">
      <c r="A4" s="1" t="s">
        <v>1556</v>
      </c>
      <c r="B4" s="1">
        <f>9*5</f>
        <v>45</v>
      </c>
      <c r="C4" s="1">
        <v>2</v>
      </c>
      <c r="D4" s="1">
        <v>8</v>
      </c>
      <c r="E4" s="3">
        <f>(B4*C4)/'Cost of fabrics'!$C$4*D4</f>
        <v>0.47619047619047616</v>
      </c>
      <c r="N4" s="47"/>
    </row>
    <row r="5" spans="1:14">
      <c r="A5" s="1" t="s">
        <v>1557</v>
      </c>
      <c r="B5" s="1">
        <f>9*5</f>
        <v>45</v>
      </c>
      <c r="C5" s="1">
        <v>2</v>
      </c>
      <c r="D5" s="1">
        <v>8</v>
      </c>
      <c r="E5" s="3">
        <f>(B5*C5)/'Cost of fabrics'!$C$4*D5</f>
        <v>0.47619047619047616</v>
      </c>
    </row>
    <row r="6" spans="1:14">
      <c r="A6" s="1" t="s">
        <v>1559</v>
      </c>
      <c r="B6" s="1">
        <f>7*5</f>
        <v>35</v>
      </c>
      <c r="C6" s="1">
        <v>1</v>
      </c>
      <c r="D6" s="1">
        <v>8</v>
      </c>
      <c r="E6" s="3">
        <f>(B6*C6)/'Cost of fabrics'!$C$4*D6</f>
        <v>0.18518518518518517</v>
      </c>
    </row>
    <row r="7" spans="1:14">
      <c r="A7" s="1" t="s">
        <v>1566</v>
      </c>
      <c r="B7" s="1">
        <f>9*5</f>
        <v>45</v>
      </c>
      <c r="C7" s="1">
        <v>2</v>
      </c>
      <c r="D7" s="1">
        <v>4</v>
      </c>
      <c r="E7" s="3">
        <f>(B7*C7)/'Cost of fabrics'!$C$20*D7</f>
        <v>0.42857142857142855</v>
      </c>
    </row>
    <row r="8" spans="1:14">
      <c r="A8" s="1" t="s">
        <v>1558</v>
      </c>
      <c r="B8" s="1">
        <f>14*3</f>
        <v>42</v>
      </c>
      <c r="C8" s="1">
        <v>1</v>
      </c>
      <c r="D8" s="1">
        <v>8</v>
      </c>
      <c r="E8" s="3">
        <f>(B8*C8)/'Cost of fabrics'!$C$4*D8</f>
        <v>0.22222222222222221</v>
      </c>
    </row>
    <row r="9" spans="1:14">
      <c r="A9" s="1" t="s">
        <v>2591</v>
      </c>
      <c r="B9" s="1">
        <v>13</v>
      </c>
      <c r="C9" s="1">
        <v>1</v>
      </c>
      <c r="D9" s="1">
        <v>1.5</v>
      </c>
      <c r="E9" s="3">
        <f>C9*D9</f>
        <v>1.5</v>
      </c>
    </row>
    <row r="10" spans="1:14">
      <c r="A10" s="1" t="s">
        <v>2592</v>
      </c>
      <c r="B10" s="1">
        <f>2*3</f>
        <v>6</v>
      </c>
      <c r="C10" s="1">
        <v>1</v>
      </c>
      <c r="D10" s="1">
        <v>8</v>
      </c>
      <c r="E10" s="3">
        <f>(B10*C10)/'Cost of fabrics'!$C$4*D10</f>
        <v>3.1746031746031744E-2</v>
      </c>
      <c r="F10" s="206" t="s">
        <v>1669</v>
      </c>
    </row>
    <row r="11" spans="1:14">
      <c r="A11" s="198" t="s">
        <v>555</v>
      </c>
      <c r="B11" s="198"/>
      <c r="C11" s="198"/>
      <c r="D11" s="198"/>
      <c r="E11" s="207">
        <f>SUM(E4:E10)</f>
        <v>3.32010582010582</v>
      </c>
      <c r="F11" s="208">
        <f>E11*3</f>
        <v>9.9603174603174605</v>
      </c>
    </row>
    <row r="12" spans="1:14">
      <c r="A12" s="1" t="s">
        <v>1569</v>
      </c>
      <c r="C12" s="1">
        <v>1</v>
      </c>
      <c r="D12" s="1">
        <v>8</v>
      </c>
      <c r="E12" s="3">
        <f>C12*D12</f>
        <v>8</v>
      </c>
    </row>
    <row r="13" spans="1:14">
      <c r="A13" s="7" t="s">
        <v>1571</v>
      </c>
      <c r="B13" s="7"/>
      <c r="C13" s="7"/>
      <c r="D13" s="7"/>
      <c r="E13" s="10">
        <f>SUM(E11:E12)</f>
        <v>11.32010582010582</v>
      </c>
    </row>
    <row r="14" spans="1:14">
      <c r="A14" s="209" t="s">
        <v>1572</v>
      </c>
      <c r="B14" s="209"/>
      <c r="C14" s="209"/>
      <c r="D14" s="209"/>
      <c r="E14" s="210">
        <f>E13*1.3</f>
        <v>14.716137566137565</v>
      </c>
    </row>
    <row r="17" spans="1:6">
      <c r="A17" s="7" t="s">
        <v>1564</v>
      </c>
      <c r="B17" s="1" t="s">
        <v>1666</v>
      </c>
    </row>
    <row r="18" spans="1:6">
      <c r="A18" s="1" t="s">
        <v>1556</v>
      </c>
      <c r="B18" s="1">
        <f>18*8</f>
        <v>144</v>
      </c>
      <c r="C18" s="1">
        <v>1</v>
      </c>
      <c r="D18" s="1">
        <v>6</v>
      </c>
      <c r="E18" s="3">
        <f>(B18*C18)/'Cost of fabrics'!$C$4*D18</f>
        <v>0.5714285714285714</v>
      </c>
    </row>
    <row r="19" spans="1:6">
      <c r="A19" s="1" t="s">
        <v>1557</v>
      </c>
      <c r="B19" s="1">
        <f>18*8</f>
        <v>144</v>
      </c>
      <c r="C19" s="1">
        <v>1</v>
      </c>
      <c r="D19" s="1">
        <v>6</v>
      </c>
      <c r="E19" s="3">
        <f>(B19*C19)/'Cost of fabrics'!$C$4*D19</f>
        <v>0.5714285714285714</v>
      </c>
    </row>
    <row r="20" spans="1:6">
      <c r="A20" s="1" t="s">
        <v>1565</v>
      </c>
      <c r="B20" s="1">
        <f>56*2.5</f>
        <v>140</v>
      </c>
      <c r="C20" s="1">
        <v>1</v>
      </c>
      <c r="D20" s="1">
        <v>4</v>
      </c>
      <c r="E20" s="3">
        <f>(B20*C20)/'Cost of fabrics'!$C$4*D20</f>
        <v>0.37037037037037035</v>
      </c>
    </row>
    <row r="21" spans="1:6">
      <c r="A21" s="1" t="s">
        <v>1566</v>
      </c>
      <c r="B21" s="1">
        <f>18*8</f>
        <v>144</v>
      </c>
      <c r="C21" s="1">
        <v>1</v>
      </c>
      <c r="D21" s="1">
        <v>4</v>
      </c>
      <c r="E21" s="3">
        <f>(B21*C21)/'Cost of fabrics'!$C$20*D21</f>
        <v>0.68571428571428572</v>
      </c>
      <c r="F21" s="206" t="s">
        <v>1669</v>
      </c>
    </row>
    <row r="22" spans="1:6">
      <c r="A22" s="198" t="s">
        <v>555</v>
      </c>
      <c r="B22" s="198"/>
      <c r="C22" s="198"/>
      <c r="D22" s="198"/>
      <c r="E22" s="207">
        <f>SUM(E18:E21)</f>
        <v>2.1989417989417985</v>
      </c>
      <c r="F22" s="208">
        <f>E22*3</f>
        <v>6.5968253968253956</v>
      </c>
    </row>
    <row r="23" spans="1:6">
      <c r="A23" s="1" t="s">
        <v>1569</v>
      </c>
      <c r="C23" s="1">
        <v>0.5</v>
      </c>
      <c r="D23" s="1">
        <v>8</v>
      </c>
      <c r="E23" s="3">
        <f>C23*D23</f>
        <v>4</v>
      </c>
    </row>
    <row r="24" spans="1:6">
      <c r="A24" s="7" t="s">
        <v>1571</v>
      </c>
      <c r="B24" s="7"/>
      <c r="C24" s="7"/>
      <c r="D24" s="7"/>
      <c r="E24" s="10">
        <f>SUM(E22:E23)</f>
        <v>6.1989417989417985</v>
      </c>
    </row>
    <row r="25" spans="1:6">
      <c r="A25" s="209" t="s">
        <v>1572</v>
      </c>
      <c r="B25" s="209"/>
      <c r="C25" s="209"/>
      <c r="D25" s="209"/>
      <c r="E25" s="210">
        <f>E24*1.3</f>
        <v>8.0586243386243392</v>
      </c>
    </row>
    <row r="28" spans="1:6">
      <c r="A28" s="7" t="s">
        <v>1567</v>
      </c>
      <c r="B28" s="1" t="s">
        <v>2145</v>
      </c>
    </row>
    <row r="29" spans="1:6">
      <c r="A29" s="1" t="s">
        <v>1556</v>
      </c>
      <c r="B29" s="1">
        <f>28*9</f>
        <v>252</v>
      </c>
      <c r="C29" s="1">
        <v>1</v>
      </c>
      <c r="D29" s="1">
        <v>8</v>
      </c>
      <c r="E29" s="3">
        <f>(B29*C29)/'Cost of fabrics'!$C$4*D29</f>
        <v>1.3333333333333333</v>
      </c>
    </row>
    <row r="30" spans="1:6">
      <c r="A30" s="1" t="s">
        <v>1557</v>
      </c>
      <c r="B30" s="1">
        <f>28*9</f>
        <v>252</v>
      </c>
      <c r="C30" s="1">
        <v>1</v>
      </c>
      <c r="D30" s="1">
        <v>5</v>
      </c>
      <c r="E30" s="3">
        <f>(B30*C30)/'Cost of fabrics'!$C$4*D30</f>
        <v>0.83333333333333326</v>
      </c>
    </row>
    <row r="31" spans="1:6">
      <c r="A31" s="1" t="s">
        <v>1568</v>
      </c>
      <c r="B31" s="1">
        <v>2</v>
      </c>
      <c r="C31" s="1">
        <v>1</v>
      </c>
      <c r="D31" s="1">
        <v>2</v>
      </c>
      <c r="E31" s="3">
        <f>(B31*C31)/'Cost of fabrics'!$C$20*D31</f>
        <v>4.7619047619047623E-3</v>
      </c>
      <c r="F31" s="206" t="s">
        <v>1669</v>
      </c>
    </row>
    <row r="32" spans="1:6">
      <c r="A32" s="198" t="s">
        <v>555</v>
      </c>
      <c r="B32" s="198"/>
      <c r="C32" s="198"/>
      <c r="D32" s="198"/>
      <c r="E32" s="207">
        <f>SUM(E29:E31)</f>
        <v>2.1714285714285713</v>
      </c>
      <c r="F32" s="208">
        <f>E32*3</f>
        <v>6.5142857142857142</v>
      </c>
    </row>
    <row r="33" spans="1:6">
      <c r="A33" s="1" t="s">
        <v>1569</v>
      </c>
      <c r="C33" s="1">
        <v>0.33</v>
      </c>
      <c r="D33" s="1">
        <v>8</v>
      </c>
      <c r="E33" s="3">
        <f>C33*D33</f>
        <v>2.64</v>
      </c>
    </row>
    <row r="34" spans="1:6">
      <c r="A34" s="7" t="s">
        <v>1571</v>
      </c>
      <c r="B34" s="7"/>
      <c r="C34" s="7"/>
      <c r="D34" s="7"/>
      <c r="E34" s="10">
        <f>SUM(E32:E33)</f>
        <v>4.8114285714285714</v>
      </c>
    </row>
    <row r="35" spans="1:6">
      <c r="A35" s="209" t="s">
        <v>1572</v>
      </c>
      <c r="B35" s="209"/>
      <c r="C35" s="209"/>
      <c r="D35" s="209"/>
      <c r="E35" s="210">
        <f>E34*1.3</f>
        <v>6.2548571428571433</v>
      </c>
    </row>
    <row r="37" spans="1:6">
      <c r="A37" s="7" t="s">
        <v>1614</v>
      </c>
    </row>
    <row r="38" spans="1:6">
      <c r="A38" s="1" t="s">
        <v>1556</v>
      </c>
      <c r="B38" s="1">
        <f>14*14</f>
        <v>196</v>
      </c>
      <c r="C38" s="1">
        <v>2</v>
      </c>
      <c r="D38" s="1">
        <v>6</v>
      </c>
      <c r="E38" s="3">
        <f>(B38*C38)/'Cost of fabrics'!$C$4*D38</f>
        <v>1.5555555555555554</v>
      </c>
    </row>
    <row r="39" spans="1:6">
      <c r="A39" s="1" t="s">
        <v>1557</v>
      </c>
      <c r="B39" s="1">
        <f>16*14</f>
        <v>224</v>
      </c>
      <c r="C39" s="1">
        <v>2</v>
      </c>
      <c r="D39" s="1">
        <v>6</v>
      </c>
      <c r="E39" s="3">
        <f>(B39*C39)/'Cost of fabrics'!$C$4*D39</f>
        <v>1.7777777777777777</v>
      </c>
    </row>
    <row r="40" spans="1:6">
      <c r="A40" s="1" t="s">
        <v>1559</v>
      </c>
      <c r="B40" s="1">
        <f>14*6</f>
        <v>84</v>
      </c>
      <c r="C40" s="1">
        <v>2</v>
      </c>
      <c r="D40" s="1">
        <v>5</v>
      </c>
      <c r="E40" s="3">
        <f>(B40*C40)/'Cost of fabrics'!$C$4*D40</f>
        <v>0.55555555555555558</v>
      </c>
    </row>
    <row r="41" spans="1:6">
      <c r="A41" s="1" t="s">
        <v>1615</v>
      </c>
      <c r="B41" s="1">
        <f>B38+B39</f>
        <v>420</v>
      </c>
      <c r="C41" s="1">
        <v>2</v>
      </c>
      <c r="D41" s="1">
        <v>5</v>
      </c>
      <c r="E41" s="3">
        <f>(B41*C41)/'Cost of fabrics'!$C$4*D41</f>
        <v>2.7777777777777777</v>
      </c>
    </row>
    <row r="42" spans="1:6">
      <c r="A42" s="1" t="s">
        <v>1558</v>
      </c>
      <c r="B42" s="1">
        <f>24*4</f>
        <v>96</v>
      </c>
      <c r="C42" s="1">
        <v>2</v>
      </c>
      <c r="D42" s="1">
        <v>6</v>
      </c>
      <c r="E42" s="3">
        <f>(B42*C42)/'Cost of fabrics'!$C$4*D42</f>
        <v>0.76190476190476186</v>
      </c>
    </row>
    <row r="43" spans="1:6">
      <c r="A43" s="1" t="s">
        <v>1616</v>
      </c>
      <c r="B43" s="1">
        <f>14*2</f>
        <v>28</v>
      </c>
      <c r="C43" s="1">
        <v>1</v>
      </c>
      <c r="D43" s="1">
        <v>6</v>
      </c>
      <c r="E43" s="3">
        <f>(B43*C43)/'Cost of fabrics'!$C$4*D43</f>
        <v>0.1111111111111111</v>
      </c>
      <c r="F43" s="206" t="s">
        <v>1669</v>
      </c>
    </row>
    <row r="44" spans="1:6">
      <c r="A44" s="198" t="s">
        <v>555</v>
      </c>
      <c r="B44" s="198"/>
      <c r="C44" s="198"/>
      <c r="D44" s="198"/>
      <c r="E44" s="207">
        <f>SUM(E38:E43)</f>
        <v>7.5396825396825387</v>
      </c>
      <c r="F44" s="208">
        <f>E44*3</f>
        <v>22.619047619047617</v>
      </c>
    </row>
    <row r="45" spans="1:6">
      <c r="A45" s="1" t="s">
        <v>1569</v>
      </c>
      <c r="C45" s="1">
        <v>1</v>
      </c>
      <c r="D45" s="1">
        <v>8</v>
      </c>
      <c r="E45" s="3">
        <f>C45*D45</f>
        <v>8</v>
      </c>
    </row>
    <row r="46" spans="1:6">
      <c r="A46" s="7" t="s">
        <v>1571</v>
      </c>
      <c r="B46" s="7"/>
      <c r="C46" s="7"/>
      <c r="D46" s="7"/>
      <c r="E46" s="10">
        <f>SUM(E44:E45)</f>
        <v>15.539682539682538</v>
      </c>
    </row>
    <row r="47" spans="1:6">
      <c r="A47" s="209" t="s">
        <v>1572</v>
      </c>
      <c r="B47" s="209"/>
      <c r="C47" s="209"/>
      <c r="D47" s="209"/>
      <c r="E47" s="210">
        <v>20</v>
      </c>
    </row>
    <row r="48" spans="1:6">
      <c r="E48" s="1"/>
    </row>
    <row r="49" spans="1:16">
      <c r="A49" s="7" t="s">
        <v>2057</v>
      </c>
      <c r="H49" s="1" t="s">
        <v>1595</v>
      </c>
      <c r="I49" s="1" t="s">
        <v>1594</v>
      </c>
      <c r="J49" s="1" t="s">
        <v>1646</v>
      </c>
      <c r="K49" s="1" t="s">
        <v>1643</v>
      </c>
      <c r="L49" s="1" t="s">
        <v>1648</v>
      </c>
    </row>
    <row r="50" spans="1:16">
      <c r="A50" s="1" t="s">
        <v>1556</v>
      </c>
      <c r="B50" s="1">
        <f>K50*I50+L50</f>
        <v>700</v>
      </c>
      <c r="C50" s="1">
        <v>1</v>
      </c>
      <c r="D50" s="1">
        <v>0</v>
      </c>
      <c r="E50" s="3">
        <f>(B50*C50)/'Cost of fabrics'!$C$4*D50</f>
        <v>0</v>
      </c>
      <c r="F50" s="1" t="s">
        <v>1622</v>
      </c>
      <c r="H50" s="27">
        <v>14</v>
      </c>
      <c r="I50" s="27">
        <v>14</v>
      </c>
      <c r="J50" s="27">
        <v>9</v>
      </c>
      <c r="K50" s="27">
        <f>'Mixer sizes'!$J$4</f>
        <v>32</v>
      </c>
      <c r="L50" s="62">
        <f>'Mixer sizes'!$K$4</f>
        <v>252</v>
      </c>
    </row>
    <row r="51" spans="1:16">
      <c r="A51" s="1" t="s">
        <v>1557</v>
      </c>
      <c r="B51" s="1">
        <f>B50</f>
        <v>700</v>
      </c>
      <c r="C51" s="1">
        <v>1</v>
      </c>
      <c r="D51" s="1">
        <v>0</v>
      </c>
      <c r="E51" s="3">
        <f>(B51*C51)/'Cost of fabrics'!$C$4*D51</f>
        <v>0</v>
      </c>
      <c r="F51" s="1" t="s">
        <v>1649</v>
      </c>
      <c r="H51" s="355">
        <v>15</v>
      </c>
      <c r="I51" s="355">
        <v>15</v>
      </c>
      <c r="J51" s="355">
        <v>10</v>
      </c>
      <c r="K51" s="1">
        <f>'Mixer sizes'!$J$7</f>
        <v>36</v>
      </c>
      <c r="L51" s="60">
        <f>'Mixer sizes'!$K$7</f>
        <v>300</v>
      </c>
    </row>
    <row r="52" spans="1:16">
      <c r="A52" s="1" t="s">
        <v>1559</v>
      </c>
      <c r="B52" s="1">
        <f>9*I50</f>
        <v>126</v>
      </c>
      <c r="C52" s="1">
        <v>2</v>
      </c>
      <c r="D52" s="1">
        <v>0</v>
      </c>
      <c r="E52" s="3">
        <f>(B52*C52)/'Cost of fabrics'!$C$4*D52</f>
        <v>0</v>
      </c>
      <c r="F52" s="1" t="s">
        <v>1644</v>
      </c>
      <c r="H52" s="355">
        <v>18</v>
      </c>
      <c r="I52" s="355">
        <v>16</v>
      </c>
      <c r="J52" s="355">
        <v>13</v>
      </c>
      <c r="K52" s="1">
        <f>'Mixer sizes'!$J$13</f>
        <v>42</v>
      </c>
      <c r="L52" s="60">
        <f>'Mixer sizes'!$K$13</f>
        <v>468</v>
      </c>
    </row>
    <row r="53" spans="1:16">
      <c r="A53" s="1" t="s">
        <v>1566</v>
      </c>
      <c r="B53" s="1">
        <f>B50+B52</f>
        <v>826</v>
      </c>
      <c r="C53" s="1">
        <v>1</v>
      </c>
      <c r="D53" s="1">
        <v>4</v>
      </c>
      <c r="E53" s="3">
        <f>(B53*C53)/'Cost of fabrics'!$C$20*D53</f>
        <v>3.9333333333333331</v>
      </c>
      <c r="F53" s="1" t="s">
        <v>1645</v>
      </c>
      <c r="H53" s="1">
        <v>18</v>
      </c>
      <c r="I53" s="1">
        <v>16</v>
      </c>
      <c r="J53" s="1">
        <v>15</v>
      </c>
      <c r="K53" s="60">
        <f>'Mixer sizes'!$J$21</f>
        <v>45.571428571428569</v>
      </c>
      <c r="L53" s="60">
        <f>'Mixer sizes'!$K$21</f>
        <v>540</v>
      </c>
    </row>
    <row r="54" spans="1:16">
      <c r="A54" s="1" t="s">
        <v>1616</v>
      </c>
      <c r="B54" s="1">
        <f>(K50*2)+(I50*4)*2.5</f>
        <v>204</v>
      </c>
      <c r="C54" s="1">
        <v>1</v>
      </c>
      <c r="D54" s="1">
        <v>0</v>
      </c>
      <c r="E54" s="3">
        <f>(B54*C54)/'Cost of fabrics'!$C$4*D54</f>
        <v>0</v>
      </c>
      <c r="F54" s="206" t="s">
        <v>1669</v>
      </c>
    </row>
    <row r="55" spans="1:16">
      <c r="A55" s="7" t="s">
        <v>2058</v>
      </c>
      <c r="B55" s="60">
        <f>L50</f>
        <v>252</v>
      </c>
      <c r="C55" s="1">
        <v>1</v>
      </c>
      <c r="D55" s="1">
        <v>4</v>
      </c>
      <c r="E55" s="3">
        <f>(B55*C55)/'Cost of fabrics'!$C$4*D55</f>
        <v>0.66666666666666663</v>
      </c>
      <c r="F55" s="208">
        <f>E56*3</f>
        <v>11.799999999999999</v>
      </c>
    </row>
    <row r="56" spans="1:16">
      <c r="A56" s="198" t="s">
        <v>555</v>
      </c>
      <c r="B56" s="198"/>
      <c r="C56" s="198"/>
      <c r="D56" s="198"/>
      <c r="E56" s="207">
        <f>SUM(E50:E54)</f>
        <v>3.9333333333333331</v>
      </c>
    </row>
    <row r="57" spans="1:16">
      <c r="A57" s="1" t="s">
        <v>1569</v>
      </c>
      <c r="C57" s="1">
        <v>2</v>
      </c>
      <c r="D57" s="1">
        <v>8</v>
      </c>
      <c r="E57" s="3">
        <f>C57*D57</f>
        <v>16</v>
      </c>
      <c r="F57" s="1">
        <v>35</v>
      </c>
    </row>
    <row r="58" spans="1:16">
      <c r="A58" s="7" t="s">
        <v>1571</v>
      </c>
      <c r="B58" s="7"/>
      <c r="C58" s="7"/>
      <c r="D58" s="7"/>
      <c r="E58" s="10">
        <f>SUM(E56:E57)</f>
        <v>19.933333333333334</v>
      </c>
    </row>
    <row r="59" spans="1:16">
      <c r="A59" s="209" t="s">
        <v>1572</v>
      </c>
      <c r="B59" s="209"/>
      <c r="C59" s="209"/>
      <c r="D59" s="209"/>
      <c r="E59" s="210">
        <f>E58*1.3</f>
        <v>25.913333333333334</v>
      </c>
      <c r="P59" s="53"/>
    </row>
    <row r="61" spans="1:16">
      <c r="A61" s="7" t="s">
        <v>1621</v>
      </c>
      <c r="H61" s="1" t="s">
        <v>1595</v>
      </c>
      <c r="I61" s="1" t="s">
        <v>1594</v>
      </c>
      <c r="J61" s="1" t="s">
        <v>1646</v>
      </c>
      <c r="K61" s="1" t="s">
        <v>1643</v>
      </c>
      <c r="L61" s="1" t="s">
        <v>1648</v>
      </c>
    </row>
    <row r="62" spans="1:16">
      <c r="A62" s="1" t="s">
        <v>1556</v>
      </c>
      <c r="B62" s="1">
        <f>K63*I63+L63</f>
        <v>840</v>
      </c>
      <c r="C62" s="1">
        <v>1</v>
      </c>
      <c r="D62" s="1">
        <v>14</v>
      </c>
      <c r="E62" s="3">
        <f>(B62*C62)/'Cost of fabrics'!$C$4*D62</f>
        <v>7.7777777777777786</v>
      </c>
      <c r="F62" s="1" t="s">
        <v>1622</v>
      </c>
      <c r="H62" s="1">
        <v>14</v>
      </c>
      <c r="I62" s="1">
        <v>14</v>
      </c>
      <c r="J62" s="1">
        <v>9</v>
      </c>
      <c r="K62" s="1">
        <f>'Mixer sizes'!$J$4</f>
        <v>32</v>
      </c>
      <c r="L62" s="60">
        <f>'Mixer sizes'!$K$4</f>
        <v>252</v>
      </c>
    </row>
    <row r="63" spans="1:16">
      <c r="A63" s="1" t="s">
        <v>1557</v>
      </c>
      <c r="B63" s="1">
        <f>B62</f>
        <v>840</v>
      </c>
      <c r="C63" s="1">
        <v>1</v>
      </c>
      <c r="D63" s="1">
        <v>14</v>
      </c>
      <c r="E63" s="3">
        <f>(B63*C63)/'Cost of fabrics'!$C$4*D63</f>
        <v>7.7777777777777786</v>
      </c>
      <c r="F63" s="1" t="s">
        <v>1649</v>
      </c>
      <c r="H63" s="27">
        <v>15</v>
      </c>
      <c r="I63" s="27">
        <v>15</v>
      </c>
      <c r="J63" s="27">
        <v>10</v>
      </c>
      <c r="K63" s="27">
        <f>'Mixer sizes'!$J$7</f>
        <v>36</v>
      </c>
      <c r="L63" s="62">
        <f>'Mixer sizes'!$K$7</f>
        <v>300</v>
      </c>
    </row>
    <row r="64" spans="1:16">
      <c r="A64" s="1" t="s">
        <v>1559</v>
      </c>
      <c r="B64" s="1">
        <f>9*I63</f>
        <v>135</v>
      </c>
      <c r="C64" s="1">
        <v>2</v>
      </c>
      <c r="D64" s="1">
        <v>14</v>
      </c>
      <c r="E64" s="3">
        <f>(B64*C64)/'Cost of fabrics'!$C$4*D64</f>
        <v>2.5</v>
      </c>
      <c r="F64" s="1" t="s">
        <v>1644</v>
      </c>
      <c r="H64" s="355">
        <v>18</v>
      </c>
      <c r="I64" s="355">
        <v>16</v>
      </c>
      <c r="J64" s="355">
        <v>13</v>
      </c>
      <c r="K64" s="1">
        <f>'Mixer sizes'!$J$13</f>
        <v>42</v>
      </c>
      <c r="L64" s="60">
        <f>'Mixer sizes'!$K$13</f>
        <v>468</v>
      </c>
    </row>
    <row r="65" spans="1:12">
      <c r="A65" s="1" t="s">
        <v>1566</v>
      </c>
      <c r="B65" s="1">
        <f>B62+B64</f>
        <v>975</v>
      </c>
      <c r="C65" s="1">
        <v>1</v>
      </c>
      <c r="D65" s="1">
        <v>4</v>
      </c>
      <c r="E65" s="3">
        <f>(B65*C65)/'Cost of fabrics'!$C$20*D65</f>
        <v>4.6428571428571432</v>
      </c>
      <c r="F65" s="1" t="s">
        <v>1645</v>
      </c>
      <c r="H65" s="1">
        <v>18</v>
      </c>
      <c r="I65" s="1">
        <v>16</v>
      </c>
      <c r="J65" s="1">
        <v>15</v>
      </c>
      <c r="K65" s="60">
        <f>'Mixer sizes'!$J$21</f>
        <v>45.571428571428569</v>
      </c>
      <c r="L65" s="60">
        <f>'Mixer sizes'!$K$21</f>
        <v>540</v>
      </c>
    </row>
    <row r="66" spans="1:12">
      <c r="A66" s="1" t="s">
        <v>1616</v>
      </c>
      <c r="B66" s="1">
        <f>(K63*2)+(I63*4)*2.5</f>
        <v>222</v>
      </c>
      <c r="C66" s="1">
        <v>1</v>
      </c>
      <c r="D66" s="1">
        <v>8</v>
      </c>
      <c r="E66" s="3">
        <f>(B66*C66)/'Cost of fabrics'!$C$4*D66</f>
        <v>1.1746031746031746</v>
      </c>
      <c r="F66" s="206" t="s">
        <v>1669</v>
      </c>
    </row>
    <row r="67" spans="1:12">
      <c r="A67" s="198" t="s">
        <v>555</v>
      </c>
      <c r="B67" s="198"/>
      <c r="C67" s="198"/>
      <c r="D67" s="198"/>
      <c r="E67" s="207">
        <f>SUM(E62:E66)</f>
        <v>23.873015873015873</v>
      </c>
      <c r="F67" s="208">
        <f>E67*3</f>
        <v>71.61904761904762</v>
      </c>
    </row>
    <row r="68" spans="1:12">
      <c r="A68" s="1" t="s">
        <v>1569</v>
      </c>
      <c r="C68" s="1">
        <v>2</v>
      </c>
      <c r="D68" s="1">
        <v>8</v>
      </c>
      <c r="E68" s="3">
        <f>C68*D68</f>
        <v>16</v>
      </c>
    </row>
    <row r="69" spans="1:12">
      <c r="A69" s="7" t="s">
        <v>1571</v>
      </c>
      <c r="B69" s="7"/>
      <c r="C69" s="7"/>
      <c r="D69" s="7"/>
      <c r="E69" s="10">
        <f>SUM(E67:E68)</f>
        <v>39.873015873015873</v>
      </c>
      <c r="F69" s="1">
        <v>35</v>
      </c>
    </row>
    <row r="70" spans="1:12">
      <c r="A70" s="209" t="s">
        <v>1572</v>
      </c>
      <c r="B70" s="209"/>
      <c r="C70" s="209"/>
      <c r="D70" s="209"/>
      <c r="E70" s="210">
        <f>E69*1.3</f>
        <v>51.834920634920636</v>
      </c>
    </row>
    <row r="73" spans="1:12">
      <c r="A73" s="7" t="s">
        <v>3460</v>
      </c>
    </row>
    <row r="74" spans="1:12">
      <c r="A74" s="1" t="s">
        <v>1556</v>
      </c>
      <c r="B74" s="60">
        <f>K65*I65+L65</f>
        <v>1269.1428571428571</v>
      </c>
      <c r="C74" s="1">
        <v>1</v>
      </c>
      <c r="D74" s="1">
        <v>8</v>
      </c>
      <c r="E74" s="3">
        <f>(B74*C74)/'Cost of fabrics'!$C$4*D74</f>
        <v>6.715041572184429</v>
      </c>
    </row>
    <row r="75" spans="1:12">
      <c r="A75" s="1" t="s">
        <v>1557</v>
      </c>
      <c r="B75" s="60">
        <f>B74</f>
        <v>1269.1428571428571</v>
      </c>
      <c r="C75" s="1">
        <v>1</v>
      </c>
      <c r="D75" s="1">
        <v>8</v>
      </c>
      <c r="E75" s="3">
        <f>(B75*C75)/'Cost of fabrics'!$C$4*D75</f>
        <v>6.715041572184429</v>
      </c>
    </row>
    <row r="76" spans="1:12">
      <c r="A76" s="1" t="s">
        <v>1559</v>
      </c>
      <c r="B76" s="60">
        <f>9*I65</f>
        <v>144</v>
      </c>
      <c r="C76" s="1">
        <v>2</v>
      </c>
      <c r="D76" s="1">
        <v>8</v>
      </c>
      <c r="E76" s="3">
        <f>(B76*C76)/'Cost of fabrics'!$C$4*D76</f>
        <v>1.5238095238095237</v>
      </c>
    </row>
    <row r="77" spans="1:12">
      <c r="A77" s="1" t="s">
        <v>1566</v>
      </c>
      <c r="B77" s="60">
        <f>B74+B76</f>
        <v>1413.1428571428571</v>
      </c>
      <c r="C77" s="1">
        <v>1</v>
      </c>
      <c r="D77" s="1">
        <v>4</v>
      </c>
      <c r="E77" s="3">
        <f>(B77*C77)/'Cost of fabrics'!$C$20*D77</f>
        <v>6.7292517006802717</v>
      </c>
      <c r="F77" s="1">
        <v>45</v>
      </c>
    </row>
    <row r="78" spans="1:12">
      <c r="A78" s="1" t="s">
        <v>1616</v>
      </c>
      <c r="B78" s="60">
        <f>(K65*2)+(I65*4)*2.5</f>
        <v>251.14285714285714</v>
      </c>
      <c r="C78" s="1">
        <v>1</v>
      </c>
      <c r="D78" s="1">
        <v>8</v>
      </c>
      <c r="E78" s="3">
        <f>(B78*C78)/'Cost of fabrics'!$C$4*D78</f>
        <v>1.3287981859410432</v>
      </c>
    </row>
    <row r="79" spans="1:12">
      <c r="A79" s="198" t="s">
        <v>555</v>
      </c>
      <c r="B79" s="198"/>
      <c r="C79" s="198"/>
      <c r="D79" s="198"/>
      <c r="E79" s="207">
        <f>SUM(E74:E78)</f>
        <v>23.011942554799695</v>
      </c>
    </row>
    <row r="80" spans="1:12">
      <c r="A80" s="1" t="s">
        <v>1569</v>
      </c>
      <c r="C80" s="1">
        <v>2.5</v>
      </c>
      <c r="D80" s="1">
        <v>8</v>
      </c>
      <c r="E80" s="3">
        <f>C80*D80</f>
        <v>20</v>
      </c>
    </row>
    <row r="81" spans="1:11">
      <c r="A81" s="7" t="s">
        <v>1571</v>
      </c>
      <c r="B81" s="7"/>
      <c r="C81" s="7"/>
      <c r="D81" s="7"/>
      <c r="E81" s="10">
        <f>SUM(E79:E80)</f>
        <v>43.011942554799695</v>
      </c>
    </row>
    <row r="82" spans="1:11">
      <c r="A82" s="209" t="s">
        <v>1572</v>
      </c>
      <c r="B82" s="209"/>
      <c r="C82" s="209"/>
      <c r="D82" s="209"/>
      <c r="E82" s="210">
        <f>E81*1.3</f>
        <v>55.915525321239606</v>
      </c>
    </row>
    <row r="85" spans="1:11">
      <c r="A85" s="7" t="s">
        <v>3543</v>
      </c>
    </row>
    <row r="86" spans="1:11">
      <c r="A86" s="1" t="s">
        <v>1556</v>
      </c>
      <c r="B86" s="60">
        <f>J87*H87+K87</f>
        <v>965.71428571428578</v>
      </c>
      <c r="C86" s="1">
        <v>1</v>
      </c>
      <c r="D86" s="1">
        <v>8</v>
      </c>
      <c r="E86" s="3">
        <f>(B86*C86)/'Cost of fabrics'!$C$4*D86</f>
        <v>5.1095993953136816</v>
      </c>
      <c r="G86" s="1" t="s">
        <v>1595</v>
      </c>
      <c r="H86" s="1" t="s">
        <v>1594</v>
      </c>
      <c r="I86" s="1" t="s">
        <v>1646</v>
      </c>
      <c r="J86" s="1" t="s">
        <v>1643</v>
      </c>
      <c r="K86" s="1" t="s">
        <v>1648</v>
      </c>
    </row>
    <row r="87" spans="1:11">
      <c r="A87" s="1" t="s">
        <v>1557</v>
      </c>
      <c r="B87" s="60">
        <f>B86</f>
        <v>965.71428571428578</v>
      </c>
      <c r="C87" s="1">
        <v>1</v>
      </c>
      <c r="D87" s="1">
        <v>8</v>
      </c>
      <c r="E87" s="3">
        <f>(B87*C87)/'Cost of fabrics'!$C$4*D87</f>
        <v>5.1095993953136816</v>
      </c>
      <c r="G87" s="1">
        <v>15</v>
      </c>
      <c r="H87" s="1">
        <v>16</v>
      </c>
      <c r="I87" s="1">
        <v>12</v>
      </c>
      <c r="J87" s="60">
        <f>'Mixer sizes'!J111</f>
        <v>37.857142857142861</v>
      </c>
      <c r="K87" s="60">
        <f>'Mixer sizes'!K111</f>
        <v>360</v>
      </c>
    </row>
    <row r="88" spans="1:11">
      <c r="A88" s="1" t="s">
        <v>1559</v>
      </c>
      <c r="B88" s="60">
        <f>9*H87</f>
        <v>144</v>
      </c>
      <c r="C88" s="1">
        <v>2</v>
      </c>
      <c r="D88" s="1">
        <v>8</v>
      </c>
      <c r="E88" s="3">
        <f>(B88*C88)/'Cost of fabrics'!$C$4*D88</f>
        <v>1.5238095238095237</v>
      </c>
    </row>
    <row r="89" spans="1:11">
      <c r="A89" s="1" t="s">
        <v>1566</v>
      </c>
      <c r="B89" s="60">
        <f>B86+B88</f>
        <v>1109.7142857142858</v>
      </c>
      <c r="C89" s="1">
        <v>1</v>
      </c>
      <c r="D89" s="1">
        <v>4</v>
      </c>
      <c r="E89" s="3">
        <f>(B89*C89)/'Cost of fabrics'!$C$20*D89</f>
        <v>5.2843537414965986</v>
      </c>
    </row>
    <row r="90" spans="1:11">
      <c r="A90" s="1" t="s">
        <v>1616</v>
      </c>
      <c r="B90" s="60">
        <f>(H87*2)+(J87*4)*2.5</f>
        <v>410.57142857142861</v>
      </c>
      <c r="C90" s="1">
        <v>1</v>
      </c>
      <c r="D90" s="1">
        <v>6</v>
      </c>
      <c r="E90" s="3">
        <f>(B90*C90)/'Cost of fabrics'!$C$4*D90</f>
        <v>1.6292517006802725</v>
      </c>
    </row>
    <row r="91" spans="1:11">
      <c r="A91" s="198" t="s">
        <v>555</v>
      </c>
      <c r="B91" s="198"/>
      <c r="C91" s="198"/>
      <c r="D91" s="198"/>
      <c r="E91" s="207">
        <f>SUM(E86:E90)</f>
        <v>18.656613756613758</v>
      </c>
    </row>
    <row r="92" spans="1:11">
      <c r="A92" s="1" t="s">
        <v>1569</v>
      </c>
      <c r="C92" s="1">
        <v>2</v>
      </c>
      <c r="D92" s="1">
        <v>8</v>
      </c>
      <c r="E92" s="3">
        <f>C92*D92</f>
        <v>16</v>
      </c>
    </row>
    <row r="93" spans="1:11">
      <c r="A93" s="7" t="s">
        <v>1571</v>
      </c>
      <c r="B93" s="7"/>
      <c r="C93" s="7"/>
      <c r="D93" s="7"/>
      <c r="E93" s="10">
        <f>SUM(E91:E92)</f>
        <v>34.656613756613758</v>
      </c>
    </row>
    <row r="94" spans="1:11">
      <c r="A94" s="209" t="s">
        <v>1572</v>
      </c>
      <c r="B94" s="209"/>
      <c r="C94" s="209"/>
      <c r="D94" s="209"/>
      <c r="E94" s="210">
        <f>E93*1.3</f>
        <v>45.053597883597888</v>
      </c>
    </row>
    <row r="95" spans="1:11">
      <c r="E95" s="1"/>
      <c r="F95" s="1">
        <v>45</v>
      </c>
    </row>
    <row r="97" spans="1:9">
      <c r="A97" s="7" t="s">
        <v>1885</v>
      </c>
      <c r="H97" s="1" t="s">
        <v>1595</v>
      </c>
      <c r="I97" s="1" t="s">
        <v>1594</v>
      </c>
    </row>
    <row r="98" spans="1:9">
      <c r="A98" s="1" t="s">
        <v>1556</v>
      </c>
      <c r="B98" s="53">
        <f>'Complex measuremts'!F52</f>
        <v>180</v>
      </c>
      <c r="C98" s="1">
        <v>1</v>
      </c>
      <c r="D98" s="1">
        <v>12</v>
      </c>
      <c r="E98" s="3">
        <f>(B98*C98)/'Cost of fabrics'!$C$4*D98</f>
        <v>1.4285714285714284</v>
      </c>
      <c r="H98" s="27">
        <v>9</v>
      </c>
      <c r="I98" s="27">
        <v>18</v>
      </c>
    </row>
    <row r="99" spans="1:9">
      <c r="A99" s="1" t="s">
        <v>1557</v>
      </c>
      <c r="B99" s="53">
        <f>'Complex measuremts'!E53</f>
        <v>120</v>
      </c>
      <c r="C99" s="1">
        <v>1</v>
      </c>
      <c r="D99" s="1">
        <v>6</v>
      </c>
      <c r="E99" s="3">
        <f>(B99*C99)/'Cost of fabrics'!$C$4*D99</f>
        <v>0.47619047619047616</v>
      </c>
    </row>
    <row r="100" spans="1:9">
      <c r="A100" s="1" t="s">
        <v>1896</v>
      </c>
      <c r="B100" s="53">
        <f>'Complex measuremts'!E54+'Complex measuremts'!E55</f>
        <v>135</v>
      </c>
      <c r="C100" s="1">
        <v>1</v>
      </c>
      <c r="D100" s="1">
        <v>6</v>
      </c>
      <c r="E100" s="3">
        <f>(B100*C100)/'Cost of fabrics'!$C$4*D100</f>
        <v>0.5357142857142857</v>
      </c>
    </row>
    <row r="101" spans="1:9">
      <c r="A101" s="1" t="s">
        <v>1897</v>
      </c>
      <c r="B101" s="53">
        <f>'Complex measuremts'!E56+'Complex measuremts'!E57</f>
        <v>166</v>
      </c>
      <c r="C101" s="1">
        <v>1</v>
      </c>
      <c r="D101" s="1">
        <v>6</v>
      </c>
      <c r="E101" s="3">
        <f>(B101*C101)/'Cost of fabrics'!$C$4*D101</f>
        <v>0.65873015873015872</v>
      </c>
    </row>
    <row r="102" spans="1:9">
      <c r="A102" s="1" t="s">
        <v>1615</v>
      </c>
      <c r="B102" s="53">
        <f>'Complex measuremts'!E58</f>
        <v>270.5</v>
      </c>
      <c r="C102" s="1">
        <v>1</v>
      </c>
      <c r="D102" s="1">
        <v>6</v>
      </c>
      <c r="E102" s="3">
        <f>(B102*C102)/'Cost of fabrics'!$C$4*D102</f>
        <v>1.0734126984126984</v>
      </c>
    </row>
    <row r="103" spans="1:9">
      <c r="A103" s="1" t="s">
        <v>1886</v>
      </c>
      <c r="C103" s="1">
        <v>1</v>
      </c>
      <c r="D103" s="1">
        <v>1</v>
      </c>
      <c r="E103" s="3">
        <f>C103*D103</f>
        <v>1</v>
      </c>
      <c r="F103" s="206" t="s">
        <v>1669</v>
      </c>
    </row>
    <row r="104" spans="1:9">
      <c r="A104" s="198" t="s">
        <v>555</v>
      </c>
      <c r="B104" s="198"/>
      <c r="C104" s="198"/>
      <c r="D104" s="198"/>
      <c r="E104" s="207">
        <f>SUM(E98:E103)</f>
        <v>5.1726190476190474</v>
      </c>
      <c r="F104" s="208">
        <f>E104*3</f>
        <v>15.517857142857142</v>
      </c>
    </row>
    <row r="105" spans="1:9">
      <c r="A105" s="1" t="s">
        <v>1569</v>
      </c>
      <c r="C105" s="1">
        <v>2</v>
      </c>
      <c r="D105" s="1">
        <v>8</v>
      </c>
      <c r="E105" s="3">
        <f>C105*D105</f>
        <v>16</v>
      </c>
    </row>
    <row r="106" spans="1:9">
      <c r="A106" s="7" t="s">
        <v>1571</v>
      </c>
      <c r="B106" s="7"/>
      <c r="C106" s="7"/>
      <c r="D106" s="7"/>
      <c r="E106" s="10">
        <f>SUM(E104:E105)</f>
        <v>21.172619047619047</v>
      </c>
      <c r="F106" s="60">
        <f>E106*1.3</f>
        <v>27.524404761904762</v>
      </c>
    </row>
    <row r="107" spans="1:9">
      <c r="A107" s="209" t="s">
        <v>1853</v>
      </c>
      <c r="B107" s="209"/>
      <c r="C107" s="209"/>
      <c r="D107" s="209"/>
      <c r="E107" s="210">
        <f>E106*1.3</f>
        <v>27.524404761904762</v>
      </c>
    </row>
    <row r="110" spans="1:9">
      <c r="A110" s="7" t="s">
        <v>1651</v>
      </c>
      <c r="B110" s="1" t="s">
        <v>1731</v>
      </c>
    </row>
    <row r="111" spans="1:9">
      <c r="A111" s="1" t="s">
        <v>1556</v>
      </c>
      <c r="B111" s="1">
        <f>18*6</f>
        <v>108</v>
      </c>
      <c r="C111" s="1">
        <v>2</v>
      </c>
      <c r="D111" s="1">
        <v>8</v>
      </c>
      <c r="E111" s="3">
        <f>(B111*C111)/'Cost of fabrics'!$C$4*D111</f>
        <v>1.1428571428571428</v>
      </c>
    </row>
    <row r="112" spans="1:9">
      <c r="A112" s="1" t="s">
        <v>1557</v>
      </c>
      <c r="B112" s="1">
        <f>18*6</f>
        <v>108</v>
      </c>
      <c r="C112" s="1">
        <v>2</v>
      </c>
      <c r="D112" s="1">
        <v>8</v>
      </c>
      <c r="E112" s="3">
        <f>(B112*C112)/'Cost of fabrics'!$C$4*D112</f>
        <v>1.1428571428571428</v>
      </c>
    </row>
    <row r="113" spans="1:11">
      <c r="A113" s="1" t="s">
        <v>1559</v>
      </c>
      <c r="B113" s="1">
        <f>(5*6*2.5)+(8*6*2)</f>
        <v>171</v>
      </c>
      <c r="C113" s="1">
        <v>1</v>
      </c>
      <c r="D113" s="1">
        <v>8</v>
      </c>
      <c r="E113" s="3">
        <f>(B113*C113)/'Cost of fabrics'!$C$4*D113</f>
        <v>0.90476190476190477</v>
      </c>
    </row>
    <row r="114" spans="1:11">
      <c r="A114" s="1" t="s">
        <v>1566</v>
      </c>
      <c r="B114" s="1">
        <f>18*6</f>
        <v>108</v>
      </c>
      <c r="C114" s="1">
        <v>1</v>
      </c>
      <c r="D114" s="1">
        <v>4</v>
      </c>
      <c r="E114" s="3">
        <f>(B114*C114)/'Cost of fabrics'!$C$20*D114</f>
        <v>0.51428571428571423</v>
      </c>
    </row>
    <row r="115" spans="1:11">
      <c r="A115" s="1" t="s">
        <v>1558</v>
      </c>
      <c r="B115" s="1">
        <f>9*4</f>
        <v>36</v>
      </c>
      <c r="C115" s="1">
        <v>1</v>
      </c>
      <c r="D115" s="1">
        <v>8</v>
      </c>
      <c r="E115" s="3">
        <f>(B115*C115)/'Cost of fabrics'!$C$4*D115</f>
        <v>0.19047619047619047</v>
      </c>
    </row>
    <row r="116" spans="1:11">
      <c r="A116" s="1" t="s">
        <v>1652</v>
      </c>
      <c r="C116" s="1">
        <v>1</v>
      </c>
      <c r="D116" s="1">
        <v>0.5</v>
      </c>
      <c r="E116" s="3">
        <f>C116*D116</f>
        <v>0.5</v>
      </c>
      <c r="F116" s="206" t="s">
        <v>1669</v>
      </c>
    </row>
    <row r="117" spans="1:11">
      <c r="A117" s="198" t="s">
        <v>555</v>
      </c>
      <c r="B117" s="198"/>
      <c r="C117" s="198"/>
      <c r="D117" s="198"/>
      <c r="E117" s="207">
        <f>SUM(E111:E116)</f>
        <v>4.3952380952380947</v>
      </c>
      <c r="F117" s="208">
        <f>E117*3</f>
        <v>13.185714285714283</v>
      </c>
    </row>
    <row r="118" spans="1:11">
      <c r="A118" s="1" t="s">
        <v>1569</v>
      </c>
      <c r="C118" s="1">
        <v>0.5</v>
      </c>
      <c r="D118" s="1">
        <v>8</v>
      </c>
      <c r="E118" s="3">
        <f>C118*D118</f>
        <v>4</v>
      </c>
    </row>
    <row r="119" spans="1:11">
      <c r="A119" s="7" t="s">
        <v>1571</v>
      </c>
      <c r="B119" s="7"/>
      <c r="C119" s="7"/>
      <c r="D119" s="7"/>
      <c r="E119" s="10">
        <f>SUM(E117:E118)</f>
        <v>8.3952380952380956</v>
      </c>
    </row>
    <row r="120" spans="1:11">
      <c r="A120" s="209" t="s">
        <v>1572</v>
      </c>
      <c r="B120" s="209"/>
      <c r="C120" s="209"/>
      <c r="D120" s="209"/>
      <c r="E120" s="210">
        <v>12</v>
      </c>
    </row>
    <row r="123" spans="1:11">
      <c r="A123" s="7" t="s">
        <v>1903</v>
      </c>
    </row>
    <row r="124" spans="1:11">
      <c r="A124" s="1" t="s">
        <v>1556</v>
      </c>
      <c r="B124" s="1">
        <f>G127*J127+K126</f>
        <v>920</v>
      </c>
      <c r="C124" s="1">
        <v>1</v>
      </c>
      <c r="D124" s="1">
        <v>8</v>
      </c>
      <c r="E124" s="3">
        <f>(B124*C124)/'Cost of fabrics'!$C$4*D124</f>
        <v>4.8677248677248679</v>
      </c>
    </row>
    <row r="125" spans="1:11">
      <c r="A125" s="1" t="s">
        <v>1557</v>
      </c>
      <c r="B125" s="1">
        <f>B124</f>
        <v>920</v>
      </c>
      <c r="C125" s="1">
        <v>1</v>
      </c>
      <c r="D125" s="1">
        <v>6</v>
      </c>
      <c r="E125" s="3">
        <f>(B125*C125)/'Cost of fabrics'!$C$4*D125</f>
        <v>3.6507936507936511</v>
      </c>
      <c r="K125" s="1" t="s">
        <v>1911</v>
      </c>
    </row>
    <row r="126" spans="1:11">
      <c r="A126" s="1" t="s">
        <v>1566</v>
      </c>
      <c r="B126" s="1">
        <f>B124</f>
        <v>920</v>
      </c>
      <c r="C126" s="1">
        <v>1</v>
      </c>
      <c r="D126" s="1">
        <v>4</v>
      </c>
      <c r="E126" s="3">
        <f>(B126*C126)/'Cost of fabrics'!$C$20*D126</f>
        <v>4.3809523809523814</v>
      </c>
      <c r="G126" s="1" t="s">
        <v>1595</v>
      </c>
      <c r="H126" s="1" t="s">
        <v>1594</v>
      </c>
      <c r="I126" s="1" t="s">
        <v>1646</v>
      </c>
      <c r="J126" s="1" t="s">
        <v>1643</v>
      </c>
      <c r="K126" s="400">
        <f>12*16</f>
        <v>192</v>
      </c>
    </row>
    <row r="127" spans="1:11">
      <c r="A127" s="1" t="s">
        <v>1616</v>
      </c>
      <c r="B127" s="1">
        <f>J127*2.5</f>
        <v>130</v>
      </c>
      <c r="C127" s="1">
        <v>1</v>
      </c>
      <c r="D127" s="1">
        <v>7</v>
      </c>
      <c r="E127" s="3">
        <f>(B127*C127)/'Cost of fabrics'!$C$4*D127</f>
        <v>0.60185185185185186</v>
      </c>
      <c r="G127" s="1">
        <v>14</v>
      </c>
      <c r="H127" s="1">
        <v>11</v>
      </c>
      <c r="I127" s="1">
        <v>15</v>
      </c>
      <c r="J127" s="1">
        <f>H127*2+I127*2</f>
        <v>52</v>
      </c>
    </row>
    <row r="128" spans="1:11">
      <c r="A128" s="198" t="s">
        <v>555</v>
      </c>
      <c r="B128" s="198"/>
      <c r="C128" s="198"/>
      <c r="D128" s="198"/>
      <c r="E128" s="207">
        <f>SUM(E124:E127)</f>
        <v>13.501322751322752</v>
      </c>
      <c r="G128" s="1" t="s">
        <v>1911</v>
      </c>
    </row>
    <row r="129" spans="1:14">
      <c r="A129" s="1" t="s">
        <v>1569</v>
      </c>
      <c r="C129" s="1">
        <v>2</v>
      </c>
      <c r="D129" s="1">
        <v>8</v>
      </c>
      <c r="E129" s="3">
        <f>C129*D129</f>
        <v>16</v>
      </c>
      <c r="G129" s="400" t="s">
        <v>1912</v>
      </c>
    </row>
    <row r="130" spans="1:14">
      <c r="A130" s="7" t="s">
        <v>1571</v>
      </c>
      <c r="B130" s="7"/>
      <c r="C130" s="7"/>
      <c r="D130" s="7"/>
      <c r="E130" s="10">
        <f>SUM(E128:E129)</f>
        <v>29.501322751322753</v>
      </c>
    </row>
    <row r="131" spans="1:14">
      <c r="A131" s="209" t="s">
        <v>1572</v>
      </c>
      <c r="B131" s="209"/>
      <c r="C131" s="209"/>
      <c r="D131" s="209"/>
      <c r="E131" s="210">
        <f>E130*1.3</f>
        <v>38.351719576719582</v>
      </c>
    </row>
    <row r="134" spans="1:14">
      <c r="A134" s="7" t="s">
        <v>1914</v>
      </c>
      <c r="C134" s="1" t="s">
        <v>2584</v>
      </c>
    </row>
    <row r="135" spans="1:14">
      <c r="A135" s="1" t="s">
        <v>1556</v>
      </c>
      <c r="B135" s="1">
        <f>L137+L138+L147</f>
        <v>692.5</v>
      </c>
      <c r="C135" s="1">
        <v>1</v>
      </c>
      <c r="D135" s="1">
        <v>6</v>
      </c>
      <c r="E135" s="3">
        <f>(B135*C135)/'Cost of fabrics'!$C$4*D135</f>
        <v>2.748015873015873</v>
      </c>
      <c r="I135" s="1" t="s">
        <v>1609</v>
      </c>
      <c r="J135" s="1" t="s">
        <v>1594</v>
      </c>
      <c r="K135" s="1" t="s">
        <v>1924</v>
      </c>
      <c r="M135" s="400"/>
    </row>
    <row r="136" spans="1:14">
      <c r="A136" s="1" t="s">
        <v>1557</v>
      </c>
      <c r="B136" s="1">
        <f>L136+L139+L140+L141+L147+L142</f>
        <v>1487.5</v>
      </c>
      <c r="C136" s="1">
        <v>1</v>
      </c>
      <c r="D136" s="1">
        <v>4</v>
      </c>
      <c r="E136" s="3">
        <f>(B136*C136)/'Cost of fabrics'!$C$4*D136</f>
        <v>3.9351851851851851</v>
      </c>
      <c r="G136" s="1" t="s">
        <v>1915</v>
      </c>
      <c r="I136" s="1">
        <v>13</v>
      </c>
      <c r="J136" s="1">
        <v>13</v>
      </c>
      <c r="K136" s="1">
        <v>2</v>
      </c>
      <c r="L136" s="1">
        <f>I136*J136*K136</f>
        <v>338</v>
      </c>
    </row>
    <row r="137" spans="1:14">
      <c r="A137" s="1" t="s">
        <v>1926</v>
      </c>
      <c r="B137" s="1">
        <f>B136+B135</f>
        <v>2180</v>
      </c>
      <c r="C137" s="1">
        <v>1</v>
      </c>
      <c r="D137" s="1">
        <v>9</v>
      </c>
      <c r="E137" s="3">
        <f>(B137*C137)/$M$144*D137</f>
        <v>3.0277777777777777</v>
      </c>
      <c r="G137" s="401" t="s">
        <v>1916</v>
      </c>
      <c r="I137" s="1">
        <v>8</v>
      </c>
      <c r="J137" s="1">
        <v>13</v>
      </c>
      <c r="K137" s="1">
        <v>4</v>
      </c>
      <c r="L137" s="1">
        <f t="shared" ref="L137:L144" si="0">I137*J137*K137</f>
        <v>416</v>
      </c>
    </row>
    <row r="138" spans="1:14">
      <c r="A138" s="1" t="s">
        <v>1566</v>
      </c>
      <c r="B138" s="1">
        <f>L144+L147</f>
        <v>567.5</v>
      </c>
      <c r="C138" s="1">
        <v>1</v>
      </c>
      <c r="D138" s="1">
        <v>7</v>
      </c>
      <c r="E138" s="3">
        <f>(B138*C138)/'Cost of fabrics'!$C$24*D138</f>
        <v>1.9237288135593218</v>
      </c>
      <c r="G138" s="401" t="s">
        <v>1917</v>
      </c>
      <c r="I138" s="1">
        <v>29</v>
      </c>
      <c r="J138" s="1">
        <v>3.5</v>
      </c>
      <c r="K138" s="1">
        <v>2</v>
      </c>
      <c r="L138" s="1">
        <f t="shared" si="0"/>
        <v>203</v>
      </c>
    </row>
    <row r="139" spans="1:14">
      <c r="A139" s="1" t="s">
        <v>1922</v>
      </c>
      <c r="B139" s="1">
        <f>(10+18+13)</f>
        <v>41</v>
      </c>
      <c r="C139" s="1">
        <v>1</v>
      </c>
      <c r="D139" s="1">
        <v>1.5</v>
      </c>
      <c r="E139" s="3">
        <f>B139/M142*D139</f>
        <v>1.7083333333333333</v>
      </c>
      <c r="G139" s="1" t="s">
        <v>1840</v>
      </c>
      <c r="I139" s="1">
        <v>19</v>
      </c>
      <c r="J139" s="1">
        <v>13</v>
      </c>
      <c r="K139" s="1">
        <v>2</v>
      </c>
      <c r="L139" s="1">
        <f t="shared" si="0"/>
        <v>494</v>
      </c>
    </row>
    <row r="140" spans="1:14">
      <c r="A140" s="1" t="s">
        <v>1923</v>
      </c>
      <c r="C140" s="1">
        <v>3</v>
      </c>
      <c r="D140" s="1">
        <v>0.6</v>
      </c>
      <c r="E140" s="3">
        <f>C140*D140</f>
        <v>1.7999999999999998</v>
      </c>
      <c r="G140" s="1" t="s">
        <v>1919</v>
      </c>
      <c r="I140" s="1">
        <v>11</v>
      </c>
      <c r="J140" s="1">
        <v>8</v>
      </c>
      <c r="K140" s="1">
        <v>2</v>
      </c>
      <c r="L140" s="1">
        <f t="shared" si="0"/>
        <v>176</v>
      </c>
      <c r="N140" s="1" t="s">
        <v>1925</v>
      </c>
    </row>
    <row r="141" spans="1:14">
      <c r="A141" s="1" t="s">
        <v>1927</v>
      </c>
      <c r="B141" s="1">
        <f>L148</f>
        <v>55.25</v>
      </c>
      <c r="C141" s="1">
        <v>1</v>
      </c>
      <c r="D141" s="1">
        <v>3</v>
      </c>
      <c r="E141" s="3">
        <f>(B141*C141)/$M$145*D141</f>
        <v>0.10625</v>
      </c>
      <c r="G141" s="1" t="s">
        <v>1920</v>
      </c>
      <c r="I141" s="1">
        <v>12.5</v>
      </c>
      <c r="J141" s="1">
        <v>12.5</v>
      </c>
      <c r="K141" s="1">
        <v>1</v>
      </c>
      <c r="L141" s="1">
        <f t="shared" si="0"/>
        <v>156.25</v>
      </c>
    </row>
    <row r="142" spans="1:14">
      <c r="A142" s="1" t="s">
        <v>1930</v>
      </c>
      <c r="C142" s="1">
        <v>8</v>
      </c>
      <c r="D142" s="1">
        <v>1</v>
      </c>
      <c r="E142" s="3">
        <f>C142/20*D142</f>
        <v>0.4</v>
      </c>
      <c r="G142" s="1" t="s">
        <v>2098</v>
      </c>
      <c r="I142" s="1">
        <v>18.5</v>
      </c>
      <c r="J142" s="1">
        <v>13.5</v>
      </c>
      <c r="K142" s="1">
        <v>1</v>
      </c>
      <c r="L142" s="1">
        <f t="shared" si="0"/>
        <v>249.75</v>
      </c>
      <c r="M142" s="1">
        <v>36</v>
      </c>
      <c r="N142" s="1">
        <v>1.5</v>
      </c>
    </row>
    <row r="143" spans="1:14">
      <c r="A143" s="198" t="s">
        <v>555</v>
      </c>
      <c r="B143" s="198"/>
      <c r="C143" s="198"/>
      <c r="D143" s="198"/>
      <c r="E143" s="207">
        <f>SUM(E135:E142)</f>
        <v>15.64929098287149</v>
      </c>
      <c r="G143" s="1" t="s">
        <v>1921</v>
      </c>
      <c r="L143" s="1">
        <f t="shared" si="0"/>
        <v>0</v>
      </c>
      <c r="M143" s="1">
        <f>36*58</f>
        <v>2088</v>
      </c>
      <c r="N143" s="273">
        <v>21</v>
      </c>
    </row>
    <row r="144" spans="1:14">
      <c r="A144" s="1" t="s">
        <v>1569</v>
      </c>
      <c r="C144" s="1">
        <v>2</v>
      </c>
      <c r="D144" s="1">
        <v>8</v>
      </c>
      <c r="E144" s="3">
        <f>C144*D144</f>
        <v>16</v>
      </c>
      <c r="G144" s="1" t="s">
        <v>1918</v>
      </c>
      <c r="I144" s="1">
        <v>19</v>
      </c>
      <c r="J144" s="1">
        <v>13</v>
      </c>
      <c r="K144" s="1">
        <v>2</v>
      </c>
      <c r="L144" s="1">
        <f t="shared" si="0"/>
        <v>494</v>
      </c>
      <c r="M144" s="1">
        <f>36*36*5</f>
        <v>6480</v>
      </c>
      <c r="N144" s="1">
        <v>9</v>
      </c>
    </row>
    <row r="145" spans="1:14">
      <c r="A145" s="7" t="s">
        <v>1571</v>
      </c>
      <c r="B145" s="7"/>
      <c r="C145" s="7"/>
      <c r="D145" s="7"/>
      <c r="E145" s="10">
        <f>SUM(E143:E144)</f>
        <v>31.649290982871491</v>
      </c>
      <c r="G145" s="1" t="s">
        <v>1926</v>
      </c>
      <c r="M145" s="1">
        <f>39*40</f>
        <v>1560</v>
      </c>
      <c r="N145" s="1">
        <v>3</v>
      </c>
    </row>
    <row r="146" spans="1:14">
      <c r="A146" s="209" t="s">
        <v>1572</v>
      </c>
      <c r="B146" s="209"/>
      <c r="C146" s="209"/>
      <c r="D146" s="209"/>
      <c r="E146" s="210">
        <f>E145*1.5</f>
        <v>47.473936474307237</v>
      </c>
      <c r="F146" s="3"/>
      <c r="G146" s="1" t="s">
        <v>1927</v>
      </c>
    </row>
    <row r="147" spans="1:14">
      <c r="G147" s="1" t="s">
        <v>1928</v>
      </c>
      <c r="I147" s="1">
        <v>14</v>
      </c>
      <c r="J147" s="1">
        <v>5.25</v>
      </c>
      <c r="K147" s="1">
        <v>1</v>
      </c>
      <c r="L147" s="1">
        <f t="shared" ref="L147:L148" si="1">I147*J147*K147</f>
        <v>73.5</v>
      </c>
    </row>
    <row r="148" spans="1:14">
      <c r="G148" s="1" t="s">
        <v>1929</v>
      </c>
      <c r="I148" s="1">
        <v>13</v>
      </c>
      <c r="J148" s="1">
        <v>4.25</v>
      </c>
      <c r="K148" s="1">
        <v>1</v>
      </c>
      <c r="L148" s="1">
        <f t="shared" si="1"/>
        <v>55.25</v>
      </c>
    </row>
    <row r="149" spans="1:14">
      <c r="A149" s="7" t="s">
        <v>1914</v>
      </c>
      <c r="B149" s="1" t="s">
        <v>2104</v>
      </c>
      <c r="C149" s="7" t="s">
        <v>3793</v>
      </c>
    </row>
    <row r="150" spans="1:14">
      <c r="A150" s="1" t="s">
        <v>1556</v>
      </c>
      <c r="B150" s="1">
        <f t="shared" ref="B150:B156" si="2">B135</f>
        <v>692.5</v>
      </c>
      <c r="C150" s="1">
        <v>1</v>
      </c>
      <c r="D150" s="1">
        <v>13</v>
      </c>
      <c r="E150" s="3">
        <v>5.9540343915343916</v>
      </c>
    </row>
    <row r="151" spans="1:14">
      <c r="A151" s="1" t="s">
        <v>1557</v>
      </c>
      <c r="B151" s="1">
        <f t="shared" si="2"/>
        <v>1487.5</v>
      </c>
      <c r="C151" s="1">
        <v>1</v>
      </c>
      <c r="D151" s="1">
        <v>6</v>
      </c>
      <c r="E151" s="3">
        <v>5.9027777777777777</v>
      </c>
    </row>
    <row r="152" spans="1:14">
      <c r="A152" s="1" t="s">
        <v>1926</v>
      </c>
      <c r="B152" s="1">
        <f t="shared" si="2"/>
        <v>2180</v>
      </c>
      <c r="C152" s="1">
        <v>1</v>
      </c>
      <c r="D152" s="1">
        <v>9</v>
      </c>
      <c r="E152" s="3">
        <v>3.0277777777777777</v>
      </c>
    </row>
    <row r="153" spans="1:14">
      <c r="A153" s="1" t="s">
        <v>1918</v>
      </c>
      <c r="B153" s="1">
        <f t="shared" si="2"/>
        <v>567.5</v>
      </c>
      <c r="C153" s="1">
        <v>2</v>
      </c>
      <c r="D153" s="1">
        <v>21</v>
      </c>
      <c r="E153" s="3">
        <v>5.7076149425287355</v>
      </c>
    </row>
    <row r="154" spans="1:14">
      <c r="A154" s="1" t="s">
        <v>1922</v>
      </c>
      <c r="B154" s="1">
        <f t="shared" si="2"/>
        <v>41</v>
      </c>
      <c r="C154" s="1">
        <v>1</v>
      </c>
      <c r="D154" s="1">
        <v>1.5</v>
      </c>
      <c r="E154" s="3">
        <v>1.7083333333333333</v>
      </c>
    </row>
    <row r="155" spans="1:14">
      <c r="A155" s="1" t="s">
        <v>1923</v>
      </c>
      <c r="B155" s="1">
        <f t="shared" si="2"/>
        <v>0</v>
      </c>
      <c r="C155" s="1">
        <v>2</v>
      </c>
      <c r="D155" s="1">
        <v>0.6</v>
      </c>
      <c r="E155" s="3">
        <v>1.7999999999999998</v>
      </c>
    </row>
    <row r="156" spans="1:14">
      <c r="A156" s="1" t="s">
        <v>1927</v>
      </c>
      <c r="B156" s="1">
        <f t="shared" si="2"/>
        <v>55.25</v>
      </c>
      <c r="C156" s="1">
        <v>1</v>
      </c>
      <c r="D156" s="1">
        <v>3</v>
      </c>
      <c r="E156" s="3">
        <v>0.10625</v>
      </c>
    </row>
    <row r="157" spans="1:14">
      <c r="A157" s="1" t="s">
        <v>1930</v>
      </c>
      <c r="C157" s="1">
        <v>8</v>
      </c>
      <c r="D157" s="1">
        <v>5</v>
      </c>
      <c r="E157" s="3">
        <v>0.8</v>
      </c>
    </row>
    <row r="158" spans="1:14">
      <c r="A158" s="198" t="s">
        <v>555</v>
      </c>
      <c r="B158" s="198"/>
      <c r="C158" s="198"/>
      <c r="D158" s="198"/>
      <c r="E158" s="207">
        <v>25.006788222952014</v>
      </c>
    </row>
    <row r="159" spans="1:14">
      <c r="A159" s="312" t="s">
        <v>1569</v>
      </c>
      <c r="C159" s="1">
        <v>3</v>
      </c>
      <c r="D159" s="1">
        <v>8</v>
      </c>
      <c r="E159" s="3">
        <v>24</v>
      </c>
    </row>
    <row r="160" spans="1:14">
      <c r="A160" s="7" t="s">
        <v>1571</v>
      </c>
      <c r="B160" s="27"/>
      <c r="C160" s="27"/>
      <c r="D160" s="27"/>
      <c r="E160" s="10">
        <v>49.006788222952011</v>
      </c>
    </row>
    <row r="161" spans="1:11">
      <c r="A161" s="209" t="s">
        <v>1572</v>
      </c>
      <c r="B161" s="416"/>
      <c r="C161" s="416"/>
      <c r="D161" s="416"/>
      <c r="E161" s="210">
        <v>58.808145867542407</v>
      </c>
    </row>
    <row r="165" spans="1:11">
      <c r="A165" s="7" t="s">
        <v>1941</v>
      </c>
    </row>
    <row r="166" spans="1:11">
      <c r="A166" s="1" t="s">
        <v>1556</v>
      </c>
      <c r="B166" s="1">
        <f>G168*J168+K167</f>
        <v>841</v>
      </c>
      <c r="C166" s="1">
        <v>1</v>
      </c>
      <c r="D166" s="1">
        <v>10</v>
      </c>
      <c r="E166" s="3">
        <f>(B166*C166)/$G$173*D166</f>
        <v>3.9207459207459205</v>
      </c>
      <c r="K166" s="1" t="s">
        <v>1911</v>
      </c>
    </row>
    <row r="167" spans="1:11">
      <c r="A167" s="1" t="s">
        <v>1557</v>
      </c>
      <c r="B167" s="1">
        <f>B166</f>
        <v>841</v>
      </c>
      <c r="C167" s="1">
        <v>1</v>
      </c>
      <c r="D167" s="1">
        <v>8</v>
      </c>
      <c r="E167" s="3">
        <f>(B167*C167)/'Cost of fabrics'!$C$4*D167</f>
        <v>4.4497354497354493</v>
      </c>
      <c r="G167" s="1" t="s">
        <v>1595</v>
      </c>
      <c r="H167" s="1" t="s">
        <v>1594</v>
      </c>
      <c r="I167" s="1" t="s">
        <v>1646</v>
      </c>
      <c r="J167" s="1" t="s">
        <v>1643</v>
      </c>
      <c r="K167" s="400">
        <f>(H168+1)*(I168+1)</f>
        <v>121</v>
      </c>
    </row>
    <row r="168" spans="1:11">
      <c r="A168" s="1" t="s">
        <v>1566</v>
      </c>
      <c r="B168" s="1">
        <f>B166</f>
        <v>841</v>
      </c>
      <c r="C168" s="1">
        <v>1</v>
      </c>
      <c r="D168" s="1">
        <v>4</v>
      </c>
      <c r="E168" s="3">
        <f>(B168*C168)/'Cost of fabrics'!$C$20*D168</f>
        <v>4.0047619047619047</v>
      </c>
      <c r="G168" s="1">
        <v>18</v>
      </c>
      <c r="H168" s="1">
        <v>10</v>
      </c>
      <c r="I168" s="1">
        <v>10</v>
      </c>
      <c r="J168" s="1">
        <f>H168*2+I168*2</f>
        <v>40</v>
      </c>
    </row>
    <row r="169" spans="1:11">
      <c r="A169" s="1" t="s">
        <v>1616</v>
      </c>
      <c r="B169" s="1">
        <f>J168*2.5</f>
        <v>100</v>
      </c>
      <c r="C169" s="1">
        <v>1</v>
      </c>
      <c r="D169" s="1">
        <v>8</v>
      </c>
      <c r="E169" s="3">
        <f>(B169*C169)/'Cost of fabrics'!$C$4*D169</f>
        <v>0.52910052910052907</v>
      </c>
      <c r="G169" s="1" t="s">
        <v>1911</v>
      </c>
    </row>
    <row r="170" spans="1:11">
      <c r="A170" s="198" t="s">
        <v>555</v>
      </c>
      <c r="B170" s="198"/>
      <c r="C170" s="198"/>
      <c r="D170" s="198"/>
      <c r="E170" s="207">
        <f>SUM(E166:E169)</f>
        <v>12.904343804343803</v>
      </c>
      <c r="F170" s="60">
        <f>E170*3</f>
        <v>38.713031413031409</v>
      </c>
      <c r="G170" s="400" t="s">
        <v>1942</v>
      </c>
    </row>
    <row r="171" spans="1:11">
      <c r="A171" s="1" t="s">
        <v>1569</v>
      </c>
      <c r="C171" s="1">
        <v>2</v>
      </c>
      <c r="D171" s="1">
        <v>8</v>
      </c>
      <c r="E171" s="3">
        <f>C171*D171</f>
        <v>16</v>
      </c>
    </row>
    <row r="172" spans="1:11">
      <c r="A172" s="7" t="s">
        <v>1571</v>
      </c>
      <c r="B172" s="7"/>
      <c r="C172" s="7"/>
      <c r="D172" s="7"/>
      <c r="E172" s="10">
        <f>SUM(E170:E171)</f>
        <v>28.904343804343803</v>
      </c>
      <c r="G172" s="27" t="s">
        <v>1943</v>
      </c>
      <c r="H172" s="27" t="s">
        <v>1944</v>
      </c>
    </row>
    <row r="173" spans="1:11">
      <c r="A173" s="209" t="s">
        <v>1572</v>
      </c>
      <c r="B173" s="209"/>
      <c r="C173" s="209"/>
      <c r="D173" s="209"/>
      <c r="E173" s="210">
        <f>E172*1.3</f>
        <v>37.575646945646945</v>
      </c>
      <c r="G173" s="27">
        <f>39*55</f>
        <v>2145</v>
      </c>
      <c r="H173" s="403">
        <v>10</v>
      </c>
    </row>
    <row r="176" spans="1:11">
      <c r="F176" s="1">
        <f>(35+39)/2</f>
        <v>37</v>
      </c>
    </row>
    <row r="177" spans="1:16">
      <c r="A177" s="7" t="s">
        <v>1937</v>
      </c>
    </row>
    <row r="178" spans="1:16">
      <c r="A178" s="1" t="s">
        <v>1556</v>
      </c>
      <c r="B178" s="1">
        <f>H180*J180+K180</f>
        <v>802</v>
      </c>
      <c r="C178" s="1">
        <v>1</v>
      </c>
      <c r="D178" s="1">
        <v>14</v>
      </c>
      <c r="E178" s="3">
        <f>(B178*C178)/'Cost of fabrics'!$C$4*D178</f>
        <v>7.4259259259259265</v>
      </c>
    </row>
    <row r="179" spans="1:16">
      <c r="A179" s="1" t="s">
        <v>1557</v>
      </c>
      <c r="B179" s="1">
        <f>B178</f>
        <v>802</v>
      </c>
      <c r="C179" s="1">
        <v>1</v>
      </c>
      <c r="D179" s="1">
        <v>8</v>
      </c>
      <c r="E179" s="3">
        <f>(B179*C179)/'Cost of fabrics'!$C$4*D179</f>
        <v>4.2433862433862437</v>
      </c>
      <c r="G179" s="1" t="s">
        <v>1595</v>
      </c>
      <c r="H179" s="1" t="s">
        <v>1594</v>
      </c>
      <c r="I179" s="1" t="s">
        <v>1646</v>
      </c>
      <c r="J179" s="1" t="s">
        <v>1643</v>
      </c>
      <c r="K179" s="1" t="s">
        <v>1648</v>
      </c>
    </row>
    <row r="180" spans="1:16">
      <c r="A180" s="1" t="s">
        <v>1559</v>
      </c>
      <c r="B180" s="1">
        <f>9*H180</f>
        <v>126</v>
      </c>
      <c r="C180" s="1">
        <v>2</v>
      </c>
      <c r="D180" s="1">
        <v>13</v>
      </c>
      <c r="E180" s="3">
        <f>(B180*C180)/'Cost of fabrics'!$C$20*D180</f>
        <v>3.9</v>
      </c>
      <c r="G180" s="1">
        <v>14</v>
      </c>
      <c r="H180" s="1">
        <v>14</v>
      </c>
      <c r="I180" s="1">
        <v>11</v>
      </c>
      <c r="J180" s="60">
        <f>'Mixer sizes'!J38</f>
        <v>35.285714285714285</v>
      </c>
      <c r="K180" s="404">
        <f>'Mixer sizes'!K38</f>
        <v>308</v>
      </c>
    </row>
    <row r="181" spans="1:16">
      <c r="A181" s="1" t="s">
        <v>1566</v>
      </c>
      <c r="B181" s="1">
        <f>B178+B180</f>
        <v>928</v>
      </c>
      <c r="C181" s="1">
        <v>1</v>
      </c>
      <c r="D181" s="1">
        <v>6</v>
      </c>
      <c r="E181" s="3">
        <f>(B181*C181)/'Cost of fabrics'!$C$4*D181</f>
        <v>3.6825396825396823</v>
      </c>
      <c r="K181" s="404"/>
    </row>
    <row r="182" spans="1:16">
      <c r="A182" s="1" t="s">
        <v>1616</v>
      </c>
      <c r="B182" s="1">
        <f>((H180*2)+(I180*3))*2.25</f>
        <v>137.25</v>
      </c>
      <c r="C182" s="1">
        <v>1</v>
      </c>
      <c r="D182" s="1">
        <v>8</v>
      </c>
      <c r="E182" s="3">
        <v>2</v>
      </c>
      <c r="G182" s="27" t="s">
        <v>1943</v>
      </c>
      <c r="H182" s="27" t="s">
        <v>1944</v>
      </c>
    </row>
    <row r="183" spans="1:16">
      <c r="A183" s="198" t="s">
        <v>555</v>
      </c>
      <c r="B183" s="198"/>
      <c r="C183" s="198"/>
      <c r="D183" s="198"/>
      <c r="E183" s="207">
        <f>SUM(E178:E182)</f>
        <v>21.251851851851853</v>
      </c>
      <c r="F183" s="60">
        <f>E183*3</f>
        <v>63.75555555555556</v>
      </c>
      <c r="G183" s="27">
        <f>39*55</f>
        <v>2145</v>
      </c>
      <c r="H183" s="403">
        <v>10</v>
      </c>
    </row>
    <row r="184" spans="1:16">
      <c r="A184" s="1" t="s">
        <v>1569</v>
      </c>
      <c r="C184" s="1">
        <v>2</v>
      </c>
      <c r="D184" s="1">
        <v>8</v>
      </c>
      <c r="E184" s="3">
        <f>C184*D184</f>
        <v>16</v>
      </c>
    </row>
    <row r="185" spans="1:16">
      <c r="A185" s="7" t="s">
        <v>1571</v>
      </c>
      <c r="B185" s="7"/>
      <c r="C185" s="7"/>
      <c r="D185" s="7"/>
      <c r="E185" s="10">
        <f>SUM(E183:E184)</f>
        <v>37.251851851851853</v>
      </c>
      <c r="G185" s="1">
        <f>39*44</f>
        <v>1716</v>
      </c>
      <c r="H185" s="1">
        <f>G185/G183*10</f>
        <v>8</v>
      </c>
    </row>
    <row r="186" spans="1:16">
      <c r="A186" s="209" t="s">
        <v>1572</v>
      </c>
      <c r="B186" s="209"/>
      <c r="C186" s="209"/>
      <c r="D186" s="209"/>
      <c r="E186" s="210">
        <f>E185*1.3</f>
        <v>48.427407407407408</v>
      </c>
    </row>
    <row r="188" spans="1:16">
      <c r="O188" s="1" t="s">
        <v>1988</v>
      </c>
      <c r="P188" s="1" t="s">
        <v>1989</v>
      </c>
    </row>
    <row r="189" spans="1:16">
      <c r="A189" s="7" t="s">
        <v>1986</v>
      </c>
      <c r="B189" s="1" t="s">
        <v>1987</v>
      </c>
      <c r="O189" s="1" t="s">
        <v>1916</v>
      </c>
      <c r="P189" s="1" t="s">
        <v>1990</v>
      </c>
    </row>
    <row r="190" spans="1:16">
      <c r="A190" s="1" t="s">
        <v>1556</v>
      </c>
      <c r="B190" s="1">
        <f>L191+L192+L195</f>
        <v>574.5</v>
      </c>
      <c r="C190" s="1">
        <v>1</v>
      </c>
      <c r="D190" s="1">
        <v>13</v>
      </c>
      <c r="E190" s="3">
        <f>(B190*C190)/'Cost of fabrics'!$C$4*D190</f>
        <v>4.9394841269841265</v>
      </c>
      <c r="I190" s="1" t="s">
        <v>1609</v>
      </c>
      <c r="J190" s="1" t="s">
        <v>1594</v>
      </c>
      <c r="K190" s="1" t="s">
        <v>1924</v>
      </c>
      <c r="M190" s="400"/>
      <c r="O190" s="1" t="s">
        <v>1557</v>
      </c>
      <c r="P190" s="1" t="s">
        <v>1991</v>
      </c>
    </row>
    <row r="191" spans="1:16">
      <c r="A191" s="1" t="s">
        <v>1916</v>
      </c>
      <c r="B191" s="1">
        <f>L193+L194+L206</f>
        <v>453.5</v>
      </c>
      <c r="C191" s="1">
        <v>1</v>
      </c>
      <c r="D191" s="1">
        <v>8</v>
      </c>
      <c r="E191" s="3">
        <f>(B191*C191)/'Cost of fabrics'!$C$4*D191</f>
        <v>2.3994708994708995</v>
      </c>
      <c r="G191" s="1" t="s">
        <v>1992</v>
      </c>
      <c r="I191" s="1">
        <v>14</v>
      </c>
      <c r="J191" s="1">
        <v>13</v>
      </c>
      <c r="K191" s="1">
        <v>2</v>
      </c>
      <c r="L191" s="1">
        <f>I191*J191*K191</f>
        <v>364</v>
      </c>
      <c r="M191" s="400"/>
    </row>
    <row r="192" spans="1:16">
      <c r="A192" s="1" t="s">
        <v>1557</v>
      </c>
      <c r="B192" s="1">
        <f>L196+L197+L198+L199+L200+L201+L206+L193</f>
        <v>1220.375</v>
      </c>
      <c r="C192" s="1">
        <v>1</v>
      </c>
      <c r="D192" s="1">
        <v>8</v>
      </c>
      <c r="E192" s="3">
        <f>(B192*C192)/'Cost of fabrics'!$C$4*D192</f>
        <v>6.4570105820105823</v>
      </c>
      <c r="G192" s="1" t="s">
        <v>1993</v>
      </c>
      <c r="I192" s="1">
        <v>8.5</v>
      </c>
      <c r="J192" s="1">
        <v>13</v>
      </c>
      <c r="K192" s="1">
        <v>1</v>
      </c>
      <c r="L192" s="1">
        <f>I192*J192*K192</f>
        <v>110.5</v>
      </c>
      <c r="M192" s="400"/>
    </row>
    <row r="193" spans="1:14">
      <c r="A193" s="1" t="s">
        <v>1926</v>
      </c>
      <c r="B193" s="1">
        <f>B192</f>
        <v>1220.375</v>
      </c>
      <c r="C193" s="1">
        <v>1</v>
      </c>
      <c r="D193" s="1">
        <v>6.5</v>
      </c>
      <c r="E193" s="3">
        <f>(B193*C193)/$M$204*D193</f>
        <v>1.2241415895061727</v>
      </c>
      <c r="G193" s="1" t="s">
        <v>1995</v>
      </c>
      <c r="I193" s="1">
        <v>15.75</v>
      </c>
      <c r="J193" s="1">
        <v>5</v>
      </c>
      <c r="K193" s="1">
        <v>2</v>
      </c>
      <c r="L193" s="1">
        <f>I193*J193*K193</f>
        <v>157.5</v>
      </c>
    </row>
    <row r="194" spans="1:14">
      <c r="A194" s="1" t="s">
        <v>1918</v>
      </c>
      <c r="B194" s="1">
        <f>L191+L193+L206</f>
        <v>561.5</v>
      </c>
      <c r="C194" s="1">
        <v>1</v>
      </c>
      <c r="D194" s="1">
        <v>21</v>
      </c>
      <c r="E194" s="3">
        <f>(B194*C194)/'Cost of fabrics'!$C$4*D194</f>
        <v>7.7986111111111107</v>
      </c>
      <c r="G194" s="355" t="s">
        <v>2002</v>
      </c>
      <c r="I194" s="1">
        <v>32</v>
      </c>
      <c r="J194" s="1">
        <v>4</v>
      </c>
      <c r="K194" s="1">
        <v>2</v>
      </c>
      <c r="L194" s="1">
        <f t="shared" ref="L194:L195" si="3">I194*J194*K194</f>
        <v>256</v>
      </c>
    </row>
    <row r="195" spans="1:14">
      <c r="A195" s="1" t="s">
        <v>1922</v>
      </c>
      <c r="B195" s="1">
        <f>16+12+9+5</f>
        <v>42</v>
      </c>
      <c r="C195" s="1">
        <v>1</v>
      </c>
      <c r="D195" s="1">
        <v>1.5</v>
      </c>
      <c r="E195" s="3">
        <f>B195/M202*D195</f>
        <v>1.75</v>
      </c>
      <c r="G195" s="355" t="s">
        <v>2001</v>
      </c>
      <c r="I195" s="1">
        <v>12.5</v>
      </c>
      <c r="J195" s="1">
        <v>2</v>
      </c>
      <c r="K195" s="1">
        <v>4</v>
      </c>
      <c r="L195" s="1">
        <f t="shared" si="3"/>
        <v>100</v>
      </c>
    </row>
    <row r="196" spans="1:14">
      <c r="A196" s="1" t="s">
        <v>1923</v>
      </c>
      <c r="C196" s="1">
        <v>4</v>
      </c>
      <c r="D196" s="1">
        <v>0.3</v>
      </c>
      <c r="E196" s="3">
        <f>C196*D196</f>
        <v>1.2</v>
      </c>
      <c r="G196" s="1" t="s">
        <v>1840</v>
      </c>
      <c r="I196" s="1">
        <v>14</v>
      </c>
      <c r="J196" s="1">
        <v>13</v>
      </c>
      <c r="K196" s="1">
        <v>2</v>
      </c>
      <c r="L196" s="1">
        <f t="shared" ref="L196:L201" si="4">I196*J196*K196</f>
        <v>364</v>
      </c>
    </row>
    <row r="197" spans="1:14">
      <c r="A197" s="1" t="s">
        <v>1927</v>
      </c>
      <c r="B197" s="1">
        <f>L207</f>
        <v>56</v>
      </c>
      <c r="C197" s="1">
        <v>1</v>
      </c>
      <c r="D197" s="1">
        <v>3</v>
      </c>
      <c r="E197" s="3">
        <f>(B197*C197)/$M$145*D197</f>
        <v>0.10769230769230768</v>
      </c>
      <c r="G197" s="1" t="s">
        <v>1996</v>
      </c>
      <c r="I197" s="1">
        <v>15.25</v>
      </c>
      <c r="J197" s="1">
        <v>8.5</v>
      </c>
      <c r="K197" s="1">
        <v>1</v>
      </c>
      <c r="L197" s="1">
        <f t="shared" si="4"/>
        <v>129.625</v>
      </c>
    </row>
    <row r="198" spans="1:14">
      <c r="A198" s="1" t="s">
        <v>1930</v>
      </c>
      <c r="C198" s="1">
        <v>4</v>
      </c>
      <c r="D198" s="1">
        <v>5</v>
      </c>
      <c r="E198" s="3">
        <f>C198/50*D198</f>
        <v>0.4</v>
      </c>
      <c r="G198" s="1" t="s">
        <v>1997</v>
      </c>
      <c r="I198" s="1">
        <v>14.75</v>
      </c>
      <c r="J198" s="1">
        <v>8</v>
      </c>
      <c r="K198" s="1">
        <v>1</v>
      </c>
      <c r="L198" s="1">
        <f t="shared" si="4"/>
        <v>118</v>
      </c>
    </row>
    <row r="199" spans="1:14">
      <c r="A199" s="1" t="s">
        <v>1994</v>
      </c>
      <c r="C199" s="1">
        <v>2</v>
      </c>
      <c r="D199" s="1">
        <v>0.25</v>
      </c>
      <c r="E199" s="3">
        <f>C199*D199</f>
        <v>0.5</v>
      </c>
      <c r="G199" s="1" t="s">
        <v>1998</v>
      </c>
      <c r="I199" s="1">
        <v>13.25</v>
      </c>
      <c r="J199" s="1">
        <v>13</v>
      </c>
      <c r="K199" s="1">
        <v>1</v>
      </c>
      <c r="L199" s="1">
        <f t="shared" si="4"/>
        <v>172.25</v>
      </c>
    </row>
    <row r="200" spans="1:14">
      <c r="A200" s="198" t="s">
        <v>555</v>
      </c>
      <c r="B200" s="198"/>
      <c r="C200" s="198"/>
      <c r="D200" s="198"/>
      <c r="E200" s="207">
        <f>SUM(E190:E198)</f>
        <v>26.276410616775195</v>
      </c>
      <c r="G200" s="1" t="s">
        <v>1999</v>
      </c>
      <c r="I200" s="1">
        <v>8</v>
      </c>
      <c r="J200" s="1">
        <v>11</v>
      </c>
      <c r="K200" s="1">
        <v>2</v>
      </c>
      <c r="L200" s="1">
        <f t="shared" si="4"/>
        <v>176</v>
      </c>
      <c r="N200" s="1" t="s">
        <v>1925</v>
      </c>
    </row>
    <row r="201" spans="1:14">
      <c r="A201" s="1" t="s">
        <v>1569</v>
      </c>
      <c r="C201" s="1">
        <v>3</v>
      </c>
      <c r="D201" s="1">
        <v>8</v>
      </c>
      <c r="E201" s="3">
        <f>C201*D201</f>
        <v>24</v>
      </c>
      <c r="G201" s="1" t="s">
        <v>2000</v>
      </c>
      <c r="I201" s="1">
        <v>9</v>
      </c>
      <c r="J201" s="1">
        <v>7</v>
      </c>
      <c r="K201" s="1">
        <v>1</v>
      </c>
      <c r="L201" s="1">
        <f t="shared" si="4"/>
        <v>63</v>
      </c>
    </row>
    <row r="202" spans="1:14">
      <c r="A202" s="7" t="s">
        <v>1571</v>
      </c>
      <c r="B202" s="7"/>
      <c r="C202" s="7"/>
      <c r="D202" s="7"/>
      <c r="E202" s="10">
        <f>SUM(E200:E201)</f>
        <v>50.276410616775195</v>
      </c>
      <c r="G202" s="1" t="s">
        <v>1921</v>
      </c>
      <c r="L202" s="1">
        <f>(I202*J202*K202)+(0.3*4)</f>
        <v>1.2</v>
      </c>
      <c r="M202" s="1">
        <v>36</v>
      </c>
      <c r="N202" s="1">
        <v>1.5</v>
      </c>
    </row>
    <row r="203" spans="1:14">
      <c r="A203" s="209" t="s">
        <v>1572</v>
      </c>
      <c r="B203" s="209"/>
      <c r="C203" s="209"/>
      <c r="D203" s="209"/>
      <c r="E203" s="210">
        <f>E202*1.2</f>
        <v>60.331692740130229</v>
      </c>
      <c r="G203" s="1" t="s">
        <v>1918</v>
      </c>
      <c r="M203" s="1">
        <f>36*58</f>
        <v>2088</v>
      </c>
      <c r="N203" s="273">
        <v>21</v>
      </c>
    </row>
    <row r="204" spans="1:14">
      <c r="G204" s="1" t="s">
        <v>1926</v>
      </c>
      <c r="M204" s="1">
        <f>36*36*5</f>
        <v>6480</v>
      </c>
      <c r="N204" s="1">
        <v>6.5</v>
      </c>
    </row>
    <row r="205" spans="1:14">
      <c r="G205" s="1" t="s">
        <v>1927</v>
      </c>
      <c r="M205" s="1">
        <f>39*40</f>
        <v>1560</v>
      </c>
      <c r="N205" s="1">
        <v>3</v>
      </c>
    </row>
    <row r="206" spans="1:14">
      <c r="G206" s="1" t="s">
        <v>2003</v>
      </c>
      <c r="I206" s="1">
        <v>8</v>
      </c>
      <c r="J206" s="1">
        <v>5</v>
      </c>
      <c r="K206" s="1">
        <v>1</v>
      </c>
      <c r="L206" s="1">
        <f t="shared" ref="L206:L207" si="5">I206*J206*K206</f>
        <v>40</v>
      </c>
    </row>
    <row r="207" spans="1:14">
      <c r="G207" s="1" t="s">
        <v>1929</v>
      </c>
      <c r="I207" s="1">
        <v>7</v>
      </c>
      <c r="J207" s="1">
        <v>4</v>
      </c>
      <c r="K207" s="1">
        <v>2</v>
      </c>
      <c r="L207" s="1">
        <f t="shared" si="5"/>
        <v>56</v>
      </c>
    </row>
    <row r="210" spans="1:11">
      <c r="A210" s="7" t="s">
        <v>1621</v>
      </c>
      <c r="B210" s="7" t="s">
        <v>2010</v>
      </c>
      <c r="C210" s="27"/>
      <c r="D210" s="27"/>
    </row>
    <row r="211" spans="1:11">
      <c r="A211" s="1" t="s">
        <v>1556</v>
      </c>
      <c r="B211" s="60">
        <f>J213*H213+K213</f>
        <v>903.57142857142856</v>
      </c>
      <c r="C211" s="1">
        <v>1</v>
      </c>
      <c r="D211" s="1">
        <v>8</v>
      </c>
      <c r="E211" s="3">
        <f>(B211*C211)/'Cost of fabrics'!$C$4*D211</f>
        <v>4.7808012093726378</v>
      </c>
      <c r="F211" s="1" t="s">
        <v>1622</v>
      </c>
      <c r="G211" s="1" t="s">
        <v>1595</v>
      </c>
      <c r="H211" s="1" t="s">
        <v>1594</v>
      </c>
      <c r="I211" s="1" t="s">
        <v>1646</v>
      </c>
      <c r="J211" s="1" t="s">
        <v>1643</v>
      </c>
      <c r="K211" s="1" t="s">
        <v>1648</v>
      </c>
    </row>
    <row r="212" spans="1:11">
      <c r="A212" s="1" t="s">
        <v>1557</v>
      </c>
      <c r="B212" s="60">
        <f>B211</f>
        <v>903.57142857142856</v>
      </c>
      <c r="C212" s="1">
        <v>1</v>
      </c>
      <c r="D212" s="1">
        <v>3</v>
      </c>
      <c r="E212" s="3">
        <f>(B212*C212)/'Cost of fabrics'!$C$4*D212</f>
        <v>1.7928004535147393</v>
      </c>
      <c r="F212" s="1" t="s">
        <v>1649</v>
      </c>
      <c r="G212" s="1">
        <v>14</v>
      </c>
      <c r="H212" s="1">
        <v>13</v>
      </c>
      <c r="I212" s="1">
        <v>9</v>
      </c>
      <c r="J212" s="1">
        <v>32</v>
      </c>
      <c r="K212" s="60">
        <v>315.64285714285711</v>
      </c>
    </row>
    <row r="213" spans="1:11">
      <c r="A213" s="1" t="s">
        <v>1559</v>
      </c>
      <c r="B213" s="60">
        <f>9*H213</f>
        <v>135</v>
      </c>
      <c r="C213" s="1">
        <v>2</v>
      </c>
      <c r="D213" s="1">
        <v>8</v>
      </c>
      <c r="E213" s="3">
        <f>(B213*C213)/'Cost of fabrics'!$C$4*D213</f>
        <v>1.4285714285714286</v>
      </c>
      <c r="F213" s="1" t="s">
        <v>1644</v>
      </c>
      <c r="G213" s="27">
        <v>15</v>
      </c>
      <c r="H213" s="27">
        <v>15</v>
      </c>
      <c r="I213" s="27">
        <v>10</v>
      </c>
      <c r="J213" s="1">
        <v>35</v>
      </c>
      <c r="K213" s="60">
        <v>378.57142857142856</v>
      </c>
    </row>
    <row r="214" spans="1:11">
      <c r="A214" s="1" t="s">
        <v>2011</v>
      </c>
      <c r="B214" s="60">
        <f>B211+B213</f>
        <v>1038.5714285714284</v>
      </c>
      <c r="C214" s="1">
        <v>1</v>
      </c>
      <c r="D214" s="1">
        <v>9</v>
      </c>
      <c r="E214" s="3">
        <f>(B214*C214)/'Cost of fabrics'!$C$18*D214</f>
        <v>3.9945054945054936</v>
      </c>
      <c r="F214" s="1" t="s">
        <v>1645</v>
      </c>
      <c r="G214" s="355">
        <v>17</v>
      </c>
      <c r="H214" s="355">
        <v>15</v>
      </c>
      <c r="I214" s="355">
        <v>10</v>
      </c>
      <c r="J214" s="1">
        <v>39</v>
      </c>
      <c r="K214" s="60">
        <v>418.57142857142856</v>
      </c>
    </row>
    <row r="215" spans="1:11">
      <c r="A215" s="1" t="s">
        <v>1616</v>
      </c>
      <c r="B215" s="60">
        <f>(J213*2)+(H213*4)*2.5</f>
        <v>220</v>
      </c>
      <c r="C215" s="1">
        <v>1</v>
      </c>
      <c r="D215" s="1">
        <v>4</v>
      </c>
      <c r="E215" s="3">
        <f>(B215*C215)/'Cost of fabrics'!$C$4*D215</f>
        <v>0.58201058201058198</v>
      </c>
      <c r="F215" s="206" t="s">
        <v>1669</v>
      </c>
      <c r="G215" s="1">
        <v>18</v>
      </c>
      <c r="H215" s="1">
        <v>16</v>
      </c>
      <c r="I215" s="1">
        <v>11</v>
      </c>
      <c r="J215" s="1">
        <v>41</v>
      </c>
      <c r="K215" s="60">
        <v>491.07142857142856</v>
      </c>
    </row>
    <row r="216" spans="1:11">
      <c r="A216" s="198" t="s">
        <v>555</v>
      </c>
      <c r="B216" s="198"/>
      <c r="C216" s="198"/>
      <c r="D216" s="198"/>
      <c r="E216" s="207">
        <f>SUM(E211:E215)</f>
        <v>12.578689167974883</v>
      </c>
      <c r="F216" s="208">
        <f>E216*3</f>
        <v>37.736067503924644</v>
      </c>
    </row>
    <row r="217" spans="1:11">
      <c r="A217" s="1" t="s">
        <v>1569</v>
      </c>
      <c r="C217" s="1">
        <v>2</v>
      </c>
      <c r="D217" s="1">
        <v>8</v>
      </c>
      <c r="E217" s="3">
        <f>C217*D217</f>
        <v>16</v>
      </c>
    </row>
    <row r="218" spans="1:11">
      <c r="A218" s="7" t="s">
        <v>1571</v>
      </c>
      <c r="B218" s="7"/>
      <c r="C218" s="7"/>
      <c r="D218" s="7"/>
      <c r="E218" s="10">
        <f>SUM(E216:E217)</f>
        <v>28.578689167974883</v>
      </c>
      <c r="F218" s="1">
        <v>35</v>
      </c>
    </row>
    <row r="219" spans="1:11">
      <c r="A219" s="209" t="s">
        <v>1572</v>
      </c>
      <c r="B219" s="209"/>
      <c r="C219" s="209"/>
      <c r="D219" s="209"/>
      <c r="E219" s="210">
        <f>E218*1.3</f>
        <v>37.152295918367351</v>
      </c>
    </row>
    <row r="223" spans="1:11">
      <c r="A223" s="7" t="s">
        <v>3795</v>
      </c>
    </row>
    <row r="224" spans="1:11">
      <c r="A224" s="1" t="s">
        <v>1556</v>
      </c>
      <c r="B224" s="1">
        <f>H226*K226+L226</f>
        <v>1980</v>
      </c>
      <c r="C224" s="1">
        <v>1</v>
      </c>
      <c r="D224" s="1">
        <v>8</v>
      </c>
      <c r="E224" s="3">
        <f>(B224*C224)/'Cost of fabrics'!$C$4*D224</f>
        <v>10.476190476190476</v>
      </c>
    </row>
    <row r="225" spans="1:12">
      <c r="A225" s="1" t="s">
        <v>1557</v>
      </c>
      <c r="B225" s="1">
        <f>B224</f>
        <v>1980</v>
      </c>
      <c r="C225" s="1">
        <v>1</v>
      </c>
      <c r="D225" s="1">
        <v>8</v>
      </c>
      <c r="E225" s="3">
        <f>(B225*C225)/'Cost of fabrics'!$C$4*D225</f>
        <v>10.476190476190476</v>
      </c>
      <c r="H225" s="1" t="s">
        <v>1595</v>
      </c>
      <c r="I225" s="1" t="s">
        <v>1594</v>
      </c>
      <c r="J225" s="1" t="s">
        <v>1646</v>
      </c>
      <c r="K225" s="1" t="s">
        <v>1643</v>
      </c>
      <c r="L225" s="1" t="s">
        <v>1911</v>
      </c>
    </row>
    <row r="226" spans="1:12">
      <c r="A226" s="1" t="s">
        <v>1566</v>
      </c>
      <c r="B226" s="1">
        <f>B224</f>
        <v>1980</v>
      </c>
      <c r="C226" s="1">
        <v>1</v>
      </c>
      <c r="D226" s="1">
        <v>4</v>
      </c>
      <c r="E226" s="3">
        <f>(B226*C226)/'Cost of fabrics'!$C$20*D226</f>
        <v>9.4285714285714288</v>
      </c>
      <c r="G226" s="1" t="s">
        <v>3521</v>
      </c>
      <c r="H226" s="1">
        <v>16</v>
      </c>
      <c r="I226" s="1">
        <v>19</v>
      </c>
      <c r="J226" s="1">
        <v>26</v>
      </c>
      <c r="K226" s="1">
        <f>I226*2+J226*2</f>
        <v>90</v>
      </c>
      <c r="L226" s="400">
        <f>20*27</f>
        <v>540</v>
      </c>
    </row>
    <row r="227" spans="1:12">
      <c r="A227" s="1" t="s">
        <v>1616</v>
      </c>
      <c r="B227" s="1">
        <f>K226*2.5</f>
        <v>225</v>
      </c>
      <c r="C227" s="1">
        <v>1</v>
      </c>
      <c r="D227" s="1">
        <v>8</v>
      </c>
      <c r="E227" s="3">
        <f>(B227*C227)/'Cost of fabrics'!$C$4*D227</f>
        <v>1.1904761904761905</v>
      </c>
      <c r="G227" s="1" t="s">
        <v>3522</v>
      </c>
      <c r="H227" s="1">
        <v>17</v>
      </c>
      <c r="I227" s="1">
        <v>18</v>
      </c>
      <c r="J227" s="1">
        <v>26</v>
      </c>
      <c r="K227" s="1">
        <f>I227*2+J227*2</f>
        <v>88</v>
      </c>
      <c r="L227" s="1">
        <f>19*27</f>
        <v>513</v>
      </c>
    </row>
    <row r="228" spans="1:12">
      <c r="A228" s="198" t="s">
        <v>555</v>
      </c>
      <c r="B228" s="198"/>
      <c r="C228" s="198"/>
      <c r="D228" s="198"/>
      <c r="E228" s="207">
        <f>SUM(E224:E227)</f>
        <v>31.571428571428569</v>
      </c>
    </row>
    <row r="229" spans="1:12">
      <c r="A229" s="1" t="s">
        <v>1569</v>
      </c>
      <c r="C229" s="1">
        <v>2.5</v>
      </c>
      <c r="D229" s="1">
        <v>8</v>
      </c>
      <c r="E229" s="3">
        <f>C229*D229</f>
        <v>20</v>
      </c>
      <c r="H229" s="1" t="s">
        <v>1911</v>
      </c>
    </row>
    <row r="230" spans="1:12">
      <c r="A230" s="7" t="s">
        <v>1571</v>
      </c>
      <c r="B230" s="7"/>
      <c r="C230" s="7"/>
      <c r="D230" s="7"/>
      <c r="E230" s="10">
        <f>SUM(E228:E229)</f>
        <v>51.571428571428569</v>
      </c>
      <c r="F230" s="1">
        <v>40</v>
      </c>
      <c r="H230" s="400" t="s">
        <v>1970</v>
      </c>
    </row>
    <row r="231" spans="1:12">
      <c r="A231" s="209" t="s">
        <v>1572</v>
      </c>
      <c r="B231" s="209"/>
      <c r="C231" s="209"/>
      <c r="D231" s="209"/>
      <c r="E231" s="210">
        <f>E230*1.3</f>
        <v>67.042857142857144</v>
      </c>
      <c r="H231" s="400" t="s">
        <v>3523</v>
      </c>
    </row>
    <row r="234" spans="1:12">
      <c r="A234" s="7" t="s">
        <v>3794</v>
      </c>
    </row>
    <row r="235" spans="1:12">
      <c r="A235" s="1" t="s">
        <v>1556</v>
      </c>
      <c r="B235" s="1">
        <f>G238*J238+K237</f>
        <v>1708</v>
      </c>
      <c r="C235" s="1">
        <v>1</v>
      </c>
      <c r="D235" s="1">
        <v>5</v>
      </c>
      <c r="E235" s="3">
        <f>(B235*C235)/'Cost of fabrics'!$C$4*D235</f>
        <v>5.6481481481481479</v>
      </c>
    </row>
    <row r="236" spans="1:12">
      <c r="A236" s="1" t="s">
        <v>1557</v>
      </c>
      <c r="B236" s="1">
        <f>B235</f>
        <v>1708</v>
      </c>
      <c r="C236" s="1">
        <v>1</v>
      </c>
      <c r="D236" s="1">
        <v>4</v>
      </c>
      <c r="E236" s="3">
        <f>(B236*C236)/'Cost of fabrics'!$C$4*D236</f>
        <v>4.5185185185185182</v>
      </c>
      <c r="K236" s="1" t="s">
        <v>1911</v>
      </c>
    </row>
    <row r="237" spans="1:12">
      <c r="A237" s="1" t="s">
        <v>1566</v>
      </c>
      <c r="B237" s="1">
        <f>B235</f>
        <v>1708</v>
      </c>
      <c r="C237" s="1">
        <v>1</v>
      </c>
      <c r="D237" s="1">
        <v>4</v>
      </c>
      <c r="E237" s="3">
        <f>(B237*C237)/'Cost of fabrics'!$C$20*D237</f>
        <v>8.1333333333333329</v>
      </c>
      <c r="G237" s="1" t="s">
        <v>1595</v>
      </c>
      <c r="H237" s="1" t="s">
        <v>1594</v>
      </c>
      <c r="I237" s="1" t="s">
        <v>1646</v>
      </c>
      <c r="J237" s="1" t="s">
        <v>1643</v>
      </c>
      <c r="K237" s="400">
        <f>21*24</f>
        <v>504</v>
      </c>
    </row>
    <row r="238" spans="1:12">
      <c r="A238" s="1" t="s">
        <v>1616</v>
      </c>
      <c r="B238" s="1">
        <f>J238*2.5</f>
        <v>215</v>
      </c>
      <c r="C238" s="1">
        <v>1</v>
      </c>
      <c r="D238" s="1">
        <v>8</v>
      </c>
      <c r="E238" s="3">
        <f>(B238*C238)/'Cost of fabrics'!$C$4*D238</f>
        <v>1.1375661375661377</v>
      </c>
      <c r="G238" s="1">
        <v>14</v>
      </c>
      <c r="H238" s="1">
        <v>20</v>
      </c>
      <c r="I238" s="1">
        <v>23</v>
      </c>
      <c r="J238" s="1">
        <f>H238*2+I238*2</f>
        <v>86</v>
      </c>
    </row>
    <row r="239" spans="1:12">
      <c r="A239" s="198" t="s">
        <v>555</v>
      </c>
      <c r="B239" s="198"/>
      <c r="C239" s="198"/>
      <c r="D239" s="198"/>
      <c r="E239" s="207">
        <f>SUM(E235:E238)</f>
        <v>19.437566137566137</v>
      </c>
      <c r="G239" s="1" t="s">
        <v>1911</v>
      </c>
    </row>
    <row r="240" spans="1:12">
      <c r="A240" s="1" t="s">
        <v>1569</v>
      </c>
      <c r="C240" s="1">
        <v>2</v>
      </c>
      <c r="D240" s="1">
        <v>8</v>
      </c>
      <c r="E240" s="3">
        <f>C240*D240</f>
        <v>16</v>
      </c>
      <c r="G240" s="400" t="s">
        <v>1971</v>
      </c>
    </row>
    <row r="241" spans="1:11">
      <c r="A241" s="7" t="s">
        <v>1571</v>
      </c>
      <c r="B241" s="7"/>
      <c r="C241" s="7"/>
      <c r="D241" s="7"/>
      <c r="E241" s="10">
        <f>SUM(E239:E240)</f>
        <v>35.437566137566137</v>
      </c>
      <c r="F241" s="1">
        <v>37</v>
      </c>
    </row>
    <row r="242" spans="1:11">
      <c r="A242" s="209" t="s">
        <v>1572</v>
      </c>
      <c r="B242" s="209"/>
      <c r="C242" s="209"/>
      <c r="D242" s="209"/>
      <c r="E242" s="210">
        <f>E241*1.3</f>
        <v>46.068835978835978</v>
      </c>
    </row>
    <row r="245" spans="1:11">
      <c r="A245" s="7" t="s">
        <v>3796</v>
      </c>
    </row>
    <row r="246" spans="1:11">
      <c r="A246" s="1" t="s">
        <v>1556</v>
      </c>
      <c r="B246" s="1">
        <f>G248*J248+K247</f>
        <v>1330</v>
      </c>
      <c r="C246" s="1">
        <v>1</v>
      </c>
      <c r="D246" s="1">
        <v>5</v>
      </c>
      <c r="E246" s="3">
        <f>(B246*C246)/'Cost of fabrics'!$C$4*D246</f>
        <v>4.3981481481481479</v>
      </c>
      <c r="K246" s="1" t="s">
        <v>1911</v>
      </c>
    </row>
    <row r="247" spans="1:11">
      <c r="A247" s="1" t="s">
        <v>1557</v>
      </c>
      <c r="B247" s="1">
        <f>B246</f>
        <v>1330</v>
      </c>
      <c r="C247" s="1">
        <v>1</v>
      </c>
      <c r="D247" s="1">
        <v>4</v>
      </c>
      <c r="E247" s="3">
        <f>(B247*C247)/'Cost of fabrics'!$C$4*D247</f>
        <v>3.5185185185185186</v>
      </c>
      <c r="G247" s="1" t="s">
        <v>1595</v>
      </c>
      <c r="H247" s="1" t="s">
        <v>1594</v>
      </c>
      <c r="I247" s="1" t="s">
        <v>1646</v>
      </c>
      <c r="J247" s="1" t="s">
        <v>1643</v>
      </c>
      <c r="K247" s="400">
        <f>(H248+1)*(I248+1)</f>
        <v>368</v>
      </c>
    </row>
    <row r="248" spans="1:11">
      <c r="A248" s="1" t="s">
        <v>1566</v>
      </c>
      <c r="B248" s="1">
        <f>B246</f>
        <v>1330</v>
      </c>
      <c r="C248" s="1">
        <v>1</v>
      </c>
      <c r="D248" s="1">
        <v>4</v>
      </c>
      <c r="E248" s="3">
        <f>(B248*C248)/'Cost of fabrics'!$C$20*D248</f>
        <v>6.333333333333333</v>
      </c>
      <c r="G248" s="1">
        <v>13</v>
      </c>
      <c r="H248" s="1">
        <v>22</v>
      </c>
      <c r="I248" s="1">
        <v>15</v>
      </c>
      <c r="J248" s="1">
        <f>H248*2+I248*2</f>
        <v>74</v>
      </c>
    </row>
    <row r="249" spans="1:11">
      <c r="A249" s="1" t="s">
        <v>1616</v>
      </c>
      <c r="B249" s="1">
        <f>J248*2.5</f>
        <v>185</v>
      </c>
      <c r="C249" s="1">
        <v>1</v>
      </c>
      <c r="D249" s="1">
        <v>8</v>
      </c>
      <c r="E249" s="3">
        <f>(B249*C249)/'Cost of fabrics'!$C$4*D249</f>
        <v>0.97883597883597884</v>
      </c>
      <c r="G249" s="1" t="s">
        <v>1911</v>
      </c>
    </row>
    <row r="250" spans="1:11">
      <c r="A250" s="198" t="s">
        <v>555</v>
      </c>
      <c r="B250" s="198"/>
      <c r="C250" s="198"/>
      <c r="D250" s="198"/>
      <c r="E250" s="207">
        <f>SUM(E246:E249)</f>
        <v>15.22883597883598</v>
      </c>
      <c r="G250" s="400" t="s">
        <v>1972</v>
      </c>
    </row>
    <row r="251" spans="1:11">
      <c r="A251" s="1" t="s">
        <v>1569</v>
      </c>
      <c r="C251" s="1">
        <v>2</v>
      </c>
      <c r="D251" s="1">
        <v>8</v>
      </c>
      <c r="E251" s="3">
        <f>C251*D251</f>
        <v>16</v>
      </c>
    </row>
    <row r="252" spans="1:11">
      <c r="A252" s="7" t="s">
        <v>1571</v>
      </c>
      <c r="B252" s="7"/>
      <c r="C252" s="7"/>
      <c r="D252" s="7"/>
      <c r="E252" s="10">
        <f>SUM(E250:E251)</f>
        <v>31.228835978835981</v>
      </c>
      <c r="F252" s="1">
        <v>32</v>
      </c>
    </row>
    <row r="253" spans="1:11">
      <c r="A253" s="209" t="s">
        <v>1572</v>
      </c>
      <c r="B253" s="209"/>
      <c r="C253" s="209"/>
      <c r="D253" s="209"/>
      <c r="E253" s="210">
        <f>E252*1.3</f>
        <v>40.597486772486775</v>
      </c>
    </row>
    <row r="256" spans="1:11">
      <c r="A256" s="7" t="s">
        <v>2032</v>
      </c>
    </row>
    <row r="257" spans="1:11">
      <c r="A257" s="1" t="s">
        <v>1556</v>
      </c>
      <c r="B257" s="1">
        <f>G259*J259+K258</f>
        <v>800</v>
      </c>
      <c r="C257" s="1">
        <v>1</v>
      </c>
      <c r="D257" s="1">
        <v>8</v>
      </c>
      <c r="E257" s="3">
        <f>(B257*C257)/'Cost of fabrics'!$C$4*D257</f>
        <v>4.2328042328042326</v>
      </c>
      <c r="K257" s="1" t="s">
        <v>1911</v>
      </c>
    </row>
    <row r="258" spans="1:11">
      <c r="A258" s="1" t="s">
        <v>1557</v>
      </c>
      <c r="B258" s="1">
        <f>B257</f>
        <v>800</v>
      </c>
      <c r="C258" s="1">
        <v>1</v>
      </c>
      <c r="D258" s="1">
        <v>5</v>
      </c>
      <c r="E258" s="3">
        <f>(B258*C258)/'Cost of fabrics'!$C$4*D258</f>
        <v>2.6455026455026456</v>
      </c>
      <c r="G258" s="1" t="s">
        <v>1595</v>
      </c>
      <c r="H258" s="1" t="s">
        <v>1594</v>
      </c>
      <c r="I258" s="1" t="s">
        <v>1646</v>
      </c>
      <c r="J258" s="1" t="s">
        <v>1643</v>
      </c>
      <c r="K258" s="400">
        <f>(H259+1)*(I259+1)</f>
        <v>156</v>
      </c>
    </row>
    <row r="259" spans="1:11">
      <c r="A259" s="1" t="s">
        <v>1566</v>
      </c>
      <c r="B259" s="1">
        <f>B257</f>
        <v>800</v>
      </c>
      <c r="C259" s="1">
        <v>1</v>
      </c>
      <c r="D259" s="1">
        <v>4</v>
      </c>
      <c r="E259" s="3">
        <f>(B259*C259)/'Cost of fabrics'!$C$20*D259</f>
        <v>3.8095238095238093</v>
      </c>
      <c r="G259" s="1">
        <v>14</v>
      </c>
      <c r="H259" s="1">
        <v>11</v>
      </c>
      <c r="I259" s="1">
        <v>12</v>
      </c>
      <c r="J259" s="1">
        <f>H259*2+I259*2</f>
        <v>46</v>
      </c>
    </row>
    <row r="260" spans="1:11">
      <c r="A260" s="1" t="s">
        <v>1559</v>
      </c>
      <c r="B260" s="1">
        <f>7*H259</f>
        <v>77</v>
      </c>
      <c r="C260" s="1">
        <v>1</v>
      </c>
      <c r="D260" s="1">
        <v>6</v>
      </c>
      <c r="E260" s="3">
        <f>(B260*C260)/'Cost of fabrics'!$C$20*D260</f>
        <v>0.54999999999999993</v>
      </c>
      <c r="G260" s="1" t="s">
        <v>1911</v>
      </c>
    </row>
    <row r="261" spans="1:11">
      <c r="A261" s="1" t="s">
        <v>1616</v>
      </c>
      <c r="B261" s="1">
        <f>J259*2.5</f>
        <v>115</v>
      </c>
      <c r="C261" s="1">
        <v>1</v>
      </c>
      <c r="D261" s="1">
        <v>5</v>
      </c>
      <c r="E261" s="3">
        <f>(B261*C261)/'Cost of fabrics'!$C$4*D261</f>
        <v>0.38029100529100529</v>
      </c>
      <c r="G261" s="400" t="s">
        <v>2038</v>
      </c>
    </row>
    <row r="262" spans="1:11">
      <c r="A262" s="198" t="s">
        <v>555</v>
      </c>
      <c r="B262" s="198"/>
      <c r="C262" s="198"/>
      <c r="D262" s="198"/>
      <c r="E262" s="207">
        <f>SUM(E257:E261)</f>
        <v>11.618121693121692</v>
      </c>
    </row>
    <row r="263" spans="1:11">
      <c r="A263" s="1" t="s">
        <v>1569</v>
      </c>
      <c r="C263" s="1">
        <v>2</v>
      </c>
      <c r="D263" s="1">
        <v>8</v>
      </c>
      <c r="E263" s="3">
        <f>C263*D263</f>
        <v>16</v>
      </c>
      <c r="F263" s="1">
        <v>32</v>
      </c>
    </row>
    <row r="264" spans="1:11">
      <c r="A264" s="7" t="s">
        <v>1571</v>
      </c>
      <c r="B264" s="7"/>
      <c r="C264" s="7"/>
      <c r="D264" s="7"/>
      <c r="E264" s="10">
        <f>SUM(E262:E263)</f>
        <v>27.618121693121694</v>
      </c>
    </row>
    <row r="265" spans="1:11">
      <c r="A265" s="209" t="s">
        <v>1572</v>
      </c>
      <c r="B265" s="209"/>
      <c r="C265" s="209"/>
      <c r="D265" s="209"/>
      <c r="E265" s="210">
        <f>E264*1.3</f>
        <v>35.903558201058203</v>
      </c>
    </row>
    <row r="267" spans="1:11">
      <c r="A267" s="7" t="s">
        <v>2040</v>
      </c>
    </row>
    <row r="268" spans="1:11">
      <c r="A268" s="1" t="s">
        <v>1556</v>
      </c>
      <c r="B268" s="1">
        <f>(H270+1)*I270</f>
        <v>144</v>
      </c>
      <c r="C268" s="1">
        <v>1</v>
      </c>
      <c r="D268" s="1">
        <v>8</v>
      </c>
      <c r="E268" s="3">
        <f>(B268*C268)/'Cost of fabrics'!$C$4*D268</f>
        <v>0.76190476190476186</v>
      </c>
      <c r="K268" s="1" t="s">
        <v>1911</v>
      </c>
    </row>
    <row r="269" spans="1:11">
      <c r="A269" s="1" t="s">
        <v>1557</v>
      </c>
      <c r="B269" s="1">
        <f>B268</f>
        <v>144</v>
      </c>
      <c r="C269" s="1">
        <v>1</v>
      </c>
      <c r="D269" s="1">
        <v>5</v>
      </c>
      <c r="E269" s="3">
        <f>(B269*C269)/'Cost of fabrics'!$C$4*D269</f>
        <v>0.47619047619047616</v>
      </c>
      <c r="G269" s="1" t="s">
        <v>1595</v>
      </c>
      <c r="H269" s="1" t="s">
        <v>1594</v>
      </c>
      <c r="I269" s="1" t="s">
        <v>1646</v>
      </c>
      <c r="J269" s="1" t="s">
        <v>1643</v>
      </c>
      <c r="K269" s="400">
        <f>(H270+1)*(I270+1)</f>
        <v>156</v>
      </c>
    </row>
    <row r="270" spans="1:11">
      <c r="A270" s="1" t="s">
        <v>1566</v>
      </c>
      <c r="B270" s="1">
        <f>B268</f>
        <v>144</v>
      </c>
      <c r="C270" s="1">
        <v>1</v>
      </c>
      <c r="D270" s="1">
        <v>8</v>
      </c>
      <c r="E270" s="3">
        <f>(B270*C270)/'Cost of fabrics'!$C$20*D270</f>
        <v>1.3714285714285714</v>
      </c>
      <c r="G270" s="1">
        <v>14</v>
      </c>
      <c r="H270" s="1">
        <v>11</v>
      </c>
      <c r="I270" s="1">
        <v>12</v>
      </c>
      <c r="J270" s="1">
        <f>H270*2+I270*2</f>
        <v>46</v>
      </c>
    </row>
    <row r="271" spans="1:11">
      <c r="A271" s="1" t="s">
        <v>1616</v>
      </c>
      <c r="B271" s="1">
        <f>J270*2</f>
        <v>92</v>
      </c>
      <c r="C271" s="1">
        <v>1</v>
      </c>
      <c r="D271" s="1">
        <v>8</v>
      </c>
      <c r="E271" s="3">
        <f>(B271*C271)/'Cost of fabrics'!$C$4*D271</f>
        <v>0.48677248677248675</v>
      </c>
      <c r="G271" s="1" t="s">
        <v>1911</v>
      </c>
    </row>
    <row r="272" spans="1:11">
      <c r="A272" s="198" t="s">
        <v>555</v>
      </c>
      <c r="B272" s="198"/>
      <c r="C272" s="198"/>
      <c r="D272" s="198"/>
      <c r="E272" s="207">
        <f>SUM(E268:E271)</f>
        <v>3.0962962962962965</v>
      </c>
      <c r="G272" s="400" t="s">
        <v>2038</v>
      </c>
    </row>
    <row r="273" spans="1:13">
      <c r="A273" s="1" t="s">
        <v>1569</v>
      </c>
      <c r="C273" s="1">
        <v>0.5</v>
      </c>
      <c r="D273" s="1">
        <v>8</v>
      </c>
      <c r="E273" s="3">
        <f>C273*D273</f>
        <v>4</v>
      </c>
    </row>
    <row r="274" spans="1:13">
      <c r="A274" s="7" t="s">
        <v>1571</v>
      </c>
      <c r="B274" s="7"/>
      <c r="C274" s="7"/>
      <c r="D274" s="7"/>
      <c r="E274" s="10">
        <f>SUM(E272:E273)</f>
        <v>7.0962962962962965</v>
      </c>
    </row>
    <row r="275" spans="1:13">
      <c r="A275" s="209" t="s">
        <v>1572</v>
      </c>
      <c r="B275" s="209"/>
      <c r="C275" s="209"/>
      <c r="D275" s="209"/>
      <c r="E275" s="210">
        <f>E274*1.3</f>
        <v>9.225185185185186</v>
      </c>
    </row>
    <row r="278" spans="1:13">
      <c r="A278" s="7" t="s">
        <v>2060</v>
      </c>
      <c r="C278" s="400" t="s">
        <v>2063</v>
      </c>
    </row>
    <row r="279" spans="1:13">
      <c r="A279" s="1" t="s">
        <v>1556</v>
      </c>
      <c r="B279" s="1">
        <f>H281*I281</f>
        <v>288</v>
      </c>
      <c r="C279" s="1">
        <v>1</v>
      </c>
      <c r="D279" s="1">
        <v>8</v>
      </c>
      <c r="E279" s="3">
        <f>(B279*C279)/'Cost of fabrics'!$C$4*D279</f>
        <v>1.5238095238095237</v>
      </c>
    </row>
    <row r="280" spans="1:13">
      <c r="A280" s="1" t="s">
        <v>1557</v>
      </c>
      <c r="B280" s="1">
        <f>B279</f>
        <v>288</v>
      </c>
      <c r="C280" s="1">
        <v>1</v>
      </c>
      <c r="D280" s="1">
        <v>5</v>
      </c>
      <c r="E280" s="3">
        <f>(B280*C280)/'Cost of fabrics'!$C$4*D280</f>
        <v>0.95238095238095233</v>
      </c>
      <c r="H280" s="1" t="s">
        <v>1595</v>
      </c>
      <c r="I280" s="1" t="s">
        <v>1594</v>
      </c>
      <c r="M280" s="400"/>
    </row>
    <row r="281" spans="1:13">
      <c r="A281" s="1" t="s">
        <v>2065</v>
      </c>
      <c r="B281" s="1">
        <f>B279</f>
        <v>288</v>
      </c>
      <c r="C281" s="1">
        <v>1</v>
      </c>
      <c r="D281" s="1">
        <v>9</v>
      </c>
      <c r="E281" s="3">
        <f>(B281*C281)/'Cost of fabrics'!$C$18*D281</f>
        <v>1.1076923076923078</v>
      </c>
      <c r="H281" s="1">
        <v>24</v>
      </c>
      <c r="I281" s="1">
        <v>12</v>
      </c>
    </row>
    <row r="282" spans="1:13">
      <c r="A282" s="1" t="s">
        <v>2059</v>
      </c>
      <c r="B282" s="1">
        <f>((9*2)+3)*4</f>
        <v>84</v>
      </c>
      <c r="C282" s="1">
        <v>1</v>
      </c>
      <c r="D282" s="1">
        <v>8</v>
      </c>
      <c r="E282" s="3">
        <f>(B282*C282)/'Cost of fabrics'!$C$4*D282</f>
        <v>0.44444444444444442</v>
      </c>
    </row>
    <row r="283" spans="1:13">
      <c r="A283" s="1" t="s">
        <v>1568</v>
      </c>
      <c r="B283" s="1">
        <v>2</v>
      </c>
      <c r="C283" s="1">
        <v>1</v>
      </c>
      <c r="E283" s="3">
        <v>0.5</v>
      </c>
      <c r="G283" s="1" t="s">
        <v>2061</v>
      </c>
      <c r="H283" s="400">
        <v>21</v>
      </c>
      <c r="I283" s="1">
        <v>4</v>
      </c>
    </row>
    <row r="284" spans="1:13">
      <c r="A284" s="1" t="s">
        <v>2064</v>
      </c>
      <c r="E284" s="3">
        <v>4</v>
      </c>
      <c r="F284" s="400"/>
      <c r="H284" s="400" t="s">
        <v>2062</v>
      </c>
    </row>
    <row r="285" spans="1:13">
      <c r="A285" s="198" t="s">
        <v>555</v>
      </c>
      <c r="B285" s="198"/>
      <c r="C285" s="198"/>
      <c r="D285" s="198"/>
      <c r="E285" s="207">
        <f>SUM(E279:E284)</f>
        <v>8.5283272283272282</v>
      </c>
      <c r="H285" s="400"/>
    </row>
    <row r="286" spans="1:13">
      <c r="A286" s="1" t="s">
        <v>1569</v>
      </c>
      <c r="C286" s="1">
        <v>1</v>
      </c>
      <c r="D286" s="1">
        <v>8</v>
      </c>
      <c r="E286" s="3">
        <f>C286*D286</f>
        <v>8</v>
      </c>
    </row>
    <row r="287" spans="1:13">
      <c r="A287" s="7" t="s">
        <v>1571</v>
      </c>
      <c r="B287" s="7"/>
      <c r="C287" s="7"/>
      <c r="D287" s="7"/>
      <c r="E287" s="10">
        <f>SUM(E285:E286)</f>
        <v>16.528327228327228</v>
      </c>
    </row>
    <row r="288" spans="1:13">
      <c r="A288" s="209" t="s">
        <v>1572</v>
      </c>
      <c r="B288" s="209"/>
      <c r="C288" s="209"/>
      <c r="D288" s="209"/>
      <c r="E288" s="210">
        <f>E287*1.3</f>
        <v>21.486825396825399</v>
      </c>
    </row>
    <row r="291" spans="1:9">
      <c r="A291" s="7" t="s">
        <v>2069</v>
      </c>
    </row>
    <row r="292" spans="1:9">
      <c r="A292" s="1" t="s">
        <v>1556</v>
      </c>
      <c r="B292" s="1">
        <f>(H294*I294)+(H295*I295*2)</f>
        <v>322</v>
      </c>
      <c r="C292" s="1">
        <v>1</v>
      </c>
      <c r="D292" s="1">
        <v>8</v>
      </c>
      <c r="E292" s="3">
        <f>(B292*C292)/'Cost of fabrics'!$C$4*D292</f>
        <v>1.7037037037037037</v>
      </c>
    </row>
    <row r="293" spans="1:9">
      <c r="A293" s="1" t="s">
        <v>1557</v>
      </c>
      <c r="B293" s="1">
        <f>B292</f>
        <v>322</v>
      </c>
      <c r="C293" s="1">
        <v>1</v>
      </c>
      <c r="D293" s="1">
        <v>8</v>
      </c>
      <c r="E293" s="3">
        <f>(B293*C293)/'Cost of fabrics'!$C$4*D293</f>
        <v>1.7037037037037037</v>
      </c>
      <c r="H293" s="1" t="s">
        <v>1595</v>
      </c>
      <c r="I293" s="1" t="s">
        <v>1594</v>
      </c>
    </row>
    <row r="294" spans="1:9">
      <c r="A294" s="1" t="s">
        <v>2070</v>
      </c>
      <c r="B294" s="1">
        <f>H294*I294</f>
        <v>210</v>
      </c>
      <c r="C294" s="1">
        <v>1</v>
      </c>
      <c r="D294" s="1">
        <v>6</v>
      </c>
      <c r="E294" s="3">
        <f>(B294*C294)/'Cost of fabrics'!$C$6*D294</f>
        <v>0.79545454545454541</v>
      </c>
      <c r="G294" s="1" t="s">
        <v>2071</v>
      </c>
      <c r="H294" s="1">
        <v>7</v>
      </c>
      <c r="I294" s="1">
        <v>30</v>
      </c>
    </row>
    <row r="295" spans="1:9">
      <c r="A295" s="1" t="s">
        <v>2073</v>
      </c>
      <c r="B295" s="1">
        <f>H295*I295</f>
        <v>56</v>
      </c>
      <c r="C295" s="1">
        <v>2</v>
      </c>
      <c r="D295" s="1">
        <v>5</v>
      </c>
      <c r="E295" s="3">
        <f>(B295*C295)/'Cost of fabrics'!$C$13*D295</f>
        <v>0.31908831908831914</v>
      </c>
      <c r="G295" s="1" t="s">
        <v>2072</v>
      </c>
      <c r="H295" s="1">
        <v>7</v>
      </c>
      <c r="I295" s="1">
        <v>8</v>
      </c>
    </row>
    <row r="296" spans="1:9">
      <c r="A296" s="1" t="s">
        <v>1616</v>
      </c>
      <c r="B296" s="1">
        <f>((H294+I294)*2)+(H295*2)</f>
        <v>88</v>
      </c>
      <c r="C296" s="1">
        <v>1</v>
      </c>
      <c r="D296" s="1">
        <v>1</v>
      </c>
      <c r="E296" s="3">
        <v>2</v>
      </c>
      <c r="G296" s="1" t="s">
        <v>1641</v>
      </c>
      <c r="H296" s="400">
        <v>3.5</v>
      </c>
    </row>
    <row r="297" spans="1:9">
      <c r="A297" s="198" t="s">
        <v>555</v>
      </c>
      <c r="B297" s="198"/>
      <c r="C297" s="198"/>
      <c r="D297" s="198"/>
      <c r="E297" s="207">
        <f>SUM(E292:E296)</f>
        <v>6.5219502719502724</v>
      </c>
      <c r="G297" s="1" t="s">
        <v>2074</v>
      </c>
      <c r="H297" s="1">
        <v>22</v>
      </c>
    </row>
    <row r="298" spans="1:9">
      <c r="A298" s="1" t="s">
        <v>1569</v>
      </c>
      <c r="C298" s="1">
        <v>1</v>
      </c>
      <c r="D298" s="1">
        <v>8</v>
      </c>
      <c r="E298" s="3">
        <f>C298*D298</f>
        <v>8</v>
      </c>
    </row>
    <row r="299" spans="1:9">
      <c r="A299" s="7" t="s">
        <v>1571</v>
      </c>
      <c r="B299" s="7"/>
      <c r="C299" s="7"/>
      <c r="D299" s="7"/>
      <c r="E299" s="10">
        <f>SUM(E297:E298)</f>
        <v>14.521950271950272</v>
      </c>
    </row>
    <row r="300" spans="1:9">
      <c r="A300" s="209" t="s">
        <v>1572</v>
      </c>
      <c r="B300" s="209"/>
      <c r="C300" s="209"/>
      <c r="D300" s="209"/>
      <c r="E300" s="210">
        <f>E299*1.3</f>
        <v>18.878535353535355</v>
      </c>
      <c r="F300" s="60">
        <f>2/E299%</f>
        <v>13.772254845570432</v>
      </c>
    </row>
    <row r="303" spans="1:9">
      <c r="A303" s="7" t="s">
        <v>2082</v>
      </c>
    </row>
    <row r="304" spans="1:9">
      <c r="A304" s="1" t="s">
        <v>1556</v>
      </c>
      <c r="B304" s="1">
        <f>(H306*I306)+(H307*I307*2)+H310</f>
        <v>282.82142857142856</v>
      </c>
      <c r="C304" s="1">
        <v>1</v>
      </c>
      <c r="D304" s="1">
        <v>18</v>
      </c>
      <c r="E304" s="3">
        <f>(B304*C304)/'Cost of fabrics'!$C$4*D304</f>
        <v>3.3669217687074831</v>
      </c>
    </row>
    <row r="305" spans="1:15">
      <c r="A305" s="1" t="s">
        <v>1557</v>
      </c>
      <c r="B305" s="1">
        <f>B304</f>
        <v>282.82142857142856</v>
      </c>
      <c r="C305" s="1">
        <v>1</v>
      </c>
      <c r="D305" s="1">
        <v>12</v>
      </c>
      <c r="E305" s="3">
        <f>(B305*C305)/'Cost of fabrics'!$C$4*D305</f>
        <v>2.2446145124716552</v>
      </c>
      <c r="H305" s="1" t="s">
        <v>1595</v>
      </c>
      <c r="I305" s="1" t="s">
        <v>1594</v>
      </c>
    </row>
    <row r="306" spans="1:15">
      <c r="A306" s="1" t="s">
        <v>1566</v>
      </c>
      <c r="B306" s="1">
        <f>(H306*I306)+H310</f>
        <v>220.57142857142856</v>
      </c>
      <c r="C306" s="1">
        <v>1</v>
      </c>
      <c r="D306" s="1">
        <v>4</v>
      </c>
      <c r="E306" s="3">
        <f>(B306*C306)/'Cost of fabrics'!$C$20*D306</f>
        <v>1.0503401360544218</v>
      </c>
      <c r="G306" s="1" t="s">
        <v>2071</v>
      </c>
      <c r="H306" s="1">
        <v>8.5</v>
      </c>
      <c r="I306" s="1">
        <v>20.75</v>
      </c>
    </row>
    <row r="307" spans="1:15">
      <c r="A307" s="1" t="s">
        <v>2085</v>
      </c>
      <c r="B307" s="1">
        <f>H308*I308</f>
        <v>103.75</v>
      </c>
      <c r="C307" s="1">
        <v>1</v>
      </c>
      <c r="D307" s="1">
        <v>10</v>
      </c>
      <c r="E307" s="3">
        <f>(B307*C307)/'Cost of fabrics'!$C$4*D307</f>
        <v>0.68617724867724872</v>
      </c>
      <c r="G307" s="1" t="s">
        <v>2083</v>
      </c>
      <c r="H307" s="1">
        <v>1.5</v>
      </c>
      <c r="I307" s="1">
        <v>20.75</v>
      </c>
    </row>
    <row r="308" spans="1:15">
      <c r="A308" s="1" t="s">
        <v>2084</v>
      </c>
      <c r="B308" s="1">
        <f>I311</f>
        <v>20.75</v>
      </c>
      <c r="C308" s="1">
        <v>1</v>
      </c>
      <c r="E308" s="3">
        <v>1</v>
      </c>
      <c r="G308" s="1" t="s">
        <v>2085</v>
      </c>
      <c r="H308" s="1">
        <v>5</v>
      </c>
      <c r="I308" s="1">
        <v>20.75</v>
      </c>
    </row>
    <row r="309" spans="1:15">
      <c r="A309" s="198" t="s">
        <v>555</v>
      </c>
      <c r="B309" s="198"/>
      <c r="C309" s="198"/>
      <c r="D309" s="198"/>
      <c r="E309" s="207">
        <f>SUM(E304:E308)</f>
        <v>8.3480536659108076</v>
      </c>
      <c r="G309" s="1" t="s">
        <v>1641</v>
      </c>
      <c r="H309" s="400">
        <v>3.75</v>
      </c>
    </row>
    <row r="310" spans="1:15">
      <c r="A310" s="1" t="s">
        <v>1569</v>
      </c>
      <c r="C310" s="1">
        <v>1</v>
      </c>
      <c r="D310" s="1">
        <v>8</v>
      </c>
      <c r="E310" s="3">
        <f>C310*D310</f>
        <v>8</v>
      </c>
      <c r="G310" s="1" t="s">
        <v>2086</v>
      </c>
      <c r="H310" s="60">
        <f>22/7*(H309^2)</f>
        <v>44.196428571428569</v>
      </c>
    </row>
    <row r="311" spans="1:15">
      <c r="A311" s="7" t="s">
        <v>1571</v>
      </c>
      <c r="B311" s="7"/>
      <c r="C311" s="7"/>
      <c r="D311" s="7"/>
      <c r="E311" s="10">
        <f>SUM(E309:E310)</f>
        <v>16.348053665910808</v>
      </c>
      <c r="G311" s="1" t="s">
        <v>2084</v>
      </c>
      <c r="I311" s="1">
        <v>20.75</v>
      </c>
    </row>
    <row r="312" spans="1:15">
      <c r="A312" s="209" t="s">
        <v>1572</v>
      </c>
      <c r="B312" s="209"/>
      <c r="C312" s="209"/>
      <c r="D312" s="209"/>
      <c r="E312" s="210">
        <f>E311*1.3</f>
        <v>21.252469765684051</v>
      </c>
    </row>
    <row r="315" spans="1:15">
      <c r="A315" s="7" t="s">
        <v>2099</v>
      </c>
      <c r="B315" s="1" t="s">
        <v>2094</v>
      </c>
      <c r="C315" s="1" t="s">
        <v>2095</v>
      </c>
      <c r="D315" s="1" t="s">
        <v>2093</v>
      </c>
      <c r="E315" s="1"/>
      <c r="G315" s="1" t="s">
        <v>2094</v>
      </c>
      <c r="H315" s="1" t="s">
        <v>2095</v>
      </c>
      <c r="I315" s="1" t="s">
        <v>2093</v>
      </c>
    </row>
    <row r="316" spans="1:15">
      <c r="A316" s="1" t="s">
        <v>1556</v>
      </c>
      <c r="B316" s="1">
        <f>L319*M318+L323*M322</f>
        <v>68.75</v>
      </c>
      <c r="C316" s="1">
        <f>L320*M319+L324*M323</f>
        <v>88</v>
      </c>
      <c r="D316" s="1">
        <f>L321*M320+L325*M324</f>
        <v>109.5</v>
      </c>
      <c r="E316" s="1">
        <v>2</v>
      </c>
      <c r="F316" s="1">
        <v>8</v>
      </c>
      <c r="G316" s="3">
        <f>(B316*E316)/'Cost of fabrics'!$C$4*F316</f>
        <v>0.72751322751322756</v>
      </c>
      <c r="H316" s="3">
        <f>(C316*E316)/'Cost of fabrics'!$C$4*F316</f>
        <v>0.93121693121693117</v>
      </c>
      <c r="I316" s="3">
        <f>(D316*E316)/'Cost of fabrics'!$C$4*F316</f>
        <v>1.1587301587301588</v>
      </c>
      <c r="M316" s="1" t="s">
        <v>1594</v>
      </c>
      <c r="N316" s="1" t="s">
        <v>2122</v>
      </c>
      <c r="O316" s="405">
        <v>1.5</v>
      </c>
    </row>
    <row r="317" spans="1:15">
      <c r="A317" s="1" t="s">
        <v>1557</v>
      </c>
      <c r="B317" s="1">
        <f>B316</f>
        <v>68.75</v>
      </c>
      <c r="C317" s="1">
        <f>C316</f>
        <v>88</v>
      </c>
      <c r="D317" s="1">
        <f>D316</f>
        <v>109.5</v>
      </c>
      <c r="E317" s="1">
        <v>2</v>
      </c>
      <c r="F317" s="1">
        <v>6</v>
      </c>
      <c r="G317" s="3">
        <f>(B317*E317)/'Cost of fabrics'!$C$4*F317</f>
        <v>0.54563492063492069</v>
      </c>
      <c r="H317" s="3">
        <f>(C317*E317)/'Cost of fabrics'!$C$4*F317</f>
        <v>0.69841269841269837</v>
      </c>
      <c r="I317" s="3">
        <f>(D317*E317)/'Cost of fabrics'!$C$4*F317</f>
        <v>0.86904761904761907</v>
      </c>
      <c r="L317" s="1" t="s">
        <v>1595</v>
      </c>
      <c r="N317" s="1" t="s">
        <v>2123</v>
      </c>
      <c r="O317" s="405">
        <v>0.3</v>
      </c>
    </row>
    <row r="318" spans="1:15">
      <c r="A318" s="1" t="s">
        <v>2065</v>
      </c>
      <c r="B318" s="1">
        <f t="shared" ref="B318:D319" si="6">B316</f>
        <v>68.75</v>
      </c>
      <c r="C318" s="1">
        <f t="shared" si="6"/>
        <v>88</v>
      </c>
      <c r="D318" s="1">
        <f t="shared" si="6"/>
        <v>109.5</v>
      </c>
      <c r="E318" s="1">
        <v>2</v>
      </c>
      <c r="F318" s="1">
        <v>9</v>
      </c>
      <c r="G318" s="3">
        <f>(B318*E318)/'Cost of fabrics'!$C$18*F318</f>
        <v>0.52884615384615385</v>
      </c>
      <c r="H318" s="3">
        <f>(C318*E318)/'Cost of fabrics'!$C$18*F318</f>
        <v>0.67692307692307685</v>
      </c>
      <c r="I318" s="3">
        <f>(D318*E318)/'Cost of fabrics'!$C$18*F318</f>
        <v>0.84230769230769231</v>
      </c>
      <c r="K318" s="312" t="s">
        <v>2071</v>
      </c>
      <c r="M318" s="1">
        <v>5.5</v>
      </c>
    </row>
    <row r="319" spans="1:15">
      <c r="A319" s="1" t="s">
        <v>1926</v>
      </c>
      <c r="B319" s="1">
        <f t="shared" si="6"/>
        <v>68.75</v>
      </c>
      <c r="C319" s="1">
        <f t="shared" si="6"/>
        <v>88</v>
      </c>
      <c r="D319" s="1">
        <f t="shared" si="6"/>
        <v>109.5</v>
      </c>
      <c r="E319" s="1">
        <v>2</v>
      </c>
      <c r="F319" s="1">
        <v>9</v>
      </c>
      <c r="G319" s="3">
        <f>(B319*E319)/'Cost of fabrics'!$C$3*F319</f>
        <v>0.31828703703703703</v>
      </c>
      <c r="H319" s="3">
        <f>(C319*E319)/'Cost of fabrics'!$C$3*F319</f>
        <v>0.40740740740740744</v>
      </c>
      <c r="I319" s="3">
        <f>(D319*E319)/'Cost of fabrics'!$C$3*F319</f>
        <v>0.50694444444444442</v>
      </c>
      <c r="K319" s="1" t="s">
        <v>2094</v>
      </c>
      <c r="L319" s="1">
        <v>7</v>
      </c>
      <c r="M319" s="1">
        <v>6.5</v>
      </c>
    </row>
    <row r="320" spans="1:15">
      <c r="A320" s="1" t="s">
        <v>2124</v>
      </c>
      <c r="B320" s="1">
        <f>3*2</f>
        <v>6</v>
      </c>
      <c r="C320" s="1">
        <f t="shared" ref="C320:D320" si="7">3*2</f>
        <v>6</v>
      </c>
      <c r="D320" s="1">
        <f t="shared" si="7"/>
        <v>6</v>
      </c>
      <c r="E320" s="1">
        <v>1</v>
      </c>
      <c r="F320" s="1">
        <v>8</v>
      </c>
      <c r="G320" s="3">
        <f>(B320*E320)/'Cost of fabrics'!$C$4*F320</f>
        <v>3.1746031746031744E-2</v>
      </c>
      <c r="H320" s="3">
        <f>(C320*E320)/'Cost of fabrics'!$C$4*F320</f>
        <v>3.1746031746031744E-2</v>
      </c>
      <c r="I320" s="3">
        <f>(D320*E320)/'Cost of fabrics'!$C$4*F320</f>
        <v>3.1746031746031744E-2</v>
      </c>
      <c r="K320" s="1" t="s">
        <v>2095</v>
      </c>
      <c r="L320" s="1">
        <v>8</v>
      </c>
      <c r="M320" s="400">
        <v>7.5</v>
      </c>
    </row>
    <row r="321" spans="1:15">
      <c r="A321" s="1" t="s">
        <v>2121</v>
      </c>
      <c r="B321" s="1">
        <v>12</v>
      </c>
      <c r="C321" s="1">
        <v>14</v>
      </c>
      <c r="D321" s="1">
        <v>17</v>
      </c>
      <c r="E321" s="1">
        <v>1</v>
      </c>
      <c r="F321" s="1">
        <v>1.5</v>
      </c>
      <c r="G321" s="3">
        <f>B321*F321/36</f>
        <v>0.5</v>
      </c>
      <c r="H321" s="3">
        <f>C321*F321/36</f>
        <v>0.58333333333333337</v>
      </c>
      <c r="I321" s="3">
        <f>D321*F321/36</f>
        <v>0.70833333333333337</v>
      </c>
      <c r="K321" s="1" t="s">
        <v>2093</v>
      </c>
      <c r="L321" s="1">
        <v>9</v>
      </c>
      <c r="M321" s="400"/>
    </row>
    <row r="322" spans="1:15">
      <c r="A322" s="1" t="s">
        <v>2126</v>
      </c>
      <c r="F322" s="1">
        <v>0.3</v>
      </c>
      <c r="G322" s="1">
        <f>F322</f>
        <v>0.3</v>
      </c>
      <c r="H322" s="1">
        <f>G322</f>
        <v>0.3</v>
      </c>
      <c r="I322" s="1">
        <f>H322</f>
        <v>0.3</v>
      </c>
      <c r="K322" s="312" t="s">
        <v>2120</v>
      </c>
      <c r="M322" s="1">
        <v>5.5</v>
      </c>
    </row>
    <row r="323" spans="1:15">
      <c r="A323" s="198" t="s">
        <v>555</v>
      </c>
      <c r="B323" s="198"/>
      <c r="C323" s="198"/>
      <c r="D323" s="198"/>
      <c r="E323" s="198"/>
      <c r="F323" s="198"/>
      <c r="G323" s="207">
        <f>SUM(G316:G322)</f>
        <v>2.9520273707773708</v>
      </c>
      <c r="H323" s="207">
        <f>SUM(H316:H322)</f>
        <v>3.6290394790394789</v>
      </c>
      <c r="I323" s="207">
        <f>SUM(I316:I322)</f>
        <v>4.4171092796092788</v>
      </c>
      <c r="K323" s="1" t="s">
        <v>2094</v>
      </c>
      <c r="L323" s="1">
        <v>5.5</v>
      </c>
      <c r="M323" s="1">
        <v>6</v>
      </c>
    </row>
    <row r="324" spans="1:15">
      <c r="A324" s="1" t="s">
        <v>1569</v>
      </c>
      <c r="E324" s="1">
        <v>0.5</v>
      </c>
      <c r="F324" s="1">
        <v>8</v>
      </c>
      <c r="G324" s="3">
        <f>E324*F324</f>
        <v>4</v>
      </c>
      <c r="H324" s="3">
        <f>E324*F324</f>
        <v>4</v>
      </c>
      <c r="I324" s="3">
        <f>E324*F324</f>
        <v>4</v>
      </c>
      <c r="K324" s="1" t="s">
        <v>2095</v>
      </c>
      <c r="L324" s="1">
        <v>6</v>
      </c>
      <c r="M324" s="1">
        <v>6</v>
      </c>
    </row>
    <row r="325" spans="1:15">
      <c r="A325" s="7" t="s">
        <v>1571</v>
      </c>
      <c r="B325" s="7"/>
      <c r="C325" s="7"/>
      <c r="D325" s="7"/>
      <c r="E325" s="7"/>
      <c r="F325" s="7"/>
      <c r="G325" s="10">
        <f>SUM(G323:G324)</f>
        <v>6.9520273707773708</v>
      </c>
      <c r="H325" s="10">
        <f t="shared" ref="H325:I325" si="8">SUM(H323:H324)</f>
        <v>7.6290394790394789</v>
      </c>
      <c r="I325" s="10">
        <f t="shared" si="8"/>
        <v>8.4171092796092779</v>
      </c>
      <c r="K325" s="1" t="s">
        <v>2093</v>
      </c>
      <c r="L325" s="1">
        <v>7</v>
      </c>
    </row>
    <row r="326" spans="1:15">
      <c r="A326" s="209" t="s">
        <v>1572</v>
      </c>
      <c r="B326" s="209"/>
      <c r="C326" s="209"/>
      <c r="D326" s="209"/>
      <c r="E326" s="209"/>
      <c r="F326" s="209"/>
      <c r="G326" s="210">
        <f>G325*1.3</f>
        <v>9.0376355820105818</v>
      </c>
      <c r="H326" s="210">
        <f t="shared" ref="H326:I326" si="9">H325*1.3</f>
        <v>9.9177513227513234</v>
      </c>
      <c r="I326" s="210">
        <f t="shared" si="9"/>
        <v>10.942242063492062</v>
      </c>
      <c r="J326" s="3">
        <f>SUM(G326:I326)</f>
        <v>29.897628968253969</v>
      </c>
    </row>
    <row r="329" spans="1:15">
      <c r="A329" s="7" t="s">
        <v>2127</v>
      </c>
      <c r="B329" s="1" t="s">
        <v>2094</v>
      </c>
      <c r="C329" s="27" t="s">
        <v>2095</v>
      </c>
      <c r="D329" s="1" t="s">
        <v>2093</v>
      </c>
      <c r="E329" s="1"/>
      <c r="G329" s="1" t="s">
        <v>2094</v>
      </c>
      <c r="H329" s="27" t="s">
        <v>2095</v>
      </c>
      <c r="I329" s="1" t="s">
        <v>2093</v>
      </c>
    </row>
    <row r="330" spans="1:15">
      <c r="A330" s="1" t="s">
        <v>1556</v>
      </c>
      <c r="B330" s="1">
        <f>L333*M333</f>
        <v>104</v>
      </c>
      <c r="C330" s="27">
        <f>L334*M334</f>
        <v>117</v>
      </c>
      <c r="D330" s="1">
        <f>L335*M335</f>
        <v>130</v>
      </c>
      <c r="E330" s="1">
        <v>2</v>
      </c>
      <c r="F330" s="1">
        <v>10</v>
      </c>
      <c r="G330" s="3">
        <f>(B330*E330)/'Cost of fabrics'!$C$4*F330</f>
        <v>1.3756613756613756</v>
      </c>
      <c r="H330" s="28">
        <f>(C330*E330)/'Cost of fabrics'!$C$4*F330</f>
        <v>1.5476190476190477</v>
      </c>
      <c r="I330" s="3">
        <f>(D330*E330)/'Cost of fabrics'!$C$4*F330</f>
        <v>1.7195767195767195</v>
      </c>
      <c r="M330" s="1" t="s">
        <v>1594</v>
      </c>
      <c r="N330" s="1" t="s">
        <v>2122</v>
      </c>
      <c r="O330" s="405">
        <v>1.5</v>
      </c>
    </row>
    <row r="331" spans="1:15">
      <c r="A331" s="1" t="s">
        <v>1557</v>
      </c>
      <c r="B331" s="1">
        <f>B330</f>
        <v>104</v>
      </c>
      <c r="C331" s="27">
        <f>C330</f>
        <v>117</v>
      </c>
      <c r="D331" s="1">
        <f>D330</f>
        <v>130</v>
      </c>
      <c r="E331" s="1">
        <v>2</v>
      </c>
      <c r="F331" s="1">
        <v>6</v>
      </c>
      <c r="G331" s="3">
        <f>(B331*E331)/'Cost of fabrics'!$C$4*F331</f>
        <v>0.82539682539682535</v>
      </c>
      <c r="H331" s="28">
        <f>(C331*E331)/'Cost of fabrics'!$C$4*F331</f>
        <v>0.9285714285714286</v>
      </c>
      <c r="I331" s="3">
        <f>(D331*E331)/'Cost of fabrics'!$C$4*F331</f>
        <v>1.0317460317460316</v>
      </c>
      <c r="L331" s="1" t="s">
        <v>1595</v>
      </c>
      <c r="N331" s="1" t="s">
        <v>2123</v>
      </c>
      <c r="O331" s="405">
        <v>0.3</v>
      </c>
    </row>
    <row r="332" spans="1:15">
      <c r="A332" s="1" t="s">
        <v>2097</v>
      </c>
      <c r="B332" s="1">
        <f t="shared" ref="B332:D333" si="10">B330</f>
        <v>104</v>
      </c>
      <c r="C332" s="27">
        <f t="shared" si="10"/>
        <v>117</v>
      </c>
      <c r="D332" s="1">
        <f t="shared" si="10"/>
        <v>130</v>
      </c>
      <c r="E332" s="1">
        <v>2</v>
      </c>
      <c r="F332" s="1">
        <v>4</v>
      </c>
      <c r="G332" s="3">
        <f>(B332*E332)/'Cost of fabrics'!$C$20*F332</f>
        <v>0.99047619047619051</v>
      </c>
      <c r="H332" s="28">
        <f>(C332*E332)/'Cost of fabrics'!$C$20*F332</f>
        <v>1.1142857142857143</v>
      </c>
      <c r="I332" s="3">
        <f>(D332*E332)/'Cost of fabrics'!$C$20*F332</f>
        <v>1.2380952380952381</v>
      </c>
      <c r="K332" s="312" t="s">
        <v>2071</v>
      </c>
    </row>
    <row r="333" spans="1:15">
      <c r="A333" s="1" t="s">
        <v>1926</v>
      </c>
      <c r="B333" s="1">
        <f t="shared" si="10"/>
        <v>104</v>
      </c>
      <c r="C333" s="27">
        <f t="shared" si="10"/>
        <v>117</v>
      </c>
      <c r="D333" s="1">
        <f t="shared" si="10"/>
        <v>130</v>
      </c>
      <c r="E333" s="1">
        <v>2</v>
      </c>
      <c r="F333" s="1">
        <v>9.5</v>
      </c>
      <c r="G333" s="3">
        <f>(B333*E333)/'Cost of fabrics'!$C$23*F333</f>
        <v>0.24949494949494949</v>
      </c>
      <c r="H333" s="28">
        <f>(C333*F333)/'Cost of fabrics'!$C$23*G333</f>
        <v>3.5014348025711663E-2</v>
      </c>
      <c r="I333" s="3">
        <f>(D333*E333)/'Cost of fabrics'!$C$23*F333</f>
        <v>0.31186868686868691</v>
      </c>
      <c r="K333" s="1" t="s">
        <v>2094</v>
      </c>
      <c r="L333" s="1">
        <v>8</v>
      </c>
      <c r="M333" s="1">
        <v>13</v>
      </c>
    </row>
    <row r="334" spans="1:15">
      <c r="A334" s="1" t="s">
        <v>2124</v>
      </c>
      <c r="B334" s="1">
        <f>3*1.5</f>
        <v>4.5</v>
      </c>
      <c r="C334" s="27">
        <f>3*1.5</f>
        <v>4.5</v>
      </c>
      <c r="D334" s="1">
        <f>3*1.5</f>
        <v>4.5</v>
      </c>
      <c r="E334" s="1">
        <v>2</v>
      </c>
      <c r="F334" s="1">
        <v>10</v>
      </c>
      <c r="G334" s="3">
        <f>(B334*E334)/'Cost of fabrics'!$C$4*F334</f>
        <v>5.9523809523809521E-2</v>
      </c>
      <c r="H334" s="28">
        <f>(C334*E334)/'Cost of fabrics'!$C$4*F334</f>
        <v>5.9523809523809521E-2</v>
      </c>
      <c r="I334" s="3">
        <f>(D334*E334)/'Cost of fabrics'!$C$4*F334</f>
        <v>5.9523809523809521E-2</v>
      </c>
      <c r="K334" s="27" t="s">
        <v>2095</v>
      </c>
      <c r="L334" s="27">
        <v>9</v>
      </c>
      <c r="M334" s="27">
        <v>13</v>
      </c>
    </row>
    <row r="335" spans="1:15">
      <c r="A335" s="1" t="s">
        <v>2121</v>
      </c>
      <c r="B335" s="1">
        <v>8</v>
      </c>
      <c r="C335" s="27">
        <v>9</v>
      </c>
      <c r="D335" s="1">
        <v>10</v>
      </c>
      <c r="E335" s="1">
        <v>1</v>
      </c>
      <c r="F335" s="1">
        <v>1.5</v>
      </c>
      <c r="G335" s="3">
        <f>B335*F335/36</f>
        <v>0.33333333333333331</v>
      </c>
      <c r="H335" s="28">
        <f>C335*F335/36</f>
        <v>0.375</v>
      </c>
      <c r="I335" s="3">
        <f>D335*F335/36</f>
        <v>0.41666666666666669</v>
      </c>
      <c r="K335" s="1" t="s">
        <v>2093</v>
      </c>
      <c r="L335" s="1">
        <v>10</v>
      </c>
      <c r="M335" s="400">
        <v>13</v>
      </c>
    </row>
    <row r="336" spans="1:15">
      <c r="A336" s="1" t="s">
        <v>2126</v>
      </c>
      <c r="E336" s="1">
        <v>1</v>
      </c>
      <c r="F336" s="1">
        <v>0.3</v>
      </c>
      <c r="G336" s="1">
        <f>F336</f>
        <v>0.3</v>
      </c>
      <c r="H336" s="27">
        <f>G336</f>
        <v>0.3</v>
      </c>
      <c r="I336" s="1">
        <f>H336</f>
        <v>0.3</v>
      </c>
      <c r="K336" s="312"/>
    </row>
    <row r="337" spans="1:15">
      <c r="A337" s="198" t="s">
        <v>555</v>
      </c>
      <c r="B337" s="198"/>
      <c r="C337" s="198"/>
      <c r="D337" s="198"/>
      <c r="E337" s="198"/>
      <c r="F337" s="198"/>
      <c r="G337" s="207">
        <f>SUM(G330:G336)</f>
        <v>4.1338864838864842</v>
      </c>
      <c r="H337" s="207">
        <f>SUM(H330:H336)</f>
        <v>4.3600143480257119</v>
      </c>
      <c r="I337" s="207">
        <f>SUM(I330:I336)</f>
        <v>5.0774771524771527</v>
      </c>
    </row>
    <row r="338" spans="1:15">
      <c r="A338" s="1" t="s">
        <v>1569</v>
      </c>
      <c r="E338" s="1">
        <v>1</v>
      </c>
      <c r="F338" s="1">
        <v>8</v>
      </c>
      <c r="G338" s="3">
        <f>E338*F338</f>
        <v>8</v>
      </c>
      <c r="H338" s="3">
        <f>E338*F338</f>
        <v>8</v>
      </c>
      <c r="I338" s="3">
        <f>E338*F338</f>
        <v>8</v>
      </c>
    </row>
    <row r="339" spans="1:15">
      <c r="A339" s="7" t="s">
        <v>1571</v>
      </c>
      <c r="B339" s="7"/>
      <c r="C339" s="7"/>
      <c r="D339" s="7"/>
      <c r="E339" s="7"/>
      <c r="F339" s="7"/>
      <c r="G339" s="10">
        <f>SUM(G337:G338)</f>
        <v>12.133886483886485</v>
      </c>
      <c r="H339" s="10">
        <f t="shared" ref="H339" si="11">SUM(H337:H338)</f>
        <v>12.360014348025711</v>
      </c>
      <c r="I339" s="10">
        <f t="shared" ref="I339" si="12">SUM(I337:I338)</f>
        <v>13.077477152477153</v>
      </c>
    </row>
    <row r="340" spans="1:15">
      <c r="A340" s="209" t="s">
        <v>1572</v>
      </c>
      <c r="B340" s="209"/>
      <c r="C340" s="209"/>
      <c r="D340" s="209"/>
      <c r="E340" s="209"/>
      <c r="F340" s="209"/>
      <c r="G340" s="210">
        <f>G339*1.3</f>
        <v>15.774052429052432</v>
      </c>
      <c r="H340" s="210">
        <f t="shared" ref="H340" si="13">H339*1.3</f>
        <v>16.068018652433423</v>
      </c>
      <c r="I340" s="210">
        <f t="shared" ref="I340" si="14">I339*1.3</f>
        <v>17.000720298220298</v>
      </c>
    </row>
    <row r="341" spans="1:15">
      <c r="G341" s="3">
        <f>ROUND(G340,0)</f>
        <v>16</v>
      </c>
      <c r="H341" s="3">
        <f>ROUND(H340,0)</f>
        <v>16</v>
      </c>
      <c r="I341" s="3">
        <f>ROUND(I340,0)</f>
        <v>17</v>
      </c>
    </row>
    <row r="344" spans="1:15">
      <c r="A344" s="7" t="s">
        <v>2128</v>
      </c>
      <c r="B344" s="1" t="s">
        <v>2094</v>
      </c>
      <c r="C344" s="1" t="s">
        <v>2095</v>
      </c>
      <c r="D344" s="1" t="s">
        <v>2093</v>
      </c>
      <c r="E344" s="1"/>
      <c r="G344" s="1" t="s">
        <v>2094</v>
      </c>
      <c r="H344" s="1" t="s">
        <v>2095</v>
      </c>
      <c r="I344" s="1" t="s">
        <v>2093</v>
      </c>
    </row>
    <row r="345" spans="1:15">
      <c r="A345" s="1" t="s">
        <v>1556</v>
      </c>
      <c r="B345" s="1">
        <f>L348*M347+(L352*M351*3)+L356*M355</f>
        <v>108</v>
      </c>
      <c r="C345" s="1">
        <f>L349*M348+L353*M352*3+L357*M356</f>
        <v>160</v>
      </c>
      <c r="D345" s="1">
        <f>L350*M349+L354*M353*3+L358*M357</f>
        <v>222</v>
      </c>
      <c r="E345" s="1">
        <v>1</v>
      </c>
      <c r="F345" s="1">
        <v>10</v>
      </c>
      <c r="G345" s="3">
        <f>(B345*E345)/'Cost of fabrics'!$C$4*F345</f>
        <v>0.71428571428571419</v>
      </c>
      <c r="H345" s="3">
        <f>(C345*E345)/'Cost of fabrics'!$C$4*F345</f>
        <v>1.0582010582010581</v>
      </c>
      <c r="I345" s="3">
        <f>(D345*E345)/'Cost of fabrics'!$C$4*F345</f>
        <v>1.4682539682539684</v>
      </c>
      <c r="M345" s="1" t="s">
        <v>1595</v>
      </c>
      <c r="N345" s="1" t="s">
        <v>2122</v>
      </c>
      <c r="O345" s="405">
        <v>1.5</v>
      </c>
    </row>
    <row r="346" spans="1:15">
      <c r="A346" s="1" t="s">
        <v>1557</v>
      </c>
      <c r="B346" s="1">
        <f>B345</f>
        <v>108</v>
      </c>
      <c r="C346" s="1">
        <f>C345</f>
        <v>160</v>
      </c>
      <c r="D346" s="1">
        <f>D345</f>
        <v>222</v>
      </c>
      <c r="E346" s="1">
        <v>1</v>
      </c>
      <c r="F346" s="1">
        <v>8</v>
      </c>
      <c r="G346" s="3">
        <f>(B346*E346)/'Cost of fabrics'!$C$4*F346</f>
        <v>0.5714285714285714</v>
      </c>
      <c r="H346" s="3">
        <f>(C346*E346)/'Cost of fabrics'!$C$4*F346</f>
        <v>0.84656084656084651</v>
      </c>
      <c r="I346" s="3">
        <f>(D346*E346)/'Cost of fabrics'!$C$4*F346</f>
        <v>1.1746031746031746</v>
      </c>
      <c r="L346" s="1" t="s">
        <v>1594</v>
      </c>
      <c r="N346" s="1" t="s">
        <v>2123</v>
      </c>
      <c r="O346" s="405">
        <v>0.3</v>
      </c>
    </row>
    <row r="347" spans="1:15">
      <c r="A347" s="1" t="s">
        <v>2333</v>
      </c>
      <c r="B347" s="1">
        <f>B345</f>
        <v>108</v>
      </c>
      <c r="C347" s="1">
        <f>C345</f>
        <v>160</v>
      </c>
      <c r="D347" s="1">
        <f>D345</f>
        <v>222</v>
      </c>
      <c r="E347" s="1">
        <v>1</v>
      </c>
      <c r="F347" s="1">
        <v>4</v>
      </c>
      <c r="G347" s="3">
        <f>(B347*E347)/'Cost of fabrics'!$C$20*F347</f>
        <v>0.51428571428571423</v>
      </c>
      <c r="H347" s="3">
        <f>(C347*E347)/'Cost of fabrics'!$C$20*F347</f>
        <v>0.76190476190476186</v>
      </c>
      <c r="I347" s="3">
        <f>(D347*E347)/'Cost of fabrics'!$C$20*F347</f>
        <v>1.0571428571428572</v>
      </c>
      <c r="K347" s="312" t="s">
        <v>2129</v>
      </c>
      <c r="M347" s="1">
        <v>5</v>
      </c>
    </row>
    <row r="348" spans="1:15">
      <c r="A348" s="198" t="s">
        <v>555</v>
      </c>
      <c r="B348" s="198"/>
      <c r="C348" s="198"/>
      <c r="D348" s="198"/>
      <c r="E348" s="198"/>
      <c r="F348" s="198"/>
      <c r="G348" s="207">
        <f>SUM(G345:G347)</f>
        <v>1.7999999999999998</v>
      </c>
      <c r="H348" s="207">
        <f>SUM(H345:H347)</f>
        <v>2.6666666666666665</v>
      </c>
      <c r="I348" s="207">
        <f>SUM(I345:I347)</f>
        <v>3.7</v>
      </c>
      <c r="K348" s="1" t="s">
        <v>2094</v>
      </c>
      <c r="L348" s="1">
        <v>4</v>
      </c>
      <c r="M348" s="1">
        <v>6</v>
      </c>
    </row>
    <row r="349" spans="1:15">
      <c r="A349" s="1" t="s">
        <v>1569</v>
      </c>
      <c r="E349" s="1">
        <v>1</v>
      </c>
      <c r="F349" s="1">
        <v>8</v>
      </c>
      <c r="G349" s="3">
        <f>E349*F349</f>
        <v>8</v>
      </c>
      <c r="H349" s="3">
        <f>E349*F349</f>
        <v>8</v>
      </c>
      <c r="I349" s="3">
        <f>E349*F349</f>
        <v>8</v>
      </c>
      <c r="K349" s="1" t="s">
        <v>2095</v>
      </c>
      <c r="L349" s="1">
        <v>5</v>
      </c>
      <c r="M349" s="400">
        <v>7</v>
      </c>
    </row>
    <row r="350" spans="1:15">
      <c r="A350" s="7" t="s">
        <v>1571</v>
      </c>
      <c r="B350" s="7"/>
      <c r="C350" s="7"/>
      <c r="D350" s="7"/>
      <c r="E350" s="7"/>
      <c r="F350" s="7"/>
      <c r="G350" s="10">
        <f>SUM(G348:G349)</f>
        <v>9.8000000000000007</v>
      </c>
      <c r="H350" s="10">
        <f t="shared" ref="H350" si="15">SUM(H348:H349)</f>
        <v>10.666666666666666</v>
      </c>
      <c r="I350" s="10">
        <f t="shared" ref="I350" si="16">SUM(I348:I349)</f>
        <v>11.7</v>
      </c>
      <c r="K350" s="1" t="s">
        <v>2093</v>
      </c>
      <c r="L350" s="1">
        <v>6</v>
      </c>
      <c r="M350" s="400"/>
    </row>
    <row r="351" spans="1:15">
      <c r="A351" s="209" t="s">
        <v>1572</v>
      </c>
      <c r="B351" s="209"/>
      <c r="C351" s="209"/>
      <c r="D351" s="209"/>
      <c r="E351" s="209"/>
      <c r="F351" s="209"/>
      <c r="G351" s="210">
        <f>G350*1.3</f>
        <v>12.740000000000002</v>
      </c>
      <c r="H351" s="210">
        <f t="shared" ref="H351" si="17">H350*1.3</f>
        <v>13.866666666666667</v>
      </c>
      <c r="I351" s="210">
        <f t="shared" ref="I351" si="18">I350*1.3</f>
        <v>15.209999999999999</v>
      </c>
      <c r="K351" s="312" t="s">
        <v>2130</v>
      </c>
      <c r="M351" s="1">
        <v>6</v>
      </c>
    </row>
    <row r="352" spans="1:15">
      <c r="G352" s="3">
        <f>ROUND(G351,0)</f>
        <v>13</v>
      </c>
      <c r="H352" s="3">
        <f>ROUND(H351,0)</f>
        <v>14</v>
      </c>
      <c r="I352" s="3">
        <f>ROUND(I351,0)</f>
        <v>15</v>
      </c>
      <c r="K352" s="1" t="s">
        <v>2094</v>
      </c>
      <c r="L352" s="1">
        <v>4</v>
      </c>
      <c r="M352" s="1">
        <v>7</v>
      </c>
    </row>
    <row r="353" spans="1:13">
      <c r="K353" s="1" t="s">
        <v>2095</v>
      </c>
      <c r="L353" s="1">
        <v>5</v>
      </c>
      <c r="M353" s="1">
        <v>8</v>
      </c>
    </row>
    <row r="354" spans="1:13">
      <c r="K354" s="1" t="s">
        <v>2093</v>
      </c>
      <c r="L354" s="1">
        <v>6</v>
      </c>
    </row>
    <row r="355" spans="1:13">
      <c r="K355" s="312" t="s">
        <v>2131</v>
      </c>
      <c r="M355" s="1">
        <v>4</v>
      </c>
    </row>
    <row r="356" spans="1:13">
      <c r="K356" s="1" t="s">
        <v>2094</v>
      </c>
      <c r="L356" s="1">
        <v>4</v>
      </c>
      <c r="M356" s="1">
        <v>5</v>
      </c>
    </row>
    <row r="357" spans="1:13">
      <c r="K357" s="1" t="s">
        <v>2095</v>
      </c>
      <c r="L357" s="1">
        <v>5</v>
      </c>
      <c r="M357" s="1">
        <v>6</v>
      </c>
    </row>
    <row r="358" spans="1:13">
      <c r="K358" s="1" t="s">
        <v>2093</v>
      </c>
      <c r="L358" s="1">
        <v>6</v>
      </c>
    </row>
    <row r="362" spans="1:13">
      <c r="A362" s="7" t="s">
        <v>2137</v>
      </c>
      <c r="B362" s="1" t="s">
        <v>2278</v>
      </c>
    </row>
    <row r="363" spans="1:13">
      <c r="A363" s="1" t="s">
        <v>1556</v>
      </c>
      <c r="B363" s="1">
        <f>(H365*I365)+(I366*J366*2)+I369</f>
        <v>132</v>
      </c>
      <c r="C363" s="1">
        <v>1</v>
      </c>
      <c r="D363" s="1">
        <v>13</v>
      </c>
      <c r="E363" s="3">
        <f>(B363*C363)/'Cost of fabrics'!$C$4*D363</f>
        <v>1.1349206349206349</v>
      </c>
    </row>
    <row r="364" spans="1:13">
      <c r="A364" s="1" t="s">
        <v>1557</v>
      </c>
      <c r="B364" s="1">
        <f>B363</f>
        <v>132</v>
      </c>
      <c r="C364" s="1">
        <v>1</v>
      </c>
      <c r="D364" s="1">
        <v>0</v>
      </c>
      <c r="E364" s="3">
        <f>(B364*C364)/'Cost of fabrics'!$C$4*D364</f>
        <v>0</v>
      </c>
      <c r="H364" s="1" t="s">
        <v>1595</v>
      </c>
      <c r="I364" s="1" t="s">
        <v>1594</v>
      </c>
    </row>
    <row r="365" spans="1:13">
      <c r="A365" s="1" t="s">
        <v>1566</v>
      </c>
      <c r="B365" s="1">
        <f>(H365*I365)+I369</f>
        <v>132</v>
      </c>
      <c r="C365" s="1">
        <v>1</v>
      </c>
      <c r="D365" s="1">
        <v>0</v>
      </c>
      <c r="E365" s="3">
        <f>(B365*C365)/'Cost of fabrics'!$C$20*D365</f>
        <v>0</v>
      </c>
      <c r="G365" s="1" t="s">
        <v>2071</v>
      </c>
      <c r="H365" s="1">
        <v>22</v>
      </c>
      <c r="I365" s="1">
        <v>6</v>
      </c>
    </row>
    <row r="366" spans="1:13">
      <c r="A366" s="1" t="s">
        <v>2085</v>
      </c>
      <c r="B366" s="1">
        <f>I367*J367</f>
        <v>0</v>
      </c>
      <c r="C366" s="1">
        <v>1</v>
      </c>
      <c r="D366" s="1">
        <v>0</v>
      </c>
      <c r="E366" s="3">
        <f>(B366*C366)/'Cost of fabrics'!$C$4*D366</f>
        <v>0</v>
      </c>
    </row>
    <row r="367" spans="1:13">
      <c r="A367" s="1" t="s">
        <v>2138</v>
      </c>
      <c r="B367" s="1">
        <f>J370</f>
        <v>0</v>
      </c>
      <c r="C367" s="1">
        <v>1</v>
      </c>
      <c r="E367" s="3">
        <v>1</v>
      </c>
    </row>
    <row r="368" spans="1:13">
      <c r="A368" s="198" t="s">
        <v>555</v>
      </c>
      <c r="B368" s="198"/>
      <c r="C368" s="198"/>
      <c r="D368" s="198"/>
      <c r="E368" s="207">
        <f>SUM(E363:E367)</f>
        <v>2.1349206349206349</v>
      </c>
    </row>
    <row r="369" spans="1:9">
      <c r="A369" s="1" t="s">
        <v>1569</v>
      </c>
      <c r="C369" s="1">
        <v>0.25</v>
      </c>
      <c r="D369" s="1">
        <v>8</v>
      </c>
      <c r="E369" s="3">
        <f>C369*D369</f>
        <v>2</v>
      </c>
    </row>
    <row r="370" spans="1:9">
      <c r="A370" s="7" t="s">
        <v>1571</v>
      </c>
      <c r="B370" s="7"/>
      <c r="C370" s="7"/>
      <c r="D370" s="7"/>
      <c r="E370" s="10">
        <f>SUM(E368:E369)</f>
        <v>4.1349206349206344</v>
      </c>
    </row>
    <row r="371" spans="1:9">
      <c r="A371" s="209" t="s">
        <v>1572</v>
      </c>
      <c r="B371" s="209"/>
      <c r="C371" s="209"/>
      <c r="D371" s="209"/>
      <c r="E371" s="210">
        <f>E370*1.3</f>
        <v>5.375396825396825</v>
      </c>
    </row>
    <row r="374" spans="1:9">
      <c r="A374" s="7" t="s">
        <v>2140</v>
      </c>
      <c r="B374" s="1" t="s">
        <v>2150</v>
      </c>
    </row>
    <row r="375" spans="1:9">
      <c r="A375" s="1" t="s">
        <v>1556</v>
      </c>
      <c r="B375" s="1">
        <f>(H377*I377)+(H379*I379)</f>
        <v>102</v>
      </c>
      <c r="C375" s="1">
        <v>1</v>
      </c>
      <c r="D375" s="1">
        <v>6</v>
      </c>
      <c r="E375" s="3">
        <f>(B375*C375)/'Cost of fabrics'!$C$4*D375</f>
        <v>0.40476190476190477</v>
      </c>
    </row>
    <row r="376" spans="1:9">
      <c r="A376" s="1" t="s">
        <v>1557</v>
      </c>
      <c r="B376" s="1">
        <f>H378*I378</f>
        <v>90</v>
      </c>
      <c r="C376" s="1">
        <v>1</v>
      </c>
      <c r="D376" s="1">
        <v>6</v>
      </c>
      <c r="E376" s="3">
        <f>(B376*C376)/'Cost of fabrics'!$C$4*D376</f>
        <v>0.3571428571428571</v>
      </c>
      <c r="H376" s="1" t="s">
        <v>1595</v>
      </c>
      <c r="I376" s="1" t="s">
        <v>1594</v>
      </c>
    </row>
    <row r="377" spans="1:9">
      <c r="A377" s="1" t="s">
        <v>1566</v>
      </c>
      <c r="B377" s="1">
        <f>H377*I377</f>
        <v>90</v>
      </c>
      <c r="C377" s="1">
        <v>1</v>
      </c>
      <c r="D377" s="1">
        <v>4</v>
      </c>
      <c r="E377" s="3">
        <f>(B377*C377)/'Cost of fabrics'!$C$20*D377</f>
        <v>0.42857142857142855</v>
      </c>
      <c r="G377" s="1" t="s">
        <v>2071</v>
      </c>
      <c r="H377" s="1">
        <v>15</v>
      </c>
      <c r="I377" s="1">
        <v>6</v>
      </c>
    </row>
    <row r="378" spans="1:9">
      <c r="A378" s="1" t="s">
        <v>2061</v>
      </c>
      <c r="B378" s="1">
        <f>H379*I379</f>
        <v>12</v>
      </c>
      <c r="C378" s="1">
        <v>1</v>
      </c>
      <c r="D378" s="1">
        <v>6</v>
      </c>
      <c r="E378" s="3">
        <f>(B378*C378)/'Cost of fabrics'!$C$4*D378</f>
        <v>4.7619047619047616E-2</v>
      </c>
      <c r="G378" s="1" t="s">
        <v>1557</v>
      </c>
      <c r="H378" s="1">
        <v>15</v>
      </c>
      <c r="I378" s="1">
        <v>6</v>
      </c>
    </row>
    <row r="379" spans="1:9">
      <c r="A379" s="198" t="s">
        <v>555</v>
      </c>
      <c r="B379" s="198"/>
      <c r="C379" s="198"/>
      <c r="D379" s="198"/>
      <c r="E379" s="207">
        <f>SUM(E375:E378)</f>
        <v>1.2380952380952381</v>
      </c>
      <c r="G379" s="1" t="s">
        <v>1558</v>
      </c>
      <c r="H379" s="1">
        <v>6</v>
      </c>
      <c r="I379" s="1">
        <v>2</v>
      </c>
    </row>
    <row r="380" spans="1:9">
      <c r="A380" s="1" t="s">
        <v>1569</v>
      </c>
      <c r="C380" s="1">
        <v>0.25</v>
      </c>
      <c r="D380" s="1">
        <v>8</v>
      </c>
      <c r="E380" s="3">
        <f>C380*D380</f>
        <v>2</v>
      </c>
      <c r="G380" s="1" t="s">
        <v>2151</v>
      </c>
    </row>
    <row r="381" spans="1:9">
      <c r="A381" s="7" t="s">
        <v>1571</v>
      </c>
      <c r="B381" s="7"/>
      <c r="C381" s="7"/>
      <c r="D381" s="7"/>
      <c r="E381" s="10">
        <f>SUM(E379:E380)</f>
        <v>3.2380952380952381</v>
      </c>
    </row>
    <row r="382" spans="1:9">
      <c r="A382" s="209" t="s">
        <v>1572</v>
      </c>
      <c r="B382" s="209"/>
      <c r="C382" s="209"/>
      <c r="D382" s="209"/>
      <c r="E382" s="210">
        <f>E381*1.3</f>
        <v>4.2095238095238097</v>
      </c>
    </row>
    <row r="385" spans="1:12">
      <c r="A385" s="7" t="s">
        <v>2233</v>
      </c>
      <c r="B385" s="205" t="s">
        <v>2241</v>
      </c>
      <c r="C385" s="1" t="s">
        <v>2244</v>
      </c>
      <c r="F385" s="1" t="s">
        <v>2265</v>
      </c>
    </row>
    <row r="386" spans="1:12">
      <c r="A386" s="1" t="s">
        <v>1556</v>
      </c>
      <c r="B386" s="1">
        <f>L388+L389+L390</f>
        <v>543</v>
      </c>
      <c r="C386" s="1">
        <v>1</v>
      </c>
      <c r="D386" s="1">
        <v>8</v>
      </c>
      <c r="E386" s="3">
        <f>(B386*C386)/'Cost of fabrics'!$C$4*D386</f>
        <v>2.873015873015873</v>
      </c>
    </row>
    <row r="387" spans="1:12">
      <c r="A387" s="1" t="s">
        <v>1557</v>
      </c>
      <c r="B387" s="1">
        <f>L389+L390+L391</f>
        <v>399</v>
      </c>
      <c r="C387" s="1">
        <v>1</v>
      </c>
      <c r="D387" s="1">
        <v>8</v>
      </c>
      <c r="E387" s="3">
        <f>(B387*C387)/'Cost of fabrics'!$C$4*D387</f>
        <v>2.1111111111111112</v>
      </c>
      <c r="H387" s="1" t="s">
        <v>1595</v>
      </c>
      <c r="I387" s="1" t="s">
        <v>1594</v>
      </c>
    </row>
    <row r="388" spans="1:12">
      <c r="A388" s="1" t="s">
        <v>2347</v>
      </c>
      <c r="B388" s="1">
        <f>H388*I388+H389*I389*K389</f>
        <v>340</v>
      </c>
      <c r="C388" s="1">
        <v>1</v>
      </c>
      <c r="D388" s="1">
        <v>6.5</v>
      </c>
      <c r="E388" s="3">
        <f>(B388*C388)/'Cost of fabrics'!$C$24*D388</f>
        <v>1.0702179176755449</v>
      </c>
      <c r="G388" s="1" t="s">
        <v>2071</v>
      </c>
      <c r="H388" s="1">
        <v>12</v>
      </c>
      <c r="I388" s="1">
        <v>12</v>
      </c>
      <c r="K388" s="1">
        <v>1</v>
      </c>
      <c r="L388" s="1">
        <f>H388*I388*K388</f>
        <v>144</v>
      </c>
    </row>
    <row r="389" spans="1:12">
      <c r="A389" s="1" t="s">
        <v>1616</v>
      </c>
      <c r="B389" s="1">
        <f>H389*3*4</f>
        <v>84</v>
      </c>
      <c r="C389" s="1">
        <v>1</v>
      </c>
      <c r="D389" s="1">
        <v>8</v>
      </c>
      <c r="E389" s="3">
        <f>(B389*C389)/'Cost of fabrics'!$C$4*D389</f>
        <v>0.44444444444444442</v>
      </c>
      <c r="G389" s="1" t="s">
        <v>2242</v>
      </c>
      <c r="H389" s="1">
        <v>7</v>
      </c>
      <c r="I389" s="1">
        <v>7</v>
      </c>
      <c r="K389" s="1">
        <v>4</v>
      </c>
      <c r="L389" s="1">
        <f>H389*I389*K389</f>
        <v>196</v>
      </c>
    </row>
    <row r="390" spans="1:12">
      <c r="A390" s="198" t="s">
        <v>555</v>
      </c>
      <c r="B390" s="198"/>
      <c r="C390" s="198"/>
      <c r="D390" s="198"/>
      <c r="E390" s="207">
        <f>SUM(E386:E389)</f>
        <v>6.4987893462469737</v>
      </c>
      <c r="G390" s="1" t="s">
        <v>2243</v>
      </c>
      <c r="H390" s="400">
        <v>7</v>
      </c>
      <c r="I390" s="1">
        <v>29</v>
      </c>
      <c r="K390" s="1">
        <v>1</v>
      </c>
      <c r="L390" s="1">
        <f>H390*I390*K390</f>
        <v>203</v>
      </c>
    </row>
    <row r="391" spans="1:12">
      <c r="A391" s="1" t="s">
        <v>1569</v>
      </c>
      <c r="C391" s="1">
        <v>0.75</v>
      </c>
      <c r="D391" s="1">
        <v>8</v>
      </c>
      <c r="E391" s="3">
        <f>C391*D391</f>
        <v>6</v>
      </c>
    </row>
    <row r="392" spans="1:12">
      <c r="A392" s="7" t="s">
        <v>1571</v>
      </c>
      <c r="B392" s="7"/>
      <c r="C392" s="7"/>
      <c r="D392" s="7"/>
      <c r="E392" s="10">
        <f>SUM(E390:E391)</f>
        <v>12.498789346246973</v>
      </c>
      <c r="G392" s="1">
        <v>15</v>
      </c>
      <c r="H392" s="1">
        <f>15*7</f>
        <v>105</v>
      </c>
    </row>
    <row r="393" spans="1:12">
      <c r="A393" s="209" t="s">
        <v>1572</v>
      </c>
      <c r="B393" s="209"/>
      <c r="C393" s="209"/>
      <c r="D393" s="209"/>
      <c r="E393" s="210">
        <f>E392*1.3</f>
        <v>16.248426150121066</v>
      </c>
      <c r="H393" s="1">
        <f>100/7</f>
        <v>14.285714285714286</v>
      </c>
    </row>
    <row r="396" spans="1:12">
      <c r="A396" s="7" t="s">
        <v>2233</v>
      </c>
      <c r="B396" s="205" t="s">
        <v>2264</v>
      </c>
    </row>
    <row r="397" spans="1:12">
      <c r="A397" s="1" t="s">
        <v>1556</v>
      </c>
      <c r="B397" s="1">
        <f>(I400*J400)+(I401*J401*2)</f>
        <v>64</v>
      </c>
      <c r="C397" s="1">
        <v>5</v>
      </c>
      <c r="D397" s="1">
        <v>6</v>
      </c>
      <c r="E397" s="3">
        <f>(B397*C397)/'Cost of fabrics'!$C$4*D397</f>
        <v>1.2698412698412698</v>
      </c>
    </row>
    <row r="398" spans="1:12">
      <c r="A398" s="1" t="s">
        <v>1557</v>
      </c>
      <c r="B398" s="1">
        <f>B397</f>
        <v>64</v>
      </c>
      <c r="C398" s="1">
        <v>5</v>
      </c>
      <c r="D398" s="1">
        <v>6</v>
      </c>
      <c r="E398" s="3">
        <f>(B398*C398)/'Cost of fabrics'!$C$4*D398</f>
        <v>1.2698412698412698</v>
      </c>
    </row>
    <row r="399" spans="1:12">
      <c r="A399" s="1" t="s">
        <v>2070</v>
      </c>
      <c r="C399" s="1">
        <v>1</v>
      </c>
      <c r="D399" s="1">
        <v>0</v>
      </c>
      <c r="E399" s="3">
        <f>(B399*C399)/'Cost of fabrics'!$C$6*D399</f>
        <v>0</v>
      </c>
      <c r="I399" s="1" t="s">
        <v>1595</v>
      </c>
      <c r="J399" s="1" t="s">
        <v>1594</v>
      </c>
    </row>
    <row r="400" spans="1:12">
      <c r="A400" s="1" t="s">
        <v>2073</v>
      </c>
      <c r="B400" s="1">
        <f>I400*J400</f>
        <v>64</v>
      </c>
      <c r="C400" s="1">
        <v>5</v>
      </c>
      <c r="D400" s="1">
        <v>15</v>
      </c>
      <c r="E400" s="3">
        <f>(B400*C400)/'Cost of fabrics'!$C$4*D400</f>
        <v>3.1746031746031744</v>
      </c>
      <c r="H400" s="1" t="s">
        <v>2071</v>
      </c>
      <c r="I400" s="1">
        <v>8</v>
      </c>
      <c r="J400" s="1">
        <v>8</v>
      </c>
      <c r="K400" s="1">
        <v>5</v>
      </c>
      <c r="L400" s="1">
        <f>I400*J400*K400</f>
        <v>320</v>
      </c>
    </row>
    <row r="401" spans="1:12">
      <c r="A401" s="1" t="s">
        <v>1616</v>
      </c>
      <c r="C401" s="1">
        <v>1</v>
      </c>
      <c r="E401" s="3">
        <f>(B401*C401)/'Cost of fabrics'!$C$4*D401</f>
        <v>0</v>
      </c>
    </row>
    <row r="402" spans="1:12">
      <c r="A402" s="198" t="s">
        <v>555</v>
      </c>
      <c r="B402" s="198"/>
      <c r="C402" s="198"/>
      <c r="D402" s="198"/>
      <c r="E402" s="207">
        <f>SUM(E397:E401)</f>
        <v>5.7142857142857135</v>
      </c>
      <c r="I402" s="400"/>
    </row>
    <row r="403" spans="1:12">
      <c r="A403" s="1" t="s">
        <v>1569</v>
      </c>
      <c r="C403" s="1">
        <v>0.5</v>
      </c>
      <c r="D403" s="1">
        <v>8</v>
      </c>
      <c r="E403" s="3">
        <f>C403*D403</f>
        <v>4</v>
      </c>
    </row>
    <row r="404" spans="1:12">
      <c r="A404" s="7" t="s">
        <v>1571</v>
      </c>
      <c r="B404" s="7"/>
      <c r="C404" s="7"/>
      <c r="D404" s="7"/>
      <c r="E404" s="10">
        <f>SUM(E402:E403)</f>
        <v>9.7142857142857135</v>
      </c>
    </row>
    <row r="405" spans="1:12">
      <c r="A405" s="209" t="s">
        <v>1572</v>
      </c>
      <c r="B405" s="209"/>
      <c r="C405" s="209"/>
      <c r="D405" s="209"/>
      <c r="E405" s="210">
        <f>E404*1.3</f>
        <v>12.628571428571428</v>
      </c>
    </row>
    <row r="408" spans="1:12">
      <c r="A408" s="7" t="s">
        <v>2248</v>
      </c>
    </row>
    <row r="409" spans="1:12">
      <c r="A409" s="1" t="s">
        <v>1556</v>
      </c>
      <c r="B409" s="60">
        <f>J412*H412+L412</f>
        <v>1473.8571428571427</v>
      </c>
      <c r="C409" s="1">
        <v>1</v>
      </c>
      <c r="D409" s="1">
        <v>8</v>
      </c>
      <c r="E409" s="3">
        <f>(B409*C409)/'Cost of fabrics'!$C$4*D409</f>
        <v>7.7981859410430827</v>
      </c>
    </row>
    <row r="410" spans="1:12">
      <c r="A410" s="1" t="s">
        <v>1557</v>
      </c>
      <c r="B410" s="60">
        <f>B409</f>
        <v>1473.8571428571427</v>
      </c>
      <c r="C410" s="1">
        <v>1</v>
      </c>
      <c r="D410" s="1">
        <v>8</v>
      </c>
      <c r="E410" s="3">
        <f>(B410*C410)/'Cost of fabrics'!$C$4*D410</f>
        <v>7.7981859410430827</v>
      </c>
    </row>
    <row r="411" spans="1:12">
      <c r="A411" s="1" t="s">
        <v>1559</v>
      </c>
      <c r="B411" s="60">
        <f>9*H412</f>
        <v>171</v>
      </c>
      <c r="C411" s="1">
        <v>2</v>
      </c>
      <c r="D411" s="1">
        <v>8</v>
      </c>
      <c r="E411" s="3">
        <f>(B411*C411)/'Cost of fabrics'!$C$4*D411</f>
        <v>1.8095238095238095</v>
      </c>
      <c r="G411" s="1" t="s">
        <v>1595</v>
      </c>
      <c r="H411" s="1" t="s">
        <v>1594</v>
      </c>
      <c r="I411" s="1" t="s">
        <v>1646</v>
      </c>
      <c r="J411" s="1" t="s">
        <v>1643</v>
      </c>
      <c r="L411" s="1" t="s">
        <v>1648</v>
      </c>
    </row>
    <row r="412" spans="1:12">
      <c r="A412" s="1" t="s">
        <v>1566</v>
      </c>
      <c r="B412" s="60">
        <f>B409+B411</f>
        <v>1644.8571428571427</v>
      </c>
      <c r="C412" s="1">
        <v>1</v>
      </c>
      <c r="D412" s="1">
        <v>4</v>
      </c>
      <c r="E412" s="3">
        <f>(B412*C412)/'Cost of fabrics'!$C$20*D412</f>
        <v>7.8326530612244891</v>
      </c>
      <c r="G412" s="1">
        <v>19</v>
      </c>
      <c r="H412" s="1">
        <v>19</v>
      </c>
      <c r="I412" s="1">
        <v>15</v>
      </c>
      <c r="J412" s="1">
        <f>'Mixer sizes'!J57</f>
        <v>47.571428571428569</v>
      </c>
      <c r="L412" s="60">
        <f>'Mixer sizes'!K57</f>
        <v>570</v>
      </c>
    </row>
    <row r="413" spans="1:12">
      <c r="A413" s="1" t="s">
        <v>1616</v>
      </c>
      <c r="B413" s="60">
        <f>(H412*2)+(J412*4)*2.5</f>
        <v>513.71428571428567</v>
      </c>
      <c r="C413" s="1">
        <v>1</v>
      </c>
      <c r="D413" s="1">
        <v>8</v>
      </c>
      <c r="E413" s="3">
        <f>(B413*C413)/'Cost of fabrics'!$C$4*D413</f>
        <v>2.7180650037792891</v>
      </c>
    </row>
    <row r="414" spans="1:12">
      <c r="A414" s="198" t="s">
        <v>555</v>
      </c>
      <c r="B414" s="198"/>
      <c r="C414" s="198"/>
      <c r="D414" s="198"/>
      <c r="E414" s="207">
        <f>SUM(E409:E413)</f>
        <v>27.956613756613748</v>
      </c>
      <c r="F414" s="206" t="s">
        <v>1669</v>
      </c>
    </row>
    <row r="415" spans="1:12">
      <c r="A415" s="1" t="s">
        <v>1569</v>
      </c>
      <c r="C415" s="1">
        <v>2.5</v>
      </c>
      <c r="D415" s="1">
        <v>8</v>
      </c>
      <c r="E415" s="3">
        <f>C415*D415</f>
        <v>20</v>
      </c>
      <c r="F415" s="417">
        <f>E414*3</f>
        <v>83.869841269841245</v>
      </c>
    </row>
    <row r="416" spans="1:12">
      <c r="A416" s="7" t="s">
        <v>1571</v>
      </c>
      <c r="B416" s="7"/>
      <c r="C416" s="7"/>
      <c r="D416" s="7"/>
      <c r="E416" s="10">
        <f>SUM(E414:E415)</f>
        <v>47.956613756613748</v>
      </c>
      <c r="F416" s="206" t="s">
        <v>1669</v>
      </c>
    </row>
    <row r="417" spans="1:15">
      <c r="A417" s="209" t="s">
        <v>1572</v>
      </c>
      <c r="B417" s="209"/>
      <c r="C417" s="209"/>
      <c r="D417" s="209"/>
      <c r="E417" s="210">
        <f>E416*1.3</f>
        <v>62.343597883597873</v>
      </c>
      <c r="F417" s="417">
        <f>E416*3</f>
        <v>143.86984126984123</v>
      </c>
    </row>
    <row r="420" spans="1:15">
      <c r="A420" s="7" t="s">
        <v>2269</v>
      </c>
      <c r="B420" s="205" t="s">
        <v>2288</v>
      </c>
      <c r="N420" s="1" t="s">
        <v>2285</v>
      </c>
    </row>
    <row r="421" spans="1:15">
      <c r="A421" s="1" t="s">
        <v>1556</v>
      </c>
      <c r="B421" s="60">
        <f>H422*I422+J423+H424*I424</f>
        <v>782.5</v>
      </c>
      <c r="C421" s="1">
        <v>1</v>
      </c>
      <c r="D421" s="1">
        <v>8</v>
      </c>
      <c r="E421" s="3">
        <f>(B421*C421)/'Cost of fabrics'!$C$4*D421</f>
        <v>4.14021164021164</v>
      </c>
      <c r="H421" s="1" t="s">
        <v>1595</v>
      </c>
      <c r="I421" s="1" t="s">
        <v>1594</v>
      </c>
      <c r="J421" s="1" t="s">
        <v>1973</v>
      </c>
      <c r="L421" s="1" t="s">
        <v>2279</v>
      </c>
      <c r="M421" s="1" t="s">
        <v>2280</v>
      </c>
      <c r="N421" s="1" t="s">
        <v>2286</v>
      </c>
    </row>
    <row r="422" spans="1:15">
      <c r="A422" s="1" t="s">
        <v>1557</v>
      </c>
      <c r="B422" s="60">
        <f>B421</f>
        <v>782.5</v>
      </c>
      <c r="C422" s="1">
        <v>1</v>
      </c>
      <c r="D422" s="1">
        <v>8</v>
      </c>
      <c r="E422" s="3">
        <f>(B422*C422)/'Cost of fabrics'!$C$4*D422</f>
        <v>4.14021164021164</v>
      </c>
      <c r="G422" s="1" t="s">
        <v>2071</v>
      </c>
      <c r="H422" s="1">
        <v>28</v>
      </c>
      <c r="I422" s="60">
        <v>22</v>
      </c>
      <c r="J422" s="60">
        <f>H422*I422</f>
        <v>616</v>
      </c>
      <c r="K422" s="1" t="s">
        <v>2275</v>
      </c>
      <c r="L422" s="60">
        <f>22/7*2*(L423/2)+3</f>
        <v>21.857142857142858</v>
      </c>
      <c r="M422" s="60">
        <f>22/7*2*(M423/2)+3</f>
        <v>25</v>
      </c>
      <c r="N422" s="62">
        <f>22/7*2*(N423/2)+3</f>
        <v>21.857142857142858</v>
      </c>
    </row>
    <row r="423" spans="1:15">
      <c r="A423" s="1" t="s">
        <v>2308</v>
      </c>
      <c r="E423" s="3">
        <v>0.5</v>
      </c>
      <c r="G423" s="1" t="s">
        <v>2270</v>
      </c>
      <c r="I423" s="1">
        <v>7</v>
      </c>
      <c r="J423" s="60">
        <f>22/7*(I423/2)^2</f>
        <v>38.5</v>
      </c>
      <c r="K423" s="1" t="s">
        <v>2276</v>
      </c>
      <c r="L423" s="1">
        <v>6</v>
      </c>
      <c r="M423" s="1">
        <v>7</v>
      </c>
      <c r="N423" s="27">
        <v>6</v>
      </c>
    </row>
    <row r="424" spans="1:15">
      <c r="A424" s="1" t="s">
        <v>2281</v>
      </c>
      <c r="C424" s="1" t="s">
        <v>2287</v>
      </c>
      <c r="D424" s="1">
        <v>2</v>
      </c>
      <c r="G424" s="1" t="s">
        <v>2284</v>
      </c>
      <c r="H424" s="1">
        <v>32</v>
      </c>
      <c r="I424" s="1">
        <v>4</v>
      </c>
      <c r="J424" s="1">
        <f>H424*I424</f>
        <v>128</v>
      </c>
      <c r="K424" s="1" t="s">
        <v>1609</v>
      </c>
      <c r="L424" s="1">
        <v>28</v>
      </c>
      <c r="M424" s="1">
        <v>28</v>
      </c>
      <c r="N424" s="27">
        <v>26</v>
      </c>
    </row>
    <row r="425" spans="1:15">
      <c r="A425" s="198" t="s">
        <v>555</v>
      </c>
      <c r="B425" s="198"/>
      <c r="C425" s="198"/>
      <c r="D425" s="198"/>
      <c r="E425" s="207">
        <f>SUM(E421:E424)</f>
        <v>8.78042328042328</v>
      </c>
      <c r="J425" s="60">
        <f>SUM(J422:J424)</f>
        <v>782.5</v>
      </c>
      <c r="K425" s="1" t="s">
        <v>1558</v>
      </c>
      <c r="L425" s="1">
        <f>L424+4</f>
        <v>32</v>
      </c>
      <c r="M425" s="1">
        <f>M424+4</f>
        <v>32</v>
      </c>
      <c r="N425" s="27">
        <v>25</v>
      </c>
    </row>
    <row r="426" spans="1:15">
      <c r="A426" s="1" t="s">
        <v>1569</v>
      </c>
      <c r="C426" s="1">
        <v>1</v>
      </c>
      <c r="D426" s="1">
        <v>8</v>
      </c>
      <c r="E426" s="3">
        <f>C426*D426</f>
        <v>8</v>
      </c>
    </row>
    <row r="427" spans="1:15">
      <c r="A427" s="7" t="s">
        <v>1571</v>
      </c>
      <c r="B427" s="7"/>
      <c r="C427" s="7"/>
      <c r="D427" s="7"/>
      <c r="E427" s="10">
        <f>SUM(E425:E426)</f>
        <v>16.780423280423278</v>
      </c>
    </row>
    <row r="428" spans="1:15">
      <c r="A428" s="209" t="s">
        <v>1572</v>
      </c>
      <c r="B428" s="209"/>
      <c r="C428" s="209"/>
      <c r="D428" s="209"/>
      <c r="E428" s="210">
        <f>E427*1.3</f>
        <v>21.814550264550263</v>
      </c>
    </row>
    <row r="429" spans="1:15">
      <c r="A429" s="312"/>
      <c r="B429" s="312"/>
      <c r="C429" s="312"/>
      <c r="D429" s="312"/>
      <c r="E429" s="402"/>
    </row>
    <row r="430" spans="1:15">
      <c r="A430" s="312"/>
      <c r="B430" s="312"/>
      <c r="C430" s="312"/>
      <c r="D430" s="312"/>
      <c r="E430" s="402"/>
    </row>
    <row r="431" spans="1:15">
      <c r="A431" s="7" t="s">
        <v>2269</v>
      </c>
      <c r="B431" s="205" t="s">
        <v>2349</v>
      </c>
      <c r="F431" s="1" t="s">
        <v>1990</v>
      </c>
      <c r="G431" s="1" t="s">
        <v>2354</v>
      </c>
      <c r="N431" s="1" t="s">
        <v>2285</v>
      </c>
    </row>
    <row r="432" spans="1:15">
      <c r="A432" s="1" t="s">
        <v>1556</v>
      </c>
      <c r="B432" s="60">
        <f>J433+J434+J435+J436+J437</f>
        <v>1400.7857142857142</v>
      </c>
      <c r="C432" s="1">
        <v>1</v>
      </c>
      <c r="D432" s="1">
        <v>10</v>
      </c>
      <c r="E432" s="3">
        <f>(B432*C432)/'Cost of fabrics'!$C$4*D432</f>
        <v>9.2644557823129254</v>
      </c>
      <c r="H432" s="1" t="s">
        <v>1595</v>
      </c>
      <c r="I432" s="1" t="s">
        <v>1594</v>
      </c>
      <c r="J432" s="1" t="s">
        <v>1973</v>
      </c>
      <c r="L432" s="1" t="s">
        <v>2279</v>
      </c>
      <c r="M432" s="1" t="s">
        <v>2280</v>
      </c>
      <c r="N432" s="1" t="s">
        <v>2286</v>
      </c>
      <c r="O432" s="1" t="s">
        <v>2356</v>
      </c>
    </row>
    <row r="433" spans="1:16">
      <c r="A433" s="1" t="s">
        <v>1557</v>
      </c>
      <c r="B433" s="60">
        <f>J438</f>
        <v>180</v>
      </c>
      <c r="C433" s="1">
        <v>1</v>
      </c>
      <c r="D433" s="1">
        <v>8</v>
      </c>
      <c r="E433" s="3">
        <f>(B433*C433)/'Cost of fabrics'!$C$4*D433</f>
        <v>0.95238095238095233</v>
      </c>
      <c r="G433" s="1" t="s">
        <v>2071</v>
      </c>
      <c r="H433" s="1">
        <v>29</v>
      </c>
      <c r="I433" s="60">
        <f>O433</f>
        <v>27.142857142857142</v>
      </c>
      <c r="J433" s="60">
        <f>H433*I433</f>
        <v>787.14285714285711</v>
      </c>
      <c r="K433" s="1" t="s">
        <v>2275</v>
      </c>
      <c r="L433" s="60">
        <f>22/7*2*(L434/2)+3</f>
        <v>21.857142857142858</v>
      </c>
      <c r="M433" s="60">
        <f>22/7*2*(M434/2)+3</f>
        <v>25</v>
      </c>
      <c r="N433" s="60">
        <f>22/7*2*(N434/2)+3</f>
        <v>21.857142857142858</v>
      </c>
      <c r="O433" s="62">
        <f>22/7*2*(O434/2)+2</f>
        <v>27.142857142857142</v>
      </c>
      <c r="P433" s="62">
        <f>22/7*2*(P434/2)+2</f>
        <v>42.857142857142854</v>
      </c>
    </row>
    <row r="434" spans="1:16">
      <c r="A434" s="1" t="s">
        <v>2308</v>
      </c>
      <c r="E434" s="3">
        <v>0.5</v>
      </c>
      <c r="G434" s="1" t="s">
        <v>2270</v>
      </c>
      <c r="I434" s="1">
        <v>8</v>
      </c>
      <c r="J434" s="60">
        <f>22/7*(I434/2)^2</f>
        <v>50.285714285714285</v>
      </c>
      <c r="K434" s="1" t="s">
        <v>2276</v>
      </c>
      <c r="L434" s="1">
        <v>6</v>
      </c>
      <c r="M434" s="1">
        <v>7</v>
      </c>
      <c r="N434" s="1">
        <v>6</v>
      </c>
      <c r="O434" s="1">
        <v>8</v>
      </c>
      <c r="P434" s="1">
        <v>13</v>
      </c>
    </row>
    <row r="435" spans="1:16">
      <c r="A435" s="1" t="s">
        <v>2281</v>
      </c>
      <c r="C435" s="1" t="s">
        <v>2287</v>
      </c>
      <c r="D435" s="1">
        <v>2</v>
      </c>
      <c r="F435" s="1" t="s">
        <v>2352</v>
      </c>
      <c r="G435" s="1" t="s">
        <v>2357</v>
      </c>
      <c r="I435" s="1">
        <v>13</v>
      </c>
      <c r="J435" s="60">
        <f>22/7*(I435/2)^2</f>
        <v>132.78571428571428</v>
      </c>
      <c r="K435" s="1" t="s">
        <v>1609</v>
      </c>
      <c r="L435" s="1">
        <v>28</v>
      </c>
      <c r="M435" s="1">
        <v>28</v>
      </c>
      <c r="N435" s="1">
        <v>26</v>
      </c>
      <c r="O435" s="1">
        <v>30</v>
      </c>
    </row>
    <row r="436" spans="1:16">
      <c r="F436" s="1" t="s">
        <v>2353</v>
      </c>
      <c r="G436" s="1" t="s">
        <v>2284</v>
      </c>
      <c r="H436" s="1">
        <v>33</v>
      </c>
      <c r="I436" s="1">
        <v>4</v>
      </c>
      <c r="J436" s="1">
        <f>H436*I436</f>
        <v>132</v>
      </c>
      <c r="K436" s="1" t="s">
        <v>1558</v>
      </c>
      <c r="L436" s="1">
        <f>L435+4</f>
        <v>32</v>
      </c>
      <c r="M436" s="1">
        <f>M435+4</f>
        <v>32</v>
      </c>
      <c r="N436" s="1">
        <v>25</v>
      </c>
      <c r="O436" s="1">
        <v>32</v>
      </c>
    </row>
    <row r="437" spans="1:16">
      <c r="G437" s="1" t="s">
        <v>2355</v>
      </c>
      <c r="H437" s="1">
        <v>11</v>
      </c>
      <c r="I437" s="60">
        <f>I433</f>
        <v>27.142857142857142</v>
      </c>
      <c r="J437" s="60">
        <f>H437*I437</f>
        <v>298.57142857142856</v>
      </c>
      <c r="K437" s="1" t="s">
        <v>2355</v>
      </c>
    </row>
    <row r="438" spans="1:16">
      <c r="G438" s="1" t="s">
        <v>1559</v>
      </c>
      <c r="H438" s="1">
        <v>18</v>
      </c>
      <c r="I438" s="1">
        <v>10</v>
      </c>
      <c r="J438" s="60">
        <f>H438*I438</f>
        <v>180</v>
      </c>
    </row>
    <row r="439" spans="1:16">
      <c r="A439" s="198" t="s">
        <v>555</v>
      </c>
      <c r="B439" s="198"/>
      <c r="C439" s="198"/>
      <c r="D439" s="198"/>
      <c r="E439" s="207">
        <f>SUM(E432:E435)</f>
        <v>10.716836734693878</v>
      </c>
      <c r="G439" s="1" t="s">
        <v>2358</v>
      </c>
      <c r="H439" s="1">
        <v>9</v>
      </c>
    </row>
    <row r="440" spans="1:16">
      <c r="A440" s="1" t="s">
        <v>1569</v>
      </c>
      <c r="C440" s="1">
        <v>1</v>
      </c>
      <c r="D440" s="1">
        <v>8</v>
      </c>
      <c r="E440" s="3">
        <f>C440*D440</f>
        <v>8</v>
      </c>
      <c r="G440" s="1" t="s">
        <v>2359</v>
      </c>
      <c r="H440" s="1">
        <v>27</v>
      </c>
    </row>
    <row r="441" spans="1:16">
      <c r="A441" s="7" t="s">
        <v>1571</v>
      </c>
      <c r="B441" s="7"/>
      <c r="C441" s="7"/>
      <c r="D441" s="7"/>
      <c r="E441" s="10">
        <f>SUM(E439:E440)</f>
        <v>18.716836734693878</v>
      </c>
      <c r="J441" s="60">
        <f>SUM(J433:J440)</f>
        <v>1580.7857142857142</v>
      </c>
    </row>
    <row r="442" spans="1:16">
      <c r="A442" s="209" t="s">
        <v>1572</v>
      </c>
      <c r="B442" s="209"/>
      <c r="C442" s="209"/>
      <c r="D442" s="209"/>
      <c r="E442" s="210">
        <f>E441*1.3</f>
        <v>24.331887755102041</v>
      </c>
    </row>
    <row r="443" spans="1:16">
      <c r="A443" s="312"/>
      <c r="B443" s="312"/>
      <c r="C443" s="312"/>
      <c r="D443" s="312"/>
      <c r="E443" s="402"/>
    </row>
    <row r="444" spans="1:16">
      <c r="A444" s="312"/>
      <c r="B444" s="312"/>
      <c r="C444" s="312"/>
      <c r="D444" s="312"/>
      <c r="E444" s="402"/>
    </row>
    <row r="447" spans="1:16">
      <c r="A447" s="7" t="s">
        <v>2296</v>
      </c>
    </row>
    <row r="448" spans="1:16">
      <c r="A448" s="1" t="s">
        <v>1556</v>
      </c>
      <c r="B448" s="60">
        <f>K451*I451+L451</f>
        <v>1043.2857142857142</v>
      </c>
      <c r="C448" s="1">
        <v>1</v>
      </c>
      <c r="D448" s="1">
        <v>15</v>
      </c>
      <c r="E448" s="3">
        <f>(B448*C448)/'Cost of fabrics'!$C$4*D448</f>
        <v>10.350056689342402</v>
      </c>
    </row>
    <row r="449" spans="1:14">
      <c r="A449" s="1" t="s">
        <v>1557</v>
      </c>
      <c r="B449" s="60">
        <f>B448</f>
        <v>1043.2857142857142</v>
      </c>
      <c r="C449" s="1">
        <v>1</v>
      </c>
      <c r="D449" s="1">
        <v>15</v>
      </c>
      <c r="E449" s="3">
        <f>(B449*C449)/'Cost of fabrics'!$C$4*D449</f>
        <v>10.350056689342402</v>
      </c>
    </row>
    <row r="450" spans="1:14">
      <c r="A450" s="1" t="s">
        <v>1559</v>
      </c>
      <c r="B450" s="60">
        <f>9*I451</f>
        <v>153</v>
      </c>
      <c r="C450" s="1">
        <v>2</v>
      </c>
      <c r="D450" s="1">
        <v>10</v>
      </c>
      <c r="E450" s="3">
        <f>(B450*C450)/'Cost of fabrics'!$C$4*D450</f>
        <v>2.0238095238095237</v>
      </c>
      <c r="H450" s="1" t="s">
        <v>1595</v>
      </c>
      <c r="I450" s="1" t="s">
        <v>1594</v>
      </c>
      <c r="J450" s="1" t="s">
        <v>1646</v>
      </c>
      <c r="K450" s="1" t="s">
        <v>1643</v>
      </c>
      <c r="L450" s="1" t="s">
        <v>1648</v>
      </c>
    </row>
    <row r="451" spans="1:14">
      <c r="A451" s="1" t="s">
        <v>1566</v>
      </c>
      <c r="B451" s="60">
        <f>B448+B450</f>
        <v>1196.2857142857142</v>
      </c>
      <c r="C451" s="1">
        <v>1</v>
      </c>
      <c r="D451" s="1">
        <v>4</v>
      </c>
      <c r="E451" s="3">
        <f>(B451*C451)/'Cost of fabrics'!$C$20*D451</f>
        <v>5.6965986394557824</v>
      </c>
      <c r="H451" s="1">
        <v>15</v>
      </c>
      <c r="I451" s="1">
        <v>17</v>
      </c>
      <c r="J451" s="1">
        <v>13</v>
      </c>
      <c r="K451" s="1">
        <f>'Mixer sizes'!J60</f>
        <v>38.428571428571431</v>
      </c>
      <c r="L451" s="60">
        <f>'Mixer sizes'!K60</f>
        <v>390</v>
      </c>
    </row>
    <row r="452" spans="1:14">
      <c r="A452" s="1" t="s">
        <v>1616</v>
      </c>
      <c r="B452" s="60">
        <f>(I451*2)+(K451*4)*2.5</f>
        <v>418.28571428571433</v>
      </c>
      <c r="C452" s="1">
        <v>1</v>
      </c>
      <c r="D452" s="1">
        <v>15</v>
      </c>
      <c r="E452" s="3">
        <f>(B452*C452)/'Cost of fabrics'!$C$4*D452</f>
        <v>4.1496598639455788</v>
      </c>
    </row>
    <row r="453" spans="1:14">
      <c r="A453" s="198" t="s">
        <v>555</v>
      </c>
      <c r="B453" s="198"/>
      <c r="C453" s="198"/>
      <c r="D453" s="198"/>
      <c r="E453" s="207">
        <f>SUM(E448:E452)</f>
        <v>32.570181405895688</v>
      </c>
      <c r="F453" s="206" t="s">
        <v>1669</v>
      </c>
      <c r="H453" s="1" t="s">
        <v>2317</v>
      </c>
      <c r="I453" s="1">
        <f>(I451+(I451+J451)*2)*2.25</f>
        <v>173.25</v>
      </c>
    </row>
    <row r="454" spans="1:14">
      <c r="A454" s="1" t="s">
        <v>1569</v>
      </c>
      <c r="C454" s="1">
        <v>2</v>
      </c>
      <c r="D454" s="1">
        <v>8</v>
      </c>
      <c r="E454" s="3">
        <f>C454*D454</f>
        <v>16</v>
      </c>
      <c r="F454" s="208">
        <f>E453*3</f>
        <v>97.710544217687072</v>
      </c>
    </row>
    <row r="455" spans="1:14">
      <c r="A455" s="7" t="s">
        <v>1571</v>
      </c>
      <c r="B455" s="7"/>
      <c r="C455" s="7"/>
      <c r="D455" s="7"/>
      <c r="E455" s="10">
        <f>SUM(E453:E454)</f>
        <v>48.570181405895688</v>
      </c>
      <c r="F455" s="206" t="s">
        <v>1669</v>
      </c>
    </row>
    <row r="456" spans="1:14">
      <c r="A456" s="209" t="s">
        <v>1572</v>
      </c>
      <c r="B456" s="209"/>
      <c r="C456" s="209"/>
      <c r="D456" s="209"/>
      <c r="E456" s="210">
        <f>E455*1.3</f>
        <v>63.141235827664396</v>
      </c>
      <c r="F456" s="208">
        <f>E455*3</f>
        <v>145.71054421768707</v>
      </c>
    </row>
    <row r="459" spans="1:14">
      <c r="A459" s="7" t="s">
        <v>2316</v>
      </c>
    </row>
    <row r="460" spans="1:14">
      <c r="A460" s="1" t="s">
        <v>1556</v>
      </c>
      <c r="B460" s="60">
        <f>K463*I463+L463</f>
        <v>1267.7142857142858</v>
      </c>
      <c r="C460" s="1">
        <v>1</v>
      </c>
      <c r="D460" s="1">
        <v>8</v>
      </c>
      <c r="E460" s="3">
        <f>(B460*C460)/'Cost of fabrics'!$C$4*D460</f>
        <v>6.7074829931972797</v>
      </c>
    </row>
    <row r="461" spans="1:14">
      <c r="A461" s="1" t="s">
        <v>1557</v>
      </c>
      <c r="B461" s="60">
        <f>B460</f>
        <v>1267.7142857142858</v>
      </c>
      <c r="C461" s="1">
        <v>1</v>
      </c>
      <c r="D461" s="1">
        <v>4</v>
      </c>
      <c r="E461" s="3">
        <f>(B461*C461)/'Cost of fabrics'!$C$4*D461</f>
        <v>3.3537414965986398</v>
      </c>
    </row>
    <row r="462" spans="1:14">
      <c r="A462" s="1" t="s">
        <v>1559</v>
      </c>
      <c r="B462" s="60">
        <f>9*I463</f>
        <v>162</v>
      </c>
      <c r="C462" s="1">
        <v>2</v>
      </c>
      <c r="D462" s="1">
        <v>8</v>
      </c>
      <c r="E462" s="3">
        <f>(B462*C462)/'Cost of fabrics'!$C$4*D462</f>
        <v>1.7142857142857142</v>
      </c>
      <c r="H462" s="1" t="s">
        <v>1595</v>
      </c>
      <c r="I462" s="1" t="s">
        <v>1594</v>
      </c>
      <c r="J462" s="1" t="s">
        <v>1646</v>
      </c>
      <c r="K462" s="1" t="s">
        <v>1643</v>
      </c>
      <c r="L462" s="1" t="s">
        <v>1648</v>
      </c>
      <c r="N462" s="27" t="s">
        <v>2332</v>
      </c>
    </row>
    <row r="463" spans="1:14">
      <c r="A463" s="1" t="s">
        <v>1566</v>
      </c>
      <c r="B463" s="60">
        <f>B460+B462</f>
        <v>1429.7142857142858</v>
      </c>
      <c r="C463" s="1">
        <v>1</v>
      </c>
      <c r="D463" s="1">
        <v>4</v>
      </c>
      <c r="E463" s="3">
        <f>(B463*C463)/'Cost of fabrics'!$C$20*D463</f>
        <v>6.8081632653061224</v>
      </c>
      <c r="H463" s="1">
        <v>18</v>
      </c>
      <c r="I463" s="1">
        <v>18</v>
      </c>
      <c r="J463" s="1">
        <v>13</v>
      </c>
      <c r="K463" s="1">
        <f>'Mixer sizes'!J64</f>
        <v>44.428571428571431</v>
      </c>
      <c r="L463" s="60">
        <f>'Mixer sizes'!K64</f>
        <v>468</v>
      </c>
    </row>
    <row r="464" spans="1:14">
      <c r="A464" s="1" t="s">
        <v>1616</v>
      </c>
      <c r="B464" s="60">
        <f>(I463+(I463+J463)*2)*2.25</f>
        <v>180</v>
      </c>
      <c r="C464" s="1">
        <v>1</v>
      </c>
      <c r="D464" s="1">
        <v>4</v>
      </c>
      <c r="E464" s="3">
        <f>(B464*C464)/'Cost of fabrics'!$C$20*D464</f>
        <v>0.8571428571428571</v>
      </c>
    </row>
    <row r="465" spans="1:14">
      <c r="A465" s="198" t="s">
        <v>555</v>
      </c>
      <c r="B465" s="198"/>
      <c r="C465" s="198"/>
      <c r="D465" s="198"/>
      <c r="E465" s="207">
        <f>SUM(E460:E464)</f>
        <v>19.440816326530612</v>
      </c>
      <c r="F465" s="206" t="s">
        <v>1669</v>
      </c>
      <c r="H465" s="1" t="s">
        <v>2317</v>
      </c>
      <c r="I465" s="1">
        <f>(I463+(I463+J463)*2)*2.25</f>
        <v>180</v>
      </c>
    </row>
    <row r="466" spans="1:14">
      <c r="A466" s="1" t="s">
        <v>1569</v>
      </c>
      <c r="C466" s="1">
        <v>2</v>
      </c>
      <c r="D466" s="1">
        <v>8</v>
      </c>
      <c r="E466" s="3">
        <f>C466*D466</f>
        <v>16</v>
      </c>
      <c r="F466" s="208">
        <f>E465*3</f>
        <v>58.32244897959184</v>
      </c>
    </row>
    <row r="467" spans="1:14">
      <c r="A467" s="7" t="s">
        <v>1571</v>
      </c>
      <c r="B467" s="7"/>
      <c r="C467" s="7"/>
      <c r="D467" s="7"/>
      <c r="E467" s="10">
        <f>SUM(E465:E466)</f>
        <v>35.440816326530609</v>
      </c>
      <c r="F467" s="206" t="s">
        <v>1669</v>
      </c>
    </row>
    <row r="468" spans="1:14">
      <c r="A468" s="209" t="s">
        <v>1572</v>
      </c>
      <c r="B468" s="209"/>
      <c r="C468" s="209"/>
      <c r="D468" s="209"/>
      <c r="E468" s="210">
        <f>E467*1.3</f>
        <v>46.073061224489791</v>
      </c>
      <c r="F468" s="208">
        <f>E467*3</f>
        <v>106.32244897959183</v>
      </c>
    </row>
    <row r="471" spans="1:14">
      <c r="A471" s="7" t="s">
        <v>2326</v>
      </c>
    </row>
    <row r="472" spans="1:14">
      <c r="A472" s="1" t="s">
        <v>1556</v>
      </c>
      <c r="B472" s="1">
        <f>K474*I474+L474</f>
        <v>840</v>
      </c>
      <c r="C472" s="1">
        <v>1</v>
      </c>
      <c r="D472" s="1">
        <v>8</v>
      </c>
      <c r="E472" s="3">
        <f>(B472*C472)/'Cost of fabrics'!$C$4*D472</f>
        <v>4.4444444444444446</v>
      </c>
    </row>
    <row r="473" spans="1:14">
      <c r="A473" s="1" t="s">
        <v>1557</v>
      </c>
      <c r="B473" s="1">
        <f>B472</f>
        <v>840</v>
      </c>
      <c r="C473" s="1">
        <v>1</v>
      </c>
      <c r="D473" s="1">
        <v>8</v>
      </c>
      <c r="E473" s="3">
        <f>(B473*C473)/'Cost of fabrics'!$C$4*D473</f>
        <v>4.4444444444444446</v>
      </c>
      <c r="H473" s="1" t="s">
        <v>1595</v>
      </c>
      <c r="I473" s="1" t="s">
        <v>1594</v>
      </c>
      <c r="J473" s="1" t="s">
        <v>1646</v>
      </c>
      <c r="K473" s="1" t="s">
        <v>1643</v>
      </c>
      <c r="L473" s="1" t="s">
        <v>1648</v>
      </c>
      <c r="N473" s="27" t="s">
        <v>2332</v>
      </c>
    </row>
    <row r="474" spans="1:14">
      <c r="A474" s="1" t="s">
        <v>1559</v>
      </c>
      <c r="B474" s="1">
        <f>9*I474</f>
        <v>135</v>
      </c>
      <c r="C474" s="1">
        <v>2</v>
      </c>
      <c r="D474" s="1">
        <v>8</v>
      </c>
      <c r="E474" s="3">
        <f>(B474*C474)/'Cost of fabrics'!$C$4*D474</f>
        <v>1.4285714285714286</v>
      </c>
      <c r="F474" s="1" t="s">
        <v>1649</v>
      </c>
      <c r="H474" s="1">
        <v>15</v>
      </c>
      <c r="I474" s="1">
        <v>15</v>
      </c>
      <c r="J474" s="1">
        <v>10</v>
      </c>
      <c r="K474" s="1">
        <f>'Mixer sizes'!$J$7</f>
        <v>36</v>
      </c>
      <c r="L474" s="62">
        <f>'Mixer sizes'!$K$7</f>
        <v>300</v>
      </c>
    </row>
    <row r="475" spans="1:14">
      <c r="A475" s="1" t="s">
        <v>1566</v>
      </c>
      <c r="B475" s="1">
        <f>B472+B474</f>
        <v>975</v>
      </c>
      <c r="C475" s="1">
        <v>1</v>
      </c>
      <c r="D475" s="1">
        <v>4</v>
      </c>
      <c r="E475" s="3">
        <f>(B475*C475)/'Cost of fabrics'!$C$20*D475</f>
        <v>4.6428571428571432</v>
      </c>
      <c r="F475" s="1" t="s">
        <v>2573</v>
      </c>
      <c r="H475" s="1">
        <v>18</v>
      </c>
      <c r="I475" s="1">
        <v>16</v>
      </c>
      <c r="J475" s="1">
        <v>13</v>
      </c>
      <c r="K475" s="1">
        <f>'Mixer sizes'!J21</f>
        <v>45.571428571428569</v>
      </c>
      <c r="L475" s="60">
        <f>'Mixer sizes'!K21</f>
        <v>540</v>
      </c>
    </row>
    <row r="476" spans="1:14">
      <c r="A476" s="1" t="s">
        <v>1616</v>
      </c>
      <c r="B476" s="1">
        <f>I476</f>
        <v>146.25</v>
      </c>
      <c r="C476" s="1">
        <v>1</v>
      </c>
      <c r="D476" s="1">
        <v>8</v>
      </c>
      <c r="E476" s="3">
        <f>(B476*C476)/'Cost of fabrics'!$C$20*D476</f>
        <v>1.3928571428571428</v>
      </c>
      <c r="F476" s="206" t="s">
        <v>1669</v>
      </c>
      <c r="H476" s="1" t="s">
        <v>2317</v>
      </c>
      <c r="I476" s="1">
        <f>(I474+(I474+J474)*2)*2.25</f>
        <v>146.25</v>
      </c>
    </row>
    <row r="477" spans="1:14">
      <c r="A477" s="198" t="s">
        <v>555</v>
      </c>
      <c r="B477" s="198"/>
      <c r="C477" s="198"/>
      <c r="D477" s="198"/>
      <c r="E477" s="207">
        <f>SUM(E472:E476)</f>
        <v>16.353174603174605</v>
      </c>
      <c r="F477" s="208">
        <f>E477*3</f>
        <v>49.05952380952381</v>
      </c>
    </row>
    <row r="478" spans="1:14">
      <c r="A478" s="1" t="s">
        <v>1569</v>
      </c>
      <c r="C478" s="1">
        <v>2</v>
      </c>
      <c r="D478" s="1">
        <v>8</v>
      </c>
      <c r="E478" s="3">
        <f>C478*D478</f>
        <v>16</v>
      </c>
    </row>
    <row r="479" spans="1:14">
      <c r="A479" s="7" t="s">
        <v>1571</v>
      </c>
      <c r="B479" s="7"/>
      <c r="C479" s="7"/>
      <c r="D479" s="7"/>
      <c r="E479" s="10">
        <f>SUM(E477:E478)</f>
        <v>32.353174603174608</v>
      </c>
      <c r="F479" s="1">
        <v>35</v>
      </c>
      <c r="I479" s="1" t="s">
        <v>2590</v>
      </c>
      <c r="J479" s="1">
        <v>393</v>
      </c>
      <c r="K479" s="1">
        <v>2</v>
      </c>
    </row>
    <row r="480" spans="1:14">
      <c r="A480" s="209" t="s">
        <v>1572</v>
      </c>
      <c r="B480" s="209"/>
      <c r="C480" s="209"/>
      <c r="D480" s="209"/>
      <c r="E480" s="210">
        <f>E479*1.3</f>
        <v>42.059126984126991</v>
      </c>
      <c r="J480" s="1">
        <f>I476</f>
        <v>146.25</v>
      </c>
    </row>
    <row r="481" spans="1:11">
      <c r="K481" s="1">
        <f>J480*K479/J479</f>
        <v>0.74427480916030531</v>
      </c>
    </row>
    <row r="483" spans="1:11">
      <c r="A483" s="7" t="s">
        <v>2337</v>
      </c>
      <c r="B483" s="1" t="s">
        <v>2338</v>
      </c>
      <c r="G483" s="1" t="s">
        <v>1595</v>
      </c>
      <c r="H483" s="1" t="s">
        <v>1594</v>
      </c>
    </row>
    <row r="484" spans="1:11">
      <c r="A484" s="1" t="s">
        <v>1556</v>
      </c>
      <c r="B484" s="1">
        <f t="shared" ref="B484:B490" si="19">G484*H484</f>
        <v>112.5</v>
      </c>
      <c r="C484" s="1">
        <v>2</v>
      </c>
      <c r="D484" s="1">
        <v>10</v>
      </c>
      <c r="E484" s="3">
        <f>(B484*C484)/'Cost of fabrics'!$C$4*D484</f>
        <v>1.4880952380952381</v>
      </c>
      <c r="G484" s="1">
        <v>9</v>
      </c>
      <c r="H484" s="1">
        <v>12.5</v>
      </c>
    </row>
    <row r="485" spans="1:11">
      <c r="A485" s="1" t="s">
        <v>2339</v>
      </c>
      <c r="B485" s="1">
        <f t="shared" si="19"/>
        <v>112.5</v>
      </c>
      <c r="C485" s="1">
        <v>2</v>
      </c>
      <c r="D485" s="1">
        <v>10</v>
      </c>
      <c r="E485" s="3">
        <f>(B485*C485)/'Cost of fabrics'!$C$4*D485</f>
        <v>1.4880952380952381</v>
      </c>
      <c r="G485" s="1">
        <v>9</v>
      </c>
      <c r="H485" s="1">
        <v>12.5</v>
      </c>
    </row>
    <row r="486" spans="1:11">
      <c r="A486" s="1" t="s">
        <v>2340</v>
      </c>
      <c r="B486" s="1">
        <f t="shared" si="19"/>
        <v>100</v>
      </c>
      <c r="C486" s="1">
        <v>1</v>
      </c>
      <c r="D486" s="1">
        <v>10</v>
      </c>
      <c r="E486" s="3">
        <f>(B486*C486)/'Cost of fabrics'!$C$4*D486</f>
        <v>0.66137566137566139</v>
      </c>
      <c r="F486" s="1" t="s">
        <v>1649</v>
      </c>
      <c r="G486" s="1">
        <v>8</v>
      </c>
      <c r="H486" s="1">
        <v>12.5</v>
      </c>
    </row>
    <row r="487" spans="1:11">
      <c r="A487" s="1" t="s">
        <v>2347</v>
      </c>
      <c r="B487" s="1">
        <f t="shared" si="19"/>
        <v>218.75</v>
      </c>
      <c r="C487" s="1">
        <v>1</v>
      </c>
      <c r="D487" s="1">
        <v>6.5</v>
      </c>
      <c r="E487" s="3">
        <f>(B487*C487)/'Cost of fabrics'!$C$24*D487</f>
        <v>0.68855932203389825</v>
      </c>
      <c r="G487" s="1">
        <v>17.5</v>
      </c>
      <c r="H487" s="1">
        <v>12.5</v>
      </c>
    </row>
    <row r="488" spans="1:11">
      <c r="A488" s="1" t="s">
        <v>2341</v>
      </c>
      <c r="B488" s="1">
        <f t="shared" si="19"/>
        <v>28.125</v>
      </c>
      <c r="C488" s="1">
        <v>4</v>
      </c>
      <c r="D488" s="1">
        <v>10</v>
      </c>
      <c r="E488" s="3">
        <f>(B488*C488)/'Cost of fabrics'!$C$20*D488</f>
        <v>1.3392857142857142</v>
      </c>
      <c r="F488" s="206" t="s">
        <v>1669</v>
      </c>
      <c r="G488" s="1">
        <v>2.25</v>
      </c>
      <c r="H488" s="1">
        <v>12.5</v>
      </c>
    </row>
    <row r="489" spans="1:11">
      <c r="A489" s="1" t="s">
        <v>2342</v>
      </c>
      <c r="B489" s="1">
        <f t="shared" si="19"/>
        <v>25</v>
      </c>
      <c r="C489" s="1">
        <v>2</v>
      </c>
      <c r="D489" s="1">
        <v>10</v>
      </c>
      <c r="E489" s="3">
        <f>(B489*C489)/'Cost of fabrics'!$C$20*D489</f>
        <v>0.59523809523809523</v>
      </c>
      <c r="F489" s="208">
        <f>E493*3</f>
        <v>22.117520047631274</v>
      </c>
      <c r="G489" s="1">
        <v>2</v>
      </c>
      <c r="H489" s="1">
        <v>12.5</v>
      </c>
    </row>
    <row r="490" spans="1:11">
      <c r="A490" s="1" t="s">
        <v>2343</v>
      </c>
      <c r="B490" s="1">
        <f t="shared" si="19"/>
        <v>25</v>
      </c>
      <c r="C490" s="1">
        <v>2</v>
      </c>
      <c r="D490" s="1">
        <v>10</v>
      </c>
      <c r="E490" s="3">
        <f>(B490*C490)/'Cost of fabrics'!$C$20*D490</f>
        <v>0.59523809523809523</v>
      </c>
      <c r="G490" s="1">
        <v>2</v>
      </c>
      <c r="H490" s="1">
        <v>12.5</v>
      </c>
    </row>
    <row r="491" spans="1:11">
      <c r="A491" s="1" t="s">
        <v>2344</v>
      </c>
      <c r="B491" s="1">
        <f>B490+B489+B488+B485</f>
        <v>190.625</v>
      </c>
      <c r="C491" s="1">
        <v>1</v>
      </c>
      <c r="D491" s="1">
        <v>9</v>
      </c>
      <c r="E491" s="3">
        <f>(B491*C491)/'Cost of fabrics'!$C$23*D491</f>
        <v>0.21661931818181818</v>
      </c>
      <c r="F491" s="1">
        <v>35</v>
      </c>
    </row>
    <row r="492" spans="1:11">
      <c r="A492" s="1" t="s">
        <v>2348</v>
      </c>
      <c r="B492" s="1">
        <v>1.5</v>
      </c>
      <c r="C492" s="1">
        <v>1</v>
      </c>
      <c r="D492" s="1">
        <v>2</v>
      </c>
      <c r="E492" s="3">
        <f>D492/10*B492</f>
        <v>0.30000000000000004</v>
      </c>
    </row>
    <row r="493" spans="1:11">
      <c r="A493" s="198" t="s">
        <v>555</v>
      </c>
      <c r="B493" s="198"/>
      <c r="C493" s="198"/>
      <c r="D493" s="198"/>
      <c r="E493" s="207">
        <f>SUM(E484:E492)</f>
        <v>7.372506682543758</v>
      </c>
    </row>
    <row r="494" spans="1:11">
      <c r="A494" s="1" t="s">
        <v>1569</v>
      </c>
      <c r="C494" s="1">
        <v>1.5</v>
      </c>
      <c r="D494" s="1">
        <v>8</v>
      </c>
      <c r="E494" s="3">
        <f>C494*D494</f>
        <v>12</v>
      </c>
    </row>
    <row r="495" spans="1:11">
      <c r="A495" s="7" t="s">
        <v>1571</v>
      </c>
      <c r="B495" s="7"/>
      <c r="C495" s="7"/>
      <c r="D495" s="7"/>
      <c r="E495" s="10">
        <f>SUM(E493:E494)</f>
        <v>19.372506682543758</v>
      </c>
    </row>
    <row r="496" spans="1:11">
      <c r="A496" s="209" t="s">
        <v>1572</v>
      </c>
      <c r="B496" s="209"/>
      <c r="C496" s="209"/>
      <c r="D496" s="209"/>
      <c r="E496" s="210">
        <f>E495*1.4</f>
        <v>27.121509355561258</v>
      </c>
    </row>
    <row r="499" spans="1:10">
      <c r="A499" s="7" t="s">
        <v>2360</v>
      </c>
      <c r="H499" s="1" t="s">
        <v>1595</v>
      </c>
      <c r="I499" s="1" t="s">
        <v>1594</v>
      </c>
    </row>
    <row r="500" spans="1:10">
      <c r="A500" s="1" t="s">
        <v>1556</v>
      </c>
      <c r="B500" s="1">
        <f>H500*I500</f>
        <v>100</v>
      </c>
      <c r="C500" s="1">
        <v>2</v>
      </c>
      <c r="D500" s="1">
        <v>6</v>
      </c>
      <c r="E500" s="3">
        <f>(B500*C500)/'Cost of fabrics'!$C$4*D500</f>
        <v>0.79365079365079361</v>
      </c>
      <c r="G500" s="1" t="s">
        <v>2361</v>
      </c>
      <c r="H500" s="1">
        <v>10</v>
      </c>
      <c r="I500" s="1">
        <v>10</v>
      </c>
    </row>
    <row r="501" spans="1:10">
      <c r="A501" s="1" t="s">
        <v>2339</v>
      </c>
      <c r="B501" s="1">
        <f>B500+H502*I502</f>
        <v>208</v>
      </c>
      <c r="C501" s="1">
        <v>2</v>
      </c>
      <c r="D501" s="1">
        <v>6</v>
      </c>
      <c r="E501" s="3">
        <f>(B501*C501)/'Cost of fabrics'!$C$4*D501</f>
        <v>1.6507936507936507</v>
      </c>
      <c r="G501" s="1" t="s">
        <v>2061</v>
      </c>
      <c r="H501" s="1">
        <f>11+8</f>
        <v>19</v>
      </c>
      <c r="I501" s="1">
        <v>4</v>
      </c>
    </row>
    <row r="502" spans="1:10">
      <c r="A502" s="1" t="s">
        <v>2061</v>
      </c>
      <c r="B502" s="1">
        <f>H501*I501</f>
        <v>76</v>
      </c>
      <c r="C502" s="1">
        <v>1</v>
      </c>
      <c r="D502" s="1">
        <v>6</v>
      </c>
      <c r="E502" s="3">
        <f>(B502*C502)/'Cost of fabrics'!$C$4*D502</f>
        <v>0.30158730158730157</v>
      </c>
      <c r="G502" s="1" t="s">
        <v>2362</v>
      </c>
      <c r="H502" s="1">
        <v>9</v>
      </c>
      <c r="I502" s="1">
        <v>12</v>
      </c>
    </row>
    <row r="503" spans="1:10">
      <c r="A503" s="1" t="s">
        <v>2097</v>
      </c>
      <c r="B503" s="1">
        <f>B500</f>
        <v>100</v>
      </c>
      <c r="C503" s="1">
        <v>1</v>
      </c>
      <c r="D503" s="1">
        <v>4</v>
      </c>
      <c r="E503" s="3">
        <f>(B503*C503)/'Cost of fabrics'!$C$20*D503</f>
        <v>0.47619047619047616</v>
      </c>
    </row>
    <row r="504" spans="1:10">
      <c r="A504" s="198" t="s">
        <v>555</v>
      </c>
      <c r="B504" s="198"/>
      <c r="C504" s="198"/>
      <c r="D504" s="198"/>
      <c r="E504" s="207">
        <f>SUM(E500:E503)</f>
        <v>3.2222222222222219</v>
      </c>
    </row>
    <row r="505" spans="1:10">
      <c r="A505" s="1" t="s">
        <v>1569</v>
      </c>
      <c r="C505" s="1">
        <v>0.5</v>
      </c>
      <c r="D505" s="1">
        <v>8</v>
      </c>
      <c r="E505" s="3">
        <f>C505*D505</f>
        <v>4</v>
      </c>
    </row>
    <row r="506" spans="1:10">
      <c r="A506" s="7" t="s">
        <v>1571</v>
      </c>
      <c r="B506" s="7"/>
      <c r="C506" s="7"/>
      <c r="D506" s="7"/>
      <c r="E506" s="10">
        <f>SUM(E504:E505)</f>
        <v>7.2222222222222214</v>
      </c>
    </row>
    <row r="507" spans="1:10">
      <c r="A507" s="209" t="s">
        <v>1572</v>
      </c>
      <c r="B507" s="209"/>
      <c r="C507" s="209"/>
      <c r="D507" s="209"/>
      <c r="E507" s="210">
        <f>E506*1.4</f>
        <v>10.111111111111109</v>
      </c>
    </row>
    <row r="510" spans="1:10">
      <c r="A510" s="7" t="s">
        <v>2367</v>
      </c>
      <c r="H510" s="1" t="s">
        <v>1595</v>
      </c>
      <c r="I510" s="1" t="s">
        <v>1594</v>
      </c>
    </row>
    <row r="511" spans="1:10">
      <c r="A511" s="1" t="s">
        <v>1556</v>
      </c>
      <c r="B511" s="1">
        <f>H511*I511</f>
        <v>156.25</v>
      </c>
      <c r="C511" s="1">
        <v>2</v>
      </c>
      <c r="D511" s="1">
        <v>6</v>
      </c>
      <c r="E511" s="3">
        <f>(B511*C511)/'Cost of fabrics'!$C$4*D511</f>
        <v>1.2400793650793651</v>
      </c>
      <c r="G511" s="1" t="s">
        <v>2361</v>
      </c>
      <c r="H511" s="1">
        <v>12.5</v>
      </c>
      <c r="I511" s="1">
        <v>12.5</v>
      </c>
    </row>
    <row r="512" spans="1:10">
      <c r="A512" s="1" t="s">
        <v>2339</v>
      </c>
      <c r="B512" s="1">
        <f>B511+H513*I513</f>
        <v>156.25</v>
      </c>
      <c r="C512" s="1">
        <v>2</v>
      </c>
      <c r="E512" s="3">
        <f>(B512*C512)/'Cost of fabrics'!$C$4*D512</f>
        <v>0</v>
      </c>
      <c r="G512" s="1" t="s">
        <v>2061</v>
      </c>
      <c r="H512" s="1">
        <v>44</v>
      </c>
      <c r="I512" s="1">
        <v>1</v>
      </c>
      <c r="J512" s="1" t="s">
        <v>2365</v>
      </c>
    </row>
    <row r="513" spans="1:14">
      <c r="A513" s="1" t="s">
        <v>2363</v>
      </c>
      <c r="B513" s="1">
        <f>H512*I512</f>
        <v>44</v>
      </c>
      <c r="C513" s="1">
        <v>1</v>
      </c>
      <c r="D513" s="1">
        <v>1</v>
      </c>
      <c r="E513" s="3">
        <f>D513</f>
        <v>1</v>
      </c>
      <c r="G513" s="1" t="s">
        <v>2366</v>
      </c>
      <c r="H513" s="1">
        <f>14*4</f>
        <v>56</v>
      </c>
    </row>
    <row r="514" spans="1:14">
      <c r="A514" s="1" t="s">
        <v>2364</v>
      </c>
      <c r="B514" s="1">
        <f>H513</f>
        <v>56</v>
      </c>
      <c r="C514" s="1">
        <v>1.5</v>
      </c>
      <c r="D514" s="1">
        <v>2</v>
      </c>
      <c r="E514" s="3">
        <f>D514*C514</f>
        <v>3</v>
      </c>
    </row>
    <row r="515" spans="1:14">
      <c r="A515" s="198" t="s">
        <v>555</v>
      </c>
      <c r="B515" s="198"/>
      <c r="C515" s="198"/>
      <c r="D515" s="198"/>
      <c r="E515" s="207">
        <f>SUM(E511:E514)</f>
        <v>5.2400793650793656</v>
      </c>
    </row>
    <row r="516" spans="1:14">
      <c r="A516" s="1" t="s">
        <v>1569</v>
      </c>
      <c r="C516" s="1">
        <v>0.5</v>
      </c>
      <c r="D516" s="1">
        <v>8</v>
      </c>
      <c r="E516" s="3">
        <f>C516*D516</f>
        <v>4</v>
      </c>
    </row>
    <row r="517" spans="1:14">
      <c r="A517" s="7" t="s">
        <v>1571</v>
      </c>
      <c r="B517" s="7"/>
      <c r="C517" s="7"/>
      <c r="D517" s="7"/>
      <c r="E517" s="10">
        <f>SUM(E515:E516)</f>
        <v>9.2400793650793656</v>
      </c>
    </row>
    <row r="518" spans="1:14">
      <c r="A518" s="209" t="s">
        <v>1572</v>
      </c>
      <c r="B518" s="209"/>
      <c r="C518" s="209"/>
      <c r="D518" s="209"/>
      <c r="E518" s="210">
        <f>E517*1.4</f>
        <v>12.936111111111112</v>
      </c>
    </row>
    <row r="521" spans="1:14">
      <c r="A521" s="7" t="s">
        <v>2368</v>
      </c>
      <c r="B521" s="205" t="s">
        <v>2349</v>
      </c>
      <c r="F521" s="1" t="s">
        <v>1990</v>
      </c>
      <c r="G521" s="1" t="s">
        <v>2354</v>
      </c>
      <c r="N521" s="1" t="s">
        <v>2285</v>
      </c>
    </row>
    <row r="522" spans="1:14">
      <c r="A522" s="1" t="s">
        <v>1556</v>
      </c>
      <c r="B522" s="60">
        <f>SUM(J523:J527)+J531</f>
        <v>1835</v>
      </c>
      <c r="C522" s="1">
        <v>1</v>
      </c>
      <c r="D522" s="1">
        <v>10</v>
      </c>
      <c r="E522" s="3">
        <f>(B522*C522)/'Cost of fabrics'!$C$4*D522</f>
        <v>12.136243386243386</v>
      </c>
      <c r="H522" s="1" t="s">
        <v>1595</v>
      </c>
      <c r="I522" s="1" t="s">
        <v>1594</v>
      </c>
      <c r="J522" s="1" t="s">
        <v>1973</v>
      </c>
      <c r="L522" s="1" t="s">
        <v>2356</v>
      </c>
    </row>
    <row r="523" spans="1:14">
      <c r="A523" s="1" t="s">
        <v>1557</v>
      </c>
      <c r="B523" s="60">
        <f>J528</f>
        <v>180</v>
      </c>
      <c r="C523" s="1">
        <v>1</v>
      </c>
      <c r="D523" s="1">
        <v>6</v>
      </c>
      <c r="E523" s="3">
        <f>(B523*C523)/'Cost of fabrics'!$C$4*D523</f>
        <v>0.71428571428571419</v>
      </c>
      <c r="G523" s="1" t="s">
        <v>2071</v>
      </c>
      <c r="H523" s="1">
        <v>29</v>
      </c>
      <c r="I523" s="60">
        <f>L523</f>
        <v>36.571428571428569</v>
      </c>
      <c r="J523" s="60">
        <f>H523*I523</f>
        <v>1060.5714285714284</v>
      </c>
      <c r="K523" s="1" t="s">
        <v>2275</v>
      </c>
      <c r="L523" s="62">
        <f>22/7*2*(L524/2)+2</f>
        <v>36.571428571428569</v>
      </c>
    </row>
    <row r="524" spans="1:14">
      <c r="A524" s="1" t="s">
        <v>2308</v>
      </c>
      <c r="E524" s="3">
        <v>0.5</v>
      </c>
      <c r="G524" s="1" t="s">
        <v>2270</v>
      </c>
      <c r="I524" s="1">
        <f>L524</f>
        <v>11</v>
      </c>
      <c r="J524" s="60">
        <f>22/7*(I524/2)^2</f>
        <v>95.071428571428569</v>
      </c>
      <c r="K524" s="1" t="s">
        <v>2276</v>
      </c>
      <c r="L524" s="1">
        <v>11</v>
      </c>
    </row>
    <row r="525" spans="1:14">
      <c r="A525" s="1" t="s">
        <v>2371</v>
      </c>
      <c r="C525" s="1" t="s">
        <v>2370</v>
      </c>
      <c r="D525" s="1">
        <v>3</v>
      </c>
      <c r="E525" s="3">
        <v>3</v>
      </c>
      <c r="F525" s="1" t="s">
        <v>2352</v>
      </c>
      <c r="G525" s="1" t="s">
        <v>2357</v>
      </c>
      <c r="I525" s="1">
        <v>11</v>
      </c>
      <c r="J525" s="60">
        <f>22/7*(I525/2)^2</f>
        <v>95.071428571428569</v>
      </c>
      <c r="K525" s="1" t="s">
        <v>1609</v>
      </c>
      <c r="L525" s="1">
        <v>30</v>
      </c>
    </row>
    <row r="526" spans="1:14">
      <c r="F526" s="1" t="s">
        <v>2353</v>
      </c>
      <c r="G526" s="1" t="s">
        <v>2284</v>
      </c>
      <c r="H526" s="1">
        <f>33+11</f>
        <v>44</v>
      </c>
      <c r="I526" s="1">
        <v>4</v>
      </c>
      <c r="J526" s="1">
        <f>H526*I526</f>
        <v>176</v>
      </c>
      <c r="K526" s="1" t="s">
        <v>1558</v>
      </c>
      <c r="L526" s="1">
        <v>32</v>
      </c>
    </row>
    <row r="527" spans="1:14">
      <c r="G527" s="1" t="s">
        <v>2355</v>
      </c>
      <c r="H527" s="1">
        <v>11</v>
      </c>
      <c r="I527" s="60">
        <f>I523</f>
        <v>36.571428571428569</v>
      </c>
      <c r="J527" s="60">
        <f>H527*I527</f>
        <v>402.28571428571428</v>
      </c>
      <c r="K527" s="1" t="s">
        <v>2355</v>
      </c>
    </row>
    <row r="528" spans="1:14">
      <c r="G528" s="1" t="s">
        <v>1559</v>
      </c>
      <c r="H528" s="1">
        <v>18</v>
      </c>
      <c r="I528" s="1">
        <v>10</v>
      </c>
      <c r="J528" s="60">
        <f>H528*I528</f>
        <v>180</v>
      </c>
    </row>
    <row r="529" spans="1:14">
      <c r="A529" s="198" t="s">
        <v>555</v>
      </c>
      <c r="B529" s="198"/>
      <c r="C529" s="198"/>
      <c r="D529" s="198"/>
      <c r="E529" s="207">
        <f>SUM(E522:E525)</f>
        <v>16.350529100529101</v>
      </c>
      <c r="G529" s="1" t="s">
        <v>2358</v>
      </c>
      <c r="H529" s="1">
        <v>9</v>
      </c>
    </row>
    <row r="530" spans="1:14">
      <c r="A530" s="1" t="s">
        <v>1569</v>
      </c>
      <c r="C530" s="1">
        <v>1.5</v>
      </c>
      <c r="D530" s="1">
        <v>8</v>
      </c>
      <c r="E530" s="3">
        <f>C530*D530</f>
        <v>12</v>
      </c>
      <c r="G530" s="1" t="s">
        <v>2359</v>
      </c>
      <c r="H530" s="1">
        <v>28</v>
      </c>
    </row>
    <row r="531" spans="1:14">
      <c r="A531" s="7" t="s">
        <v>1571</v>
      </c>
      <c r="B531" s="7"/>
      <c r="C531" s="7"/>
      <c r="D531" s="7"/>
      <c r="E531" s="10">
        <f>SUM(E529:E530)</f>
        <v>28.350529100529101</v>
      </c>
      <c r="G531" s="1" t="s">
        <v>2369</v>
      </c>
      <c r="H531" s="1">
        <v>3</v>
      </c>
      <c r="I531" s="1">
        <v>2</v>
      </c>
      <c r="J531" s="60">
        <f>H531*I531</f>
        <v>6</v>
      </c>
    </row>
    <row r="532" spans="1:14">
      <c r="A532" s="209" t="s">
        <v>1572</v>
      </c>
      <c r="B532" s="209"/>
      <c r="C532" s="209"/>
      <c r="D532" s="209"/>
      <c r="E532" s="210">
        <f>E531*1.3</f>
        <v>36.855687830687835</v>
      </c>
      <c r="J532" s="60">
        <f>SUM(J523:J531)</f>
        <v>2015</v>
      </c>
    </row>
    <row r="537" spans="1:14">
      <c r="A537" s="7" t="s">
        <v>2375</v>
      </c>
      <c r="B537" s="205"/>
      <c r="C537" s="1" t="s">
        <v>2372</v>
      </c>
      <c r="N537" s="1" t="s">
        <v>2285</v>
      </c>
    </row>
    <row r="538" spans="1:14">
      <c r="A538" s="1" t="s">
        <v>1556</v>
      </c>
      <c r="B538" s="60">
        <f>SUM(J539:J541)+J545+J546</f>
        <v>1329.1428571428571</v>
      </c>
      <c r="C538" s="1">
        <v>1</v>
      </c>
      <c r="D538" s="1">
        <v>10</v>
      </c>
      <c r="E538" s="3">
        <f>(B538*C538)/'Cost of fabrics'!$C$4*D538</f>
        <v>8.7906273620559325</v>
      </c>
      <c r="H538" s="1" t="s">
        <v>1595</v>
      </c>
      <c r="I538" s="1" t="s">
        <v>1594</v>
      </c>
      <c r="J538" s="1" t="s">
        <v>1973</v>
      </c>
      <c r="L538" s="1" t="s">
        <v>2376</v>
      </c>
    </row>
    <row r="539" spans="1:14">
      <c r="A539" s="1" t="s">
        <v>1557</v>
      </c>
      <c r="B539" s="60">
        <f>J539+J540+J542</f>
        <v>1245.1428571428571</v>
      </c>
      <c r="C539" s="1">
        <v>1</v>
      </c>
      <c r="D539" s="1">
        <v>6</v>
      </c>
      <c r="E539" s="3">
        <f>(B539*C539)/'Cost of fabrics'!$C$4*D539</f>
        <v>4.9410430839002268</v>
      </c>
      <c r="G539" s="1" t="s">
        <v>2071</v>
      </c>
      <c r="H539" s="1">
        <f>L541</f>
        <v>28</v>
      </c>
      <c r="I539" s="60">
        <f>L539</f>
        <v>32.428571428571431</v>
      </c>
      <c r="J539" s="60">
        <f>H539*I539</f>
        <v>908</v>
      </c>
      <c r="K539" s="1" t="s">
        <v>2275</v>
      </c>
      <c r="L539" s="72">
        <f>22/7*2*(L540/2)+1</f>
        <v>32.428571428571431</v>
      </c>
    </row>
    <row r="540" spans="1:14">
      <c r="A540" s="1" t="s">
        <v>2371</v>
      </c>
      <c r="C540" s="1" t="s">
        <v>2370</v>
      </c>
      <c r="D540" s="1">
        <v>3</v>
      </c>
      <c r="E540" s="3">
        <v>3</v>
      </c>
      <c r="G540" s="1" t="s">
        <v>2377</v>
      </c>
      <c r="I540" s="1">
        <f>L540</f>
        <v>10</v>
      </c>
      <c r="J540" s="60">
        <f>(22/7*(I540/2)^2)*2</f>
        <v>157.14285714285714</v>
      </c>
      <c r="K540" s="1" t="s">
        <v>2276</v>
      </c>
      <c r="L540" s="1">
        <v>10</v>
      </c>
    </row>
    <row r="541" spans="1:14">
      <c r="G541" s="1" t="s">
        <v>2284</v>
      </c>
      <c r="H541" s="1">
        <f>L542</f>
        <v>32</v>
      </c>
      <c r="I541" s="1">
        <v>6</v>
      </c>
      <c r="J541" s="1">
        <f>H541*I541</f>
        <v>192</v>
      </c>
      <c r="K541" s="1" t="s">
        <v>1609</v>
      </c>
      <c r="L541" s="1">
        <v>28</v>
      </c>
    </row>
    <row r="542" spans="1:14">
      <c r="G542" s="1" t="s">
        <v>1559</v>
      </c>
      <c r="H542" s="1">
        <v>18</v>
      </c>
      <c r="I542" s="1">
        <v>10</v>
      </c>
      <c r="J542" s="60">
        <f>H542*I542</f>
        <v>180</v>
      </c>
      <c r="K542" s="1" t="s">
        <v>1558</v>
      </c>
      <c r="L542" s="1">
        <v>32</v>
      </c>
    </row>
    <row r="543" spans="1:14">
      <c r="G543" s="1" t="s">
        <v>2358</v>
      </c>
      <c r="H543" s="1">
        <v>9</v>
      </c>
    </row>
    <row r="544" spans="1:14">
      <c r="G544" s="1" t="s">
        <v>2359</v>
      </c>
      <c r="H544" s="1">
        <v>27</v>
      </c>
    </row>
    <row r="545" spans="1:12">
      <c r="A545" s="198" t="s">
        <v>555</v>
      </c>
      <c r="B545" s="198"/>
      <c r="C545" s="198"/>
      <c r="D545" s="198"/>
      <c r="E545" s="207">
        <f>SUM(E538:E540)</f>
        <v>16.731670445956158</v>
      </c>
      <c r="G545" s="1" t="s">
        <v>2369</v>
      </c>
      <c r="H545" s="1">
        <v>3</v>
      </c>
      <c r="I545" s="1">
        <v>2</v>
      </c>
      <c r="J545" s="60">
        <f>H545*I545</f>
        <v>6</v>
      </c>
    </row>
    <row r="546" spans="1:12">
      <c r="A546" s="1" t="s">
        <v>1569</v>
      </c>
      <c r="C546" s="1">
        <v>1.5</v>
      </c>
      <c r="D546" s="1">
        <v>8</v>
      </c>
      <c r="E546" s="3">
        <f>C546*D546</f>
        <v>12</v>
      </c>
      <c r="G546" s="1" t="s">
        <v>2378</v>
      </c>
      <c r="H546" s="1">
        <v>11</v>
      </c>
      <c r="I546" s="1">
        <v>6</v>
      </c>
      <c r="J546" s="60">
        <f>H546*I546</f>
        <v>66</v>
      </c>
    </row>
    <row r="547" spans="1:12">
      <c r="A547" s="7" t="s">
        <v>1571</v>
      </c>
      <c r="B547" s="7"/>
      <c r="C547" s="7"/>
      <c r="D547" s="7"/>
      <c r="E547" s="10">
        <f>SUM(E545:E546)</f>
        <v>28.731670445956158</v>
      </c>
    </row>
    <row r="548" spans="1:12">
      <c r="A548" s="209" t="s">
        <v>1572</v>
      </c>
      <c r="B548" s="209"/>
      <c r="C548" s="209"/>
      <c r="D548" s="209"/>
      <c r="E548" s="210">
        <f>E547*1.3</f>
        <v>37.35117157974301</v>
      </c>
    </row>
    <row r="552" spans="1:12">
      <c r="A552" s="7" t="s">
        <v>2389</v>
      </c>
    </row>
    <row r="553" spans="1:12">
      <c r="A553" s="1" t="s">
        <v>1556</v>
      </c>
      <c r="B553" s="1">
        <f>J555*H555+L555</f>
        <v>924.14285714285711</v>
      </c>
      <c r="C553" s="1">
        <v>1</v>
      </c>
      <c r="D553" s="1">
        <v>8</v>
      </c>
      <c r="E553" s="3">
        <f>(B553*C553)/'Cost of fabrics'!$C$4*D553</f>
        <v>4.8896447467876039</v>
      </c>
    </row>
    <row r="554" spans="1:12">
      <c r="A554" s="1" t="s">
        <v>1557</v>
      </c>
      <c r="B554" s="1">
        <f>B553</f>
        <v>924.14285714285711</v>
      </c>
      <c r="C554" s="1">
        <v>1</v>
      </c>
      <c r="D554" s="1">
        <v>8</v>
      </c>
      <c r="E554" s="3">
        <f>(B554*C554)/'Cost of fabrics'!$C$4*D554</f>
        <v>4.8896447467876039</v>
      </c>
      <c r="G554" s="1" t="s">
        <v>1595</v>
      </c>
      <c r="H554" s="1" t="s">
        <v>1594</v>
      </c>
      <c r="I554" s="1" t="s">
        <v>1646</v>
      </c>
      <c r="J554" s="1" t="s">
        <v>1643</v>
      </c>
      <c r="L554" s="1" t="s">
        <v>1648</v>
      </c>
    </row>
    <row r="555" spans="1:12">
      <c r="A555" s="1" t="s">
        <v>1559</v>
      </c>
      <c r="B555" s="1">
        <f>9*H555</f>
        <v>153</v>
      </c>
      <c r="C555" s="1">
        <v>2</v>
      </c>
      <c r="D555" s="1">
        <v>8</v>
      </c>
      <c r="E555" s="3">
        <f>(B555*C555)/'Cost of fabrics'!$C$4*D555</f>
        <v>1.6190476190476191</v>
      </c>
      <c r="G555" s="1">
        <v>15</v>
      </c>
      <c r="H555" s="1">
        <v>17</v>
      </c>
      <c r="I555" s="1">
        <v>10</v>
      </c>
      <c r="J555" s="1">
        <f>'Mixer sizes'!J68</f>
        <v>36.714285714285715</v>
      </c>
      <c r="L555" s="62">
        <f>'Mixer sizes'!K68</f>
        <v>300</v>
      </c>
    </row>
    <row r="556" spans="1:12">
      <c r="A556" s="1" t="s">
        <v>1566</v>
      </c>
      <c r="B556" s="1">
        <f>B553+B555</f>
        <v>1077.1428571428571</v>
      </c>
      <c r="C556" s="1">
        <v>1</v>
      </c>
      <c r="D556" s="1">
        <v>4</v>
      </c>
      <c r="E556" s="3">
        <f>(B556*C556)/'Cost of fabrics'!$C$20*D556</f>
        <v>5.129251700680272</v>
      </c>
    </row>
    <row r="557" spans="1:12">
      <c r="A557" s="1" t="s">
        <v>1616</v>
      </c>
      <c r="B557" s="1">
        <f>H557</f>
        <v>159.75</v>
      </c>
      <c r="C557" s="1">
        <v>1</v>
      </c>
      <c r="D557" s="1">
        <v>8</v>
      </c>
      <c r="E557" s="3">
        <f>(B557*C557)/'Cost of fabrics'!$C$20*D557</f>
        <v>1.5214285714285714</v>
      </c>
      <c r="F557" s="206" t="s">
        <v>1669</v>
      </c>
      <c r="G557" s="1" t="s">
        <v>2317</v>
      </c>
      <c r="H557" s="1">
        <f>(H555+(H555+I555)*2)*2.25</f>
        <v>159.75</v>
      </c>
    </row>
    <row r="558" spans="1:12">
      <c r="A558" s="198" t="s">
        <v>555</v>
      </c>
      <c r="B558" s="198"/>
      <c r="C558" s="198"/>
      <c r="D558" s="198"/>
      <c r="E558" s="207">
        <f>SUM(E553:E557)</f>
        <v>18.04901738473167</v>
      </c>
      <c r="F558" s="208">
        <f>E558*3</f>
        <v>54.147052154195009</v>
      </c>
    </row>
    <row r="559" spans="1:12">
      <c r="A559" s="1" t="s">
        <v>1569</v>
      </c>
      <c r="C559" s="1">
        <v>2</v>
      </c>
      <c r="D559" s="1">
        <v>8</v>
      </c>
      <c r="E559" s="3">
        <f>C559*D559</f>
        <v>16</v>
      </c>
    </row>
    <row r="560" spans="1:12">
      <c r="A560" s="7" t="s">
        <v>1571</v>
      </c>
      <c r="B560" s="7"/>
      <c r="C560" s="7"/>
      <c r="D560" s="7"/>
      <c r="E560" s="10">
        <f>SUM(E558:E559)</f>
        <v>34.04901738473167</v>
      </c>
    </row>
    <row r="561" spans="1:12">
      <c r="A561" s="209" t="s">
        <v>1572</v>
      </c>
      <c r="B561" s="209"/>
      <c r="C561" s="209"/>
      <c r="D561" s="209"/>
      <c r="E561" s="210">
        <f>E560*1.3</f>
        <v>44.263722600151169</v>
      </c>
    </row>
    <row r="564" spans="1:12">
      <c r="A564" s="7" t="s">
        <v>2390</v>
      </c>
    </row>
    <row r="565" spans="1:12">
      <c r="A565" s="1" t="s">
        <v>1556</v>
      </c>
      <c r="B565" s="1">
        <f>J567*H567+L567</f>
        <v>1021.7142857142858</v>
      </c>
      <c r="C565" s="1">
        <v>1</v>
      </c>
      <c r="D565" s="1">
        <v>8</v>
      </c>
      <c r="E565" s="3">
        <f>(B565*C565)/'Cost of fabrics'!$C$4*D565</f>
        <v>5.4058956916099774</v>
      </c>
    </row>
    <row r="566" spans="1:12">
      <c r="A566" s="1" t="s">
        <v>1557</v>
      </c>
      <c r="B566" s="1">
        <f>B565</f>
        <v>1021.7142857142858</v>
      </c>
      <c r="C566" s="1">
        <v>1</v>
      </c>
      <c r="D566" s="1">
        <v>8</v>
      </c>
      <c r="E566" s="3">
        <f>(B566*C566)/'Cost of fabrics'!$C$4*D566</f>
        <v>5.4058956916099774</v>
      </c>
      <c r="G566" s="1" t="s">
        <v>1595</v>
      </c>
      <c r="H566" s="1" t="s">
        <v>1594</v>
      </c>
      <c r="I566" s="1" t="s">
        <v>1646</v>
      </c>
      <c r="J566" s="1" t="s">
        <v>1643</v>
      </c>
      <c r="L566" s="1" t="s">
        <v>1648</v>
      </c>
    </row>
    <row r="567" spans="1:12">
      <c r="A567" s="1" t="s">
        <v>1559</v>
      </c>
      <c r="B567" s="1">
        <f>9*H567</f>
        <v>144</v>
      </c>
      <c r="C567" s="1">
        <v>2</v>
      </c>
      <c r="D567" s="1">
        <v>8</v>
      </c>
      <c r="E567" s="3">
        <f>(B567*C567)/'Cost of fabrics'!$C$4*D567</f>
        <v>1.5238095238095237</v>
      </c>
      <c r="G567" s="1">
        <v>16</v>
      </c>
      <c r="H567" s="1">
        <v>16</v>
      </c>
      <c r="I567" s="1">
        <v>12</v>
      </c>
      <c r="J567" s="1">
        <f>'Mixer sizes'!J72</f>
        <v>39.857142857142861</v>
      </c>
      <c r="L567" s="62">
        <f>'Mixer sizes'!K72</f>
        <v>384</v>
      </c>
    </row>
    <row r="568" spans="1:12">
      <c r="A568" s="1" t="s">
        <v>1566</v>
      </c>
      <c r="B568" s="1">
        <f>B565+B567</f>
        <v>1165.7142857142858</v>
      </c>
      <c r="C568" s="1">
        <v>1</v>
      </c>
      <c r="D568" s="1">
        <v>4</v>
      </c>
      <c r="E568" s="3">
        <f>(B568*C568)/'Cost of fabrics'!$C$20*D568</f>
        <v>5.5510204081632653</v>
      </c>
    </row>
    <row r="569" spans="1:12">
      <c r="A569" s="1" t="s">
        <v>1616</v>
      </c>
      <c r="B569" s="1">
        <f>H569</f>
        <v>162</v>
      </c>
      <c r="C569" s="1">
        <v>1</v>
      </c>
      <c r="D569" s="1">
        <v>8</v>
      </c>
      <c r="E569" s="3">
        <f>(B569*C569)/'Cost of fabrics'!$C$20*D569</f>
        <v>1.5428571428571429</v>
      </c>
      <c r="F569" s="206" t="s">
        <v>1669</v>
      </c>
      <c r="G569" s="1" t="s">
        <v>2317</v>
      </c>
      <c r="H569" s="1">
        <f>(H567+(H567+I567)*2)*2.25</f>
        <v>162</v>
      </c>
    </row>
    <row r="570" spans="1:12">
      <c r="A570" s="198" t="s">
        <v>555</v>
      </c>
      <c r="B570" s="198"/>
      <c r="C570" s="198"/>
      <c r="D570" s="198"/>
      <c r="E570" s="207">
        <f>SUM(E565:E569)</f>
        <v>19.429478458049889</v>
      </c>
      <c r="F570" s="208">
        <f>E570*3</f>
        <v>58.288435374149671</v>
      </c>
    </row>
    <row r="571" spans="1:12">
      <c r="A571" s="1" t="s">
        <v>1569</v>
      </c>
      <c r="C571" s="1">
        <v>2</v>
      </c>
      <c r="D571" s="1">
        <v>8</v>
      </c>
      <c r="E571" s="3">
        <f>C571*D571</f>
        <v>16</v>
      </c>
    </row>
    <row r="572" spans="1:12">
      <c r="A572" s="7" t="s">
        <v>1571</v>
      </c>
      <c r="B572" s="7"/>
      <c r="C572" s="7"/>
      <c r="D572" s="7"/>
      <c r="E572" s="10">
        <f>SUM(E570:E571)</f>
        <v>35.429478458049886</v>
      </c>
    </row>
    <row r="573" spans="1:12">
      <c r="A573" s="209" t="s">
        <v>1572</v>
      </c>
      <c r="B573" s="209"/>
      <c r="C573" s="209"/>
      <c r="D573" s="209"/>
      <c r="E573" s="210">
        <f>E572*1.3</f>
        <v>46.058321995464851</v>
      </c>
    </row>
    <row r="576" spans="1:12">
      <c r="A576" s="7" t="s">
        <v>2394</v>
      </c>
      <c r="C576" s="1" t="s">
        <v>2548</v>
      </c>
    </row>
    <row r="577" spans="1:12">
      <c r="A577" s="1" t="s">
        <v>1556</v>
      </c>
      <c r="B577" s="1">
        <f>L581+L582</f>
        <v>368</v>
      </c>
      <c r="C577" s="1">
        <v>1</v>
      </c>
      <c r="D577" s="1">
        <v>14</v>
      </c>
      <c r="E577" s="3">
        <f>(B577*C577)/'Cost of fabrics'!$C$4*D577</f>
        <v>3.4074074074074074</v>
      </c>
    </row>
    <row r="578" spans="1:12">
      <c r="A578" s="1" t="s">
        <v>1557</v>
      </c>
      <c r="B578" s="1">
        <f>B577</f>
        <v>368</v>
      </c>
      <c r="C578" s="1">
        <v>1</v>
      </c>
      <c r="D578" s="1">
        <v>8</v>
      </c>
      <c r="E578" s="3">
        <f>(B578*C578)/'Cost of fabrics'!$C$4*D578</f>
        <v>1.947089947089947</v>
      </c>
      <c r="G578" s="1" t="s">
        <v>1595</v>
      </c>
      <c r="H578" s="1" t="s">
        <v>1594</v>
      </c>
      <c r="I578" s="1" t="s">
        <v>1646</v>
      </c>
      <c r="J578" s="1" t="s">
        <v>1643</v>
      </c>
      <c r="L578" s="1" t="s">
        <v>1648</v>
      </c>
    </row>
    <row r="579" spans="1:12">
      <c r="A579" s="1" t="s">
        <v>1559</v>
      </c>
      <c r="B579" s="1">
        <f>9*H579</f>
        <v>144</v>
      </c>
      <c r="C579" s="1">
        <v>2</v>
      </c>
      <c r="D579" s="1">
        <v>14</v>
      </c>
      <c r="E579" s="3">
        <f>(B579*C579)/'Cost of fabrics'!$C$4*D579</f>
        <v>2.6666666666666665</v>
      </c>
      <c r="G579" s="1">
        <v>14</v>
      </c>
      <c r="H579" s="1">
        <v>16</v>
      </c>
      <c r="I579" s="1">
        <v>15</v>
      </c>
      <c r="J579" s="1">
        <f>'Mixer sizes'!J76</f>
        <v>37.571428571428569</v>
      </c>
      <c r="L579" s="62">
        <f>'Mixer sizes'!K76</f>
        <v>420</v>
      </c>
    </row>
    <row r="580" spans="1:12">
      <c r="A580" s="1" t="s">
        <v>1566</v>
      </c>
      <c r="B580" s="1">
        <f>B577+B579</f>
        <v>512</v>
      </c>
      <c r="C580" s="1">
        <v>1</v>
      </c>
      <c r="D580" s="1">
        <v>4</v>
      </c>
      <c r="E580" s="3">
        <f>(B580*C580)/'Cost of fabrics'!$C$20*D580</f>
        <v>2.4380952380952383</v>
      </c>
      <c r="H580" s="1">
        <v>18</v>
      </c>
      <c r="I580" s="1">
        <v>17</v>
      </c>
    </row>
    <row r="581" spans="1:12">
      <c r="A581" s="1" t="s">
        <v>1616</v>
      </c>
      <c r="B581" s="1">
        <f>H581</f>
        <v>175.5</v>
      </c>
      <c r="C581" s="1">
        <v>1</v>
      </c>
      <c r="D581" s="1">
        <v>8</v>
      </c>
      <c r="E581" s="3">
        <f>(B581*C581)/'Cost of fabrics'!$C$20*D581</f>
        <v>1.6714285714285715</v>
      </c>
      <c r="F581" s="206" t="s">
        <v>1669</v>
      </c>
      <c r="G581" s="1" t="s">
        <v>2317</v>
      </c>
      <c r="H581" s="1">
        <f>(H579+(H579+I579)*2)*2.25</f>
        <v>175.5</v>
      </c>
      <c r="J581" s="1" t="s">
        <v>2543</v>
      </c>
      <c r="L581" s="1">
        <f>(H579+2)*(I579+2)</f>
        <v>306</v>
      </c>
    </row>
    <row r="582" spans="1:12">
      <c r="A582" s="198" t="s">
        <v>555</v>
      </c>
      <c r="B582" s="198"/>
      <c r="C582" s="198"/>
      <c r="D582" s="198"/>
      <c r="E582" s="207">
        <f>SUM(E577:E581)</f>
        <v>12.13068783068783</v>
      </c>
      <c r="F582" s="208">
        <f>E582*3</f>
        <v>36.392063492063485</v>
      </c>
      <c r="J582" s="1" t="s">
        <v>2544</v>
      </c>
      <c r="L582" s="1">
        <f>(H579+I579)*2</f>
        <v>62</v>
      </c>
    </row>
    <row r="583" spans="1:12">
      <c r="A583" s="1" t="s">
        <v>1569</v>
      </c>
      <c r="C583" s="1">
        <v>2.5</v>
      </c>
      <c r="D583" s="1">
        <v>8</v>
      </c>
      <c r="E583" s="3">
        <f>C583*D583</f>
        <v>20</v>
      </c>
      <c r="J583" s="1" t="s">
        <v>2547</v>
      </c>
      <c r="L583" s="1">
        <f>L582+8</f>
        <v>70</v>
      </c>
    </row>
    <row r="584" spans="1:12">
      <c r="A584" s="7" t="s">
        <v>1571</v>
      </c>
      <c r="B584" s="7"/>
      <c r="C584" s="7"/>
      <c r="D584" s="7"/>
      <c r="E584" s="10">
        <f>SUM(E582:E583)</f>
        <v>32.130687830687833</v>
      </c>
      <c r="L584" s="1">
        <f>SUM(L581:L583)</f>
        <v>438</v>
      </c>
    </row>
    <row r="585" spans="1:12">
      <c r="A585" s="209" t="s">
        <v>1572</v>
      </c>
      <c r="B585" s="209"/>
      <c r="C585" s="209"/>
      <c r="D585" s="209"/>
      <c r="E585" s="210">
        <f>E584*1.3</f>
        <v>41.769894179894187</v>
      </c>
    </row>
    <row r="589" spans="1:12">
      <c r="A589" s="7" t="s">
        <v>2398</v>
      </c>
    </row>
    <row r="590" spans="1:12">
      <c r="A590" s="1" t="s">
        <v>1556</v>
      </c>
      <c r="B590" s="1">
        <f>J592*H592+L592</f>
        <v>802.14285714285722</v>
      </c>
      <c r="C590" s="1">
        <v>1</v>
      </c>
      <c r="D590" s="1">
        <v>6</v>
      </c>
      <c r="E590" s="3">
        <f>(B590*C590)/'Cost of fabrics'!$C$4*D590</f>
        <v>3.1831065759637194</v>
      </c>
    </row>
    <row r="591" spans="1:12">
      <c r="A591" s="1" t="s">
        <v>1557</v>
      </c>
      <c r="B591" s="1">
        <f>B590</f>
        <v>802.14285714285722</v>
      </c>
      <c r="C591" s="1">
        <v>1</v>
      </c>
      <c r="D591" s="1">
        <v>6</v>
      </c>
      <c r="E591" s="3">
        <f>(B591*C591)/'Cost of fabrics'!$C$4*D591</f>
        <v>3.1831065759637194</v>
      </c>
      <c r="G591" s="1" t="s">
        <v>1595</v>
      </c>
      <c r="H591" s="1" t="s">
        <v>1594</v>
      </c>
      <c r="I591" s="1" t="s">
        <v>1646</v>
      </c>
      <c r="J591" s="1" t="s">
        <v>1643</v>
      </c>
      <c r="L591" s="1" t="s">
        <v>1648</v>
      </c>
    </row>
    <row r="592" spans="1:12">
      <c r="A592" s="1" t="s">
        <v>1559</v>
      </c>
      <c r="B592" s="1">
        <f>9*H592</f>
        <v>117</v>
      </c>
      <c r="C592" s="1">
        <v>2</v>
      </c>
      <c r="D592" s="1">
        <v>6</v>
      </c>
      <c r="E592" s="3">
        <f>(B592*C592)/'Cost of fabrics'!$C$4*D592</f>
        <v>0.9285714285714286</v>
      </c>
      <c r="G592" s="1">
        <v>14</v>
      </c>
      <c r="H592" s="1">
        <v>13</v>
      </c>
      <c r="I592" s="1">
        <v>12</v>
      </c>
      <c r="J592" s="1">
        <f>'Mixer sizes'!J81</f>
        <v>35.857142857142861</v>
      </c>
      <c r="L592" s="62">
        <f>'Mixer sizes'!K81</f>
        <v>336</v>
      </c>
    </row>
    <row r="593" spans="1:11">
      <c r="A593" s="1" t="s">
        <v>1566</v>
      </c>
      <c r="B593" s="1">
        <f>B590+B592</f>
        <v>919.14285714285722</v>
      </c>
      <c r="C593" s="1">
        <v>1</v>
      </c>
      <c r="D593" s="1">
        <v>4</v>
      </c>
      <c r="E593" s="3">
        <f>(B593*C593)/'Cost of fabrics'!$C$20*D593</f>
        <v>4.3768707482993205</v>
      </c>
    </row>
    <row r="594" spans="1:11">
      <c r="A594" s="1" t="s">
        <v>1616</v>
      </c>
      <c r="B594" s="1">
        <f>H594</f>
        <v>141.75</v>
      </c>
      <c r="C594" s="1">
        <v>1</v>
      </c>
      <c r="D594" s="1">
        <v>6</v>
      </c>
      <c r="E594" s="3">
        <f>(B594*C594)/'Cost of fabrics'!$C$20*D594</f>
        <v>1.0125000000000002</v>
      </c>
      <c r="F594" s="206" t="s">
        <v>1669</v>
      </c>
      <c r="G594" s="1" t="s">
        <v>2317</v>
      </c>
      <c r="H594" s="1">
        <f>(H592+(H592+I592)*2)*2.25</f>
        <v>141.75</v>
      </c>
    </row>
    <row r="595" spans="1:11">
      <c r="A595" s="198" t="s">
        <v>555</v>
      </c>
      <c r="B595" s="198"/>
      <c r="C595" s="198"/>
      <c r="D595" s="198"/>
      <c r="E595" s="207">
        <f>SUM(E590:E594)</f>
        <v>12.684155328798187</v>
      </c>
      <c r="F595" s="208">
        <f>E595*3</f>
        <v>38.052465986394566</v>
      </c>
    </row>
    <row r="596" spans="1:11">
      <c r="A596" s="1" t="s">
        <v>1569</v>
      </c>
      <c r="C596" s="1">
        <v>2</v>
      </c>
      <c r="D596" s="1">
        <v>8</v>
      </c>
      <c r="E596" s="3">
        <f>C596*D596</f>
        <v>16</v>
      </c>
    </row>
    <row r="597" spans="1:11">
      <c r="A597" s="7" t="s">
        <v>1571</v>
      </c>
      <c r="B597" s="7"/>
      <c r="C597" s="7"/>
      <c r="D597" s="7"/>
      <c r="E597" s="10">
        <f>SUM(E595:E596)</f>
        <v>28.684155328798187</v>
      </c>
    </row>
    <row r="598" spans="1:11">
      <c r="A598" s="209" t="s">
        <v>1572</v>
      </c>
      <c r="B598" s="209"/>
      <c r="C598" s="209"/>
      <c r="D598" s="209"/>
      <c r="E598" s="210">
        <f>E597*1.3</f>
        <v>37.289401927437645</v>
      </c>
    </row>
    <row r="601" spans="1:11">
      <c r="A601" s="7" t="s">
        <v>2549</v>
      </c>
      <c r="C601" s="1" t="s">
        <v>2550</v>
      </c>
    </row>
    <row r="602" spans="1:11">
      <c r="A602" s="1" t="s">
        <v>1556</v>
      </c>
      <c r="B602" s="1">
        <f>G604*H604+J608</f>
        <v>812.89285714285711</v>
      </c>
      <c r="C602" s="1">
        <v>1</v>
      </c>
      <c r="D602" s="1">
        <v>6</v>
      </c>
      <c r="E602" s="3">
        <f>(B602*C602)/'Cost of fabrics'!$C$4*D602</f>
        <v>3.2257653061224492</v>
      </c>
    </row>
    <row r="603" spans="1:11">
      <c r="A603" s="1" t="s">
        <v>1557</v>
      </c>
      <c r="B603" s="1">
        <f>B602</f>
        <v>812.89285714285711</v>
      </c>
      <c r="C603" s="1">
        <v>1</v>
      </c>
      <c r="D603" s="1">
        <v>6</v>
      </c>
      <c r="E603" s="3">
        <f>(B603*C603)/'Cost of fabrics'!$C$4*D603</f>
        <v>3.2257653061224492</v>
      </c>
      <c r="G603" s="1" t="s">
        <v>1595</v>
      </c>
      <c r="H603" s="1" t="s">
        <v>1594</v>
      </c>
      <c r="I603" s="1" t="s">
        <v>1646</v>
      </c>
      <c r="J603" s="1" t="s">
        <v>1643</v>
      </c>
      <c r="K603" s="1" t="s">
        <v>1648</v>
      </c>
    </row>
    <row r="604" spans="1:11">
      <c r="A604" s="1" t="s">
        <v>1559</v>
      </c>
      <c r="C604" s="1">
        <v>2</v>
      </c>
      <c r="D604" s="1">
        <v>6</v>
      </c>
      <c r="E604" s="3">
        <f>(B604*C604)/'Cost of fabrics'!$C$4*D604</f>
        <v>0</v>
      </c>
      <c r="G604" s="27">
        <v>13</v>
      </c>
      <c r="H604" s="27">
        <v>40.5</v>
      </c>
      <c r="I604" s="27"/>
      <c r="J604" s="27">
        <f>'Mixer sizes'!J93</f>
        <v>0</v>
      </c>
      <c r="K604" s="62">
        <f>'Mixer sizes'!K93</f>
        <v>0</v>
      </c>
    </row>
    <row r="605" spans="1:11">
      <c r="A605" s="1" t="s">
        <v>1566</v>
      </c>
      <c r="B605" s="1">
        <f>B602+B604</f>
        <v>812.89285714285711</v>
      </c>
      <c r="C605" s="1">
        <v>1</v>
      </c>
      <c r="D605" s="1">
        <v>4</v>
      </c>
      <c r="E605" s="3">
        <f>(B605*C605)/'Cost of fabrics'!$C$20*D605</f>
        <v>3.8709183673469387</v>
      </c>
    </row>
    <row r="606" spans="1:11">
      <c r="A606" s="1" t="s">
        <v>1616</v>
      </c>
      <c r="B606" s="1">
        <f>H606</f>
        <v>0</v>
      </c>
      <c r="C606" s="1">
        <v>1</v>
      </c>
      <c r="D606" s="1">
        <v>6</v>
      </c>
      <c r="E606" s="3">
        <f>(B606*C606)/'Cost of fabrics'!$C$20*D606</f>
        <v>0</v>
      </c>
      <c r="F606" s="206" t="s">
        <v>1669</v>
      </c>
      <c r="G606" s="1" t="s">
        <v>2317</v>
      </c>
      <c r="I606" s="1" t="s">
        <v>2553</v>
      </c>
      <c r="J606" s="1" t="s">
        <v>2086</v>
      </c>
      <c r="K606" s="1" t="s">
        <v>2552</v>
      </c>
    </row>
    <row r="607" spans="1:11">
      <c r="A607" s="198" t="s">
        <v>555</v>
      </c>
      <c r="B607" s="198"/>
      <c r="C607" s="198"/>
      <c r="D607" s="198"/>
      <c r="E607" s="207">
        <f>SUM(E602:E606)</f>
        <v>10.322448979591837</v>
      </c>
      <c r="F607" s="208">
        <f>E607*3</f>
        <v>30.96734693877551</v>
      </c>
      <c r="G607" s="1" t="s">
        <v>2551</v>
      </c>
      <c r="H607" s="1">
        <v>1</v>
      </c>
      <c r="I607" s="1">
        <v>13.5</v>
      </c>
      <c r="J607" s="1">
        <f>(22/7*(I607/2)*(I607/2))*H607</f>
        <v>143.19642857142858</v>
      </c>
      <c r="K607" s="1">
        <f>2*22/7*(13/2)</f>
        <v>40.857142857142854</v>
      </c>
    </row>
    <row r="608" spans="1:11">
      <c r="A608" s="1" t="s">
        <v>1569</v>
      </c>
      <c r="C608" s="1">
        <v>1</v>
      </c>
      <c r="D608" s="1">
        <v>8</v>
      </c>
      <c r="E608" s="3">
        <f>C608*D608</f>
        <v>8</v>
      </c>
      <c r="G608" s="1" t="s">
        <v>2551</v>
      </c>
      <c r="H608" s="1">
        <v>2</v>
      </c>
      <c r="I608" s="1">
        <v>13.5</v>
      </c>
      <c r="J608" s="1">
        <f>(22/7*(I608/2)*(I608/2))*H608</f>
        <v>286.39285714285717</v>
      </c>
      <c r="K608" s="1">
        <f>2*22/7*(13/2)</f>
        <v>40.857142857142854</v>
      </c>
    </row>
    <row r="609" spans="1:13">
      <c r="A609" s="7" t="s">
        <v>1571</v>
      </c>
      <c r="B609" s="7"/>
      <c r="C609" s="7"/>
      <c r="D609" s="7"/>
      <c r="E609" s="10">
        <f>SUM(E607:E608)</f>
        <v>18.322448979591837</v>
      </c>
    </row>
    <row r="610" spans="1:13">
      <c r="A610" s="209" t="s">
        <v>1572</v>
      </c>
      <c r="B610" s="209"/>
      <c r="C610" s="209"/>
      <c r="D610" s="209"/>
      <c r="E610" s="210">
        <f>E609*1.3</f>
        <v>23.819183673469389</v>
      </c>
    </row>
    <row r="613" spans="1:13">
      <c r="A613" s="7" t="s">
        <v>2554</v>
      </c>
      <c r="C613" s="1" t="s">
        <v>2564</v>
      </c>
    </row>
    <row r="614" spans="1:13">
      <c r="A614" s="1" t="s">
        <v>1556</v>
      </c>
      <c r="B614" s="60">
        <f>M623</f>
        <v>1900</v>
      </c>
      <c r="C614" s="1">
        <v>1</v>
      </c>
      <c r="D614" s="1">
        <v>8</v>
      </c>
      <c r="E614" s="3">
        <f>(B614*C614)/'Cost of fabrics'!$C$4*D614</f>
        <v>10.052910052910052</v>
      </c>
    </row>
    <row r="615" spans="1:13">
      <c r="A615" s="1" t="s">
        <v>1557</v>
      </c>
      <c r="B615" s="60">
        <f>L616+L618</f>
        <v>504</v>
      </c>
      <c r="C615" s="1">
        <v>1</v>
      </c>
      <c r="D615" s="1">
        <v>6</v>
      </c>
      <c r="E615" s="3">
        <f>(B615*C615)/'Cost of fabrics'!$C$4*D615</f>
        <v>2</v>
      </c>
      <c r="H615" s="1" t="s">
        <v>1595</v>
      </c>
      <c r="I615" s="1" t="s">
        <v>1594</v>
      </c>
      <c r="K615" s="1" t="s">
        <v>1643</v>
      </c>
      <c r="L615" s="1" t="s">
        <v>1648</v>
      </c>
    </row>
    <row r="616" spans="1:13">
      <c r="A616" s="1" t="s">
        <v>1559</v>
      </c>
      <c r="B616" s="60">
        <f>L619+L620+L621</f>
        <v>212</v>
      </c>
      <c r="C616" s="1">
        <v>2</v>
      </c>
      <c r="D616" s="1">
        <v>6</v>
      </c>
      <c r="E616" s="3">
        <f>(B616*C616)/'Cost of fabrics'!$C$4*D616</f>
        <v>1.6825396825396823</v>
      </c>
      <c r="G616" s="1" t="s">
        <v>2555</v>
      </c>
      <c r="H616" s="27">
        <v>12</v>
      </c>
      <c r="I616" s="27">
        <v>18</v>
      </c>
      <c r="J616" s="27">
        <v>1</v>
      </c>
      <c r="K616" s="27"/>
      <c r="L616" s="60">
        <f>H616*I616*J616</f>
        <v>216</v>
      </c>
    </row>
    <row r="617" spans="1:13">
      <c r="A617" s="1" t="s">
        <v>1615</v>
      </c>
      <c r="C617" s="1">
        <v>1</v>
      </c>
      <c r="D617" s="1">
        <v>4</v>
      </c>
      <c r="E617" s="3">
        <f>(B617*C617)/'Cost of fabrics'!$C$20*D617</f>
        <v>0</v>
      </c>
      <c r="G617" s="1" t="s">
        <v>2071</v>
      </c>
      <c r="H617" s="1">
        <v>15</v>
      </c>
      <c r="I617" s="1">
        <v>18</v>
      </c>
      <c r="J617" s="1">
        <v>2</v>
      </c>
      <c r="L617" s="60">
        <f t="shared" ref="L617" si="20">H617*I617*J617</f>
        <v>540</v>
      </c>
    </row>
    <row r="618" spans="1:13">
      <c r="A618" s="1" t="s">
        <v>2563</v>
      </c>
      <c r="C618" s="1">
        <v>1</v>
      </c>
      <c r="E618" s="3">
        <f>M628</f>
        <v>4.2</v>
      </c>
      <c r="G618" s="1" t="s">
        <v>2559</v>
      </c>
      <c r="H618" s="1">
        <v>12</v>
      </c>
      <c r="I618" s="1">
        <v>12</v>
      </c>
      <c r="J618" s="1">
        <v>2</v>
      </c>
      <c r="L618" s="60">
        <f>H618*I618*J618</f>
        <v>288</v>
      </c>
    </row>
    <row r="619" spans="1:13">
      <c r="A619" s="198" t="s">
        <v>555</v>
      </c>
      <c r="B619" s="198"/>
      <c r="C619" s="198"/>
      <c r="D619" s="198"/>
      <c r="E619" s="207">
        <f>SUM(E614:E618)</f>
        <v>17.935449735449733</v>
      </c>
      <c r="G619" s="1" t="s">
        <v>2556</v>
      </c>
      <c r="H619" s="1">
        <v>7</v>
      </c>
      <c r="I619" s="1">
        <v>12</v>
      </c>
      <c r="J619" s="1">
        <v>1</v>
      </c>
      <c r="L619" s="60">
        <f t="shared" ref="L619:L621" si="21">H619*I619*J619</f>
        <v>84</v>
      </c>
    </row>
    <row r="620" spans="1:13">
      <c r="A620" s="1" t="s">
        <v>1569</v>
      </c>
      <c r="C620" s="1">
        <v>2.5</v>
      </c>
      <c r="D620" s="1">
        <v>8</v>
      </c>
      <c r="E620" s="3">
        <f>C620*D620</f>
        <v>20</v>
      </c>
      <c r="G620" s="1" t="s">
        <v>2557</v>
      </c>
      <c r="H620" s="1">
        <v>8</v>
      </c>
      <c r="I620" s="1">
        <v>7</v>
      </c>
      <c r="J620" s="1">
        <v>1</v>
      </c>
      <c r="L620" s="60">
        <f t="shared" si="21"/>
        <v>56</v>
      </c>
    </row>
    <row r="621" spans="1:13">
      <c r="A621" s="7" t="s">
        <v>1571</v>
      </c>
      <c r="B621" s="7"/>
      <c r="C621" s="7"/>
      <c r="D621" s="7"/>
      <c r="E621" s="10">
        <f>SUM(E619:E620)</f>
        <v>37.935449735449737</v>
      </c>
      <c r="G621" s="1" t="s">
        <v>2560</v>
      </c>
      <c r="H621" s="1">
        <v>6</v>
      </c>
      <c r="I621" s="1">
        <v>12</v>
      </c>
      <c r="J621" s="1">
        <v>1</v>
      </c>
      <c r="L621" s="1">
        <f t="shared" si="21"/>
        <v>72</v>
      </c>
    </row>
    <row r="622" spans="1:13">
      <c r="A622" s="209" t="s">
        <v>1572</v>
      </c>
      <c r="B622" s="209"/>
      <c r="C622" s="209"/>
      <c r="D622" s="209"/>
      <c r="E622" s="210">
        <f>E621*1.3</f>
        <v>49.316084656084662</v>
      </c>
      <c r="G622" s="1" t="s">
        <v>2061</v>
      </c>
      <c r="H622" s="1">
        <v>38</v>
      </c>
      <c r="I622" s="1">
        <v>8</v>
      </c>
      <c r="J622" s="1">
        <v>2</v>
      </c>
      <c r="L622" s="60">
        <f>H622*I622*J622</f>
        <v>608</v>
      </c>
    </row>
    <row r="623" spans="1:13">
      <c r="G623" s="1" t="s">
        <v>2558</v>
      </c>
      <c r="H623" s="1">
        <v>3</v>
      </c>
      <c r="I623" s="1">
        <v>2</v>
      </c>
      <c r="J623" s="1">
        <v>6</v>
      </c>
      <c r="L623" s="60">
        <f>H623*I623*J623</f>
        <v>36</v>
      </c>
      <c r="M623" s="60">
        <f>SUM(L616:L623)</f>
        <v>1900</v>
      </c>
    </row>
    <row r="624" spans="1:13">
      <c r="F624" s="1" t="s">
        <v>2563</v>
      </c>
      <c r="G624" s="1" t="s">
        <v>2121</v>
      </c>
      <c r="H624" s="406">
        <v>17</v>
      </c>
      <c r="I624" s="407"/>
    </row>
    <row r="625" spans="1:13">
      <c r="H625" s="408">
        <v>6</v>
      </c>
      <c r="I625" s="409"/>
    </row>
    <row r="626" spans="1:13">
      <c r="H626" s="410">
        <v>11</v>
      </c>
      <c r="I626" s="411">
        <f>H626+H625+H624</f>
        <v>34</v>
      </c>
      <c r="L626" s="1">
        <v>1.5</v>
      </c>
    </row>
    <row r="627" spans="1:13">
      <c r="G627" s="1" t="s">
        <v>2561</v>
      </c>
      <c r="I627" s="1">
        <v>3</v>
      </c>
      <c r="L627" s="1">
        <f>I627*0.4</f>
        <v>1.2000000000000002</v>
      </c>
    </row>
    <row r="628" spans="1:13">
      <c r="G628" s="1" t="s">
        <v>2562</v>
      </c>
      <c r="I628" s="1">
        <v>6</v>
      </c>
      <c r="L628" s="1">
        <f>1.5</f>
        <v>1.5</v>
      </c>
      <c r="M628" s="1">
        <f>SUM(L626:L628)</f>
        <v>4.2</v>
      </c>
    </row>
    <row r="629" spans="1:13">
      <c r="A629" s="7" t="s">
        <v>3798</v>
      </c>
    </row>
    <row r="630" spans="1:13">
      <c r="A630" s="1" t="s">
        <v>1556</v>
      </c>
      <c r="B630" s="1">
        <f>K632+K633</f>
        <v>969</v>
      </c>
      <c r="C630" s="1">
        <v>1</v>
      </c>
      <c r="D630" s="1">
        <v>18</v>
      </c>
      <c r="E630" s="3">
        <f>(B630*C630)/'Cost of fabrics'!$C$4*D630</f>
        <v>11.535714285714286</v>
      </c>
    </row>
    <row r="631" spans="1:13">
      <c r="A631" s="1" t="s">
        <v>1557</v>
      </c>
      <c r="B631" s="1">
        <f>K634</f>
        <v>289</v>
      </c>
      <c r="C631" s="1">
        <v>1</v>
      </c>
      <c r="D631" s="1">
        <v>10</v>
      </c>
      <c r="E631" s="3">
        <f>(B631*C631)/'Cost of fabrics'!$C$4*D631</f>
        <v>1.9113756613756614</v>
      </c>
      <c r="H631" s="1" t="s">
        <v>1595</v>
      </c>
      <c r="I631" s="1" t="s">
        <v>1594</v>
      </c>
    </row>
    <row r="632" spans="1:13">
      <c r="A632" s="1" t="s">
        <v>2572</v>
      </c>
      <c r="E632" s="3">
        <v>15</v>
      </c>
      <c r="G632" s="1" t="s">
        <v>2569</v>
      </c>
      <c r="H632" s="27">
        <v>17</v>
      </c>
      <c r="I632" s="27">
        <v>17</v>
      </c>
      <c r="J632" s="1">
        <v>1</v>
      </c>
      <c r="K632" s="1">
        <f>H632*I632*J632</f>
        <v>289</v>
      </c>
    </row>
    <row r="633" spans="1:13">
      <c r="G633" s="1" t="s">
        <v>2570</v>
      </c>
      <c r="H633" s="1">
        <v>20</v>
      </c>
      <c r="I633" s="1">
        <v>17</v>
      </c>
      <c r="J633" s="1">
        <v>2</v>
      </c>
      <c r="K633" s="1">
        <f>H633*I633*J633</f>
        <v>680</v>
      </c>
    </row>
    <row r="634" spans="1:13">
      <c r="F634" s="206" t="s">
        <v>1669</v>
      </c>
      <c r="G634" s="1" t="s">
        <v>2571</v>
      </c>
      <c r="H634" s="1">
        <v>17</v>
      </c>
      <c r="I634" s="1">
        <v>17</v>
      </c>
      <c r="J634" s="1">
        <v>1</v>
      </c>
      <c r="K634" s="1">
        <f>H634*I634*J634</f>
        <v>289</v>
      </c>
    </row>
    <row r="635" spans="1:13">
      <c r="A635" s="198" t="s">
        <v>555</v>
      </c>
      <c r="B635" s="198"/>
      <c r="C635" s="198"/>
      <c r="D635" s="198"/>
      <c r="E635" s="207">
        <f>SUM(E630:E634)</f>
        <v>28.44708994708995</v>
      </c>
      <c r="F635" s="208">
        <f>E635*3</f>
        <v>85.341269841269849</v>
      </c>
      <c r="K635" s="1">
        <f>SUM(K632:K634)</f>
        <v>1258</v>
      </c>
    </row>
    <row r="636" spans="1:13">
      <c r="A636" s="1" t="s">
        <v>1569</v>
      </c>
      <c r="C636" s="1">
        <v>0.5</v>
      </c>
      <c r="D636" s="1">
        <v>8</v>
      </c>
      <c r="E636" s="3">
        <f>C636*D636</f>
        <v>4</v>
      </c>
    </row>
    <row r="637" spans="1:13">
      <c r="A637" s="7" t="s">
        <v>1571</v>
      </c>
      <c r="B637" s="7"/>
      <c r="C637" s="7"/>
      <c r="D637" s="7"/>
      <c r="E637" s="10">
        <f>SUM(E635:E636)</f>
        <v>32.44708994708995</v>
      </c>
    </row>
    <row r="638" spans="1:13">
      <c r="A638" s="209" t="s">
        <v>1572</v>
      </c>
      <c r="B638" s="209"/>
      <c r="C638" s="209"/>
      <c r="D638" s="209"/>
      <c r="E638" s="210">
        <f>E637*1.3</f>
        <v>42.181216931216937</v>
      </c>
    </row>
    <row r="641" spans="1:13">
      <c r="A641" s="7" t="s">
        <v>3797</v>
      </c>
    </row>
    <row r="642" spans="1:13">
      <c r="A642" s="1" t="s">
        <v>1556</v>
      </c>
      <c r="B642" s="1">
        <f>SUM(K644:K646)</f>
        <v>436</v>
      </c>
      <c r="C642" s="1">
        <v>1</v>
      </c>
      <c r="D642" s="1">
        <v>8</v>
      </c>
      <c r="E642" s="3">
        <f>(B642*C642)/'Cost of fabrics'!$C$4*D642</f>
        <v>2.306878306878307</v>
      </c>
    </row>
    <row r="643" spans="1:13">
      <c r="A643" s="1" t="s">
        <v>1557</v>
      </c>
      <c r="B643" s="1">
        <f>SUM(K644:K645)</f>
        <v>352</v>
      </c>
      <c r="C643" s="1">
        <v>1</v>
      </c>
      <c r="D643" s="1">
        <v>8</v>
      </c>
      <c r="E643" s="3">
        <f>(B643*C643)/'Cost of fabrics'!$C$4*D643</f>
        <v>1.8624338624338623</v>
      </c>
      <c r="H643" s="1" t="s">
        <v>1595</v>
      </c>
      <c r="I643" s="1" t="s">
        <v>1594</v>
      </c>
    </row>
    <row r="644" spans="1:13">
      <c r="A644" s="1" t="s">
        <v>1559</v>
      </c>
      <c r="B644" s="1">
        <f>K647</f>
        <v>60</v>
      </c>
      <c r="C644" s="1">
        <v>1</v>
      </c>
      <c r="D644" s="1">
        <v>6</v>
      </c>
      <c r="E644" s="3">
        <f>(B644*C644)/'Cost of fabrics'!$C$4*D644</f>
        <v>0.23809523809523808</v>
      </c>
      <c r="G644" s="1" t="s">
        <v>2587</v>
      </c>
      <c r="H644" s="27">
        <v>9</v>
      </c>
      <c r="I644" s="27">
        <v>8</v>
      </c>
      <c r="J644" s="1">
        <v>2</v>
      </c>
      <c r="K644" s="1">
        <f>H644*I644*J644</f>
        <v>144</v>
      </c>
    </row>
    <row r="645" spans="1:13">
      <c r="G645" s="1" t="s">
        <v>2588</v>
      </c>
      <c r="H645" s="1">
        <v>26</v>
      </c>
      <c r="I645" s="1">
        <v>8</v>
      </c>
      <c r="J645" s="1">
        <v>1</v>
      </c>
      <c r="K645" s="1">
        <f>H645*I645*J645</f>
        <v>208</v>
      </c>
    </row>
    <row r="646" spans="1:13">
      <c r="F646" s="206" t="s">
        <v>1669</v>
      </c>
      <c r="G646" s="1" t="s">
        <v>2589</v>
      </c>
      <c r="H646" s="1">
        <v>14</v>
      </c>
      <c r="I646" s="1">
        <v>3</v>
      </c>
      <c r="J646" s="1">
        <v>2</v>
      </c>
      <c r="K646" s="1">
        <f>H646*I646*J646</f>
        <v>84</v>
      </c>
    </row>
    <row r="647" spans="1:13">
      <c r="A647" s="198" t="s">
        <v>555</v>
      </c>
      <c r="B647" s="198"/>
      <c r="C647" s="198"/>
      <c r="D647" s="198"/>
      <c r="E647" s="207">
        <f>SUM(E642:E646)</f>
        <v>4.4074074074074074</v>
      </c>
      <c r="F647" s="208">
        <f>E647*3</f>
        <v>13.222222222222221</v>
      </c>
      <c r="G647" s="1" t="s">
        <v>1559</v>
      </c>
      <c r="H647" s="1">
        <v>10</v>
      </c>
      <c r="I647" s="1">
        <v>6</v>
      </c>
      <c r="J647" s="1">
        <v>1</v>
      </c>
      <c r="K647" s="1">
        <f>H647*I647*J647</f>
        <v>60</v>
      </c>
    </row>
    <row r="648" spans="1:13">
      <c r="A648" s="1" t="s">
        <v>1569</v>
      </c>
      <c r="C648" s="1">
        <v>0.5</v>
      </c>
      <c r="D648" s="1">
        <v>8</v>
      </c>
      <c r="E648" s="3">
        <f>C648*D648</f>
        <v>4</v>
      </c>
      <c r="K648" s="1">
        <f>SUM(K644:K647)</f>
        <v>496</v>
      </c>
    </row>
    <row r="649" spans="1:13">
      <c r="A649" s="7" t="s">
        <v>1571</v>
      </c>
      <c r="B649" s="7"/>
      <c r="C649" s="7"/>
      <c r="D649" s="7"/>
      <c r="E649" s="10">
        <f>SUM(E647:E648)</f>
        <v>8.4074074074074083</v>
      </c>
    </row>
    <row r="650" spans="1:13">
      <c r="A650" s="209" t="s">
        <v>1572</v>
      </c>
      <c r="B650" s="209"/>
      <c r="C650" s="209"/>
      <c r="D650" s="209"/>
      <c r="E650" s="210">
        <f>E649*1.3</f>
        <v>10.92962962962963</v>
      </c>
    </row>
    <row r="653" spans="1:13">
      <c r="A653" s="7" t="s">
        <v>3799</v>
      </c>
    </row>
    <row r="654" spans="1:13">
      <c r="A654" s="1" t="s">
        <v>1556</v>
      </c>
      <c r="B654" s="1">
        <f>I656*L656+M655</f>
        <v>984</v>
      </c>
      <c r="C654" s="1">
        <v>1</v>
      </c>
      <c r="D654" s="1">
        <v>8</v>
      </c>
      <c r="E654" s="3">
        <f>(B654*C654)/'Cost of fabrics'!$C$4*D654</f>
        <v>5.2063492063492065</v>
      </c>
      <c r="M654" s="1" t="s">
        <v>1911</v>
      </c>
    </row>
    <row r="655" spans="1:13">
      <c r="A655" s="1" t="s">
        <v>1557</v>
      </c>
      <c r="B655" s="1">
        <f>B654</f>
        <v>984</v>
      </c>
      <c r="C655" s="1">
        <v>1</v>
      </c>
      <c r="D655" s="1">
        <v>6</v>
      </c>
      <c r="E655" s="3">
        <f>(B655*C655)/'Cost of fabrics'!$C$4*D655</f>
        <v>3.9047619047619051</v>
      </c>
      <c r="I655" s="1" t="s">
        <v>1595</v>
      </c>
      <c r="J655" s="1" t="s">
        <v>1594</v>
      </c>
      <c r="K655" s="1" t="s">
        <v>1646</v>
      </c>
      <c r="L655" s="1" t="s">
        <v>1643</v>
      </c>
      <c r="M655" s="400">
        <f>(J656+1)*(K656+1)</f>
        <v>156</v>
      </c>
    </row>
    <row r="656" spans="1:13">
      <c r="A656" s="1" t="s">
        <v>1566</v>
      </c>
      <c r="B656" s="1">
        <f>B654</f>
        <v>984</v>
      </c>
      <c r="C656" s="1">
        <v>1</v>
      </c>
      <c r="D656" s="1">
        <v>4</v>
      </c>
      <c r="E656" s="3">
        <f>(B656*C656)/'Cost of fabrics'!$C$20*D656</f>
        <v>4.6857142857142859</v>
      </c>
      <c r="I656" s="1">
        <v>18</v>
      </c>
      <c r="J656" s="1">
        <v>12</v>
      </c>
      <c r="K656" s="1">
        <v>11</v>
      </c>
      <c r="L656" s="1">
        <f>J656*2+K656*2</f>
        <v>46</v>
      </c>
    </row>
    <row r="657" spans="1:12">
      <c r="A657" s="1" t="s">
        <v>1559</v>
      </c>
      <c r="B657" s="1">
        <f>7*J656</f>
        <v>84</v>
      </c>
      <c r="C657" s="1">
        <v>1</v>
      </c>
      <c r="D657" s="1">
        <v>6</v>
      </c>
      <c r="E657" s="3">
        <f>(B657*C657)/'Cost of fabrics'!$C$20*D657</f>
        <v>0.60000000000000009</v>
      </c>
      <c r="I657" s="1" t="s">
        <v>1911</v>
      </c>
    </row>
    <row r="658" spans="1:12">
      <c r="A658" s="1" t="s">
        <v>1616</v>
      </c>
      <c r="B658" s="1">
        <f>L656*2.5</f>
        <v>115</v>
      </c>
      <c r="C658" s="1">
        <v>1</v>
      </c>
      <c r="D658" s="1">
        <v>6</v>
      </c>
      <c r="E658" s="3">
        <f>(B658*C658)/'Cost of fabrics'!$C$4*D658</f>
        <v>0.45634920634920639</v>
      </c>
      <c r="I658" s="400" t="s">
        <v>2037</v>
      </c>
    </row>
    <row r="659" spans="1:12">
      <c r="A659" s="198" t="s">
        <v>555</v>
      </c>
      <c r="B659" s="198"/>
      <c r="C659" s="198"/>
      <c r="D659" s="198"/>
      <c r="E659" s="207">
        <f>SUM(E654:E658)</f>
        <v>14.853174603174603</v>
      </c>
    </row>
    <row r="660" spans="1:12">
      <c r="A660" s="1" t="s">
        <v>1569</v>
      </c>
      <c r="C660" s="1">
        <v>2</v>
      </c>
      <c r="D660" s="1">
        <v>8</v>
      </c>
      <c r="E660" s="3">
        <f>C660*D660</f>
        <v>16</v>
      </c>
      <c r="F660" s="1">
        <v>32</v>
      </c>
    </row>
    <row r="661" spans="1:12">
      <c r="A661" s="7" t="s">
        <v>1571</v>
      </c>
      <c r="B661" s="7"/>
      <c r="C661" s="7"/>
      <c r="D661" s="7"/>
      <c r="E661" s="10">
        <f>SUM(E659:E660)</f>
        <v>30.853174603174601</v>
      </c>
    </row>
    <row r="662" spans="1:12">
      <c r="A662" s="209" t="s">
        <v>1572</v>
      </c>
      <c r="B662" s="209"/>
      <c r="C662" s="209"/>
      <c r="D662" s="209"/>
      <c r="E662" s="210">
        <f>E661*1.3</f>
        <v>40.109126984126981</v>
      </c>
    </row>
    <row r="665" spans="1:12">
      <c r="A665" s="7" t="s">
        <v>2604</v>
      </c>
    </row>
    <row r="666" spans="1:12">
      <c r="A666" s="1" t="s">
        <v>1556</v>
      </c>
      <c r="B666" s="1">
        <f>K668*I668+L668</f>
        <v>1002</v>
      </c>
      <c r="C666" s="1">
        <v>1</v>
      </c>
      <c r="D666" s="1">
        <v>8</v>
      </c>
      <c r="E666" s="3">
        <f>(B666*C666)/'Cost of fabrics'!$C$4*D666</f>
        <v>5.3015873015873014</v>
      </c>
    </row>
    <row r="667" spans="1:12">
      <c r="A667" s="1" t="s">
        <v>1557</v>
      </c>
      <c r="B667" s="1">
        <f>B666</f>
        <v>1002</v>
      </c>
      <c r="C667" s="1">
        <v>1</v>
      </c>
      <c r="D667" s="1">
        <v>6</v>
      </c>
      <c r="E667" s="3">
        <f>(B667*C667)/'Cost of fabrics'!$C$4*D667</f>
        <v>3.9761904761904763</v>
      </c>
      <c r="H667" s="1" t="s">
        <v>1595</v>
      </c>
      <c r="I667" s="1" t="s">
        <v>1594</v>
      </c>
      <c r="J667" s="1" t="s">
        <v>1646</v>
      </c>
      <c r="K667" s="1" t="s">
        <v>1643</v>
      </c>
      <c r="L667" s="1" t="s">
        <v>1648</v>
      </c>
    </row>
    <row r="668" spans="1:12">
      <c r="A668" s="1" t="s">
        <v>1559</v>
      </c>
      <c r="B668" s="1">
        <f>9*I668</f>
        <v>126</v>
      </c>
      <c r="C668" s="1">
        <v>2</v>
      </c>
      <c r="D668" s="1">
        <v>8</v>
      </c>
      <c r="E668" s="3">
        <f>(B668*C668)/'Cost of fabrics'!$C$4*D668</f>
        <v>1.3333333333333333</v>
      </c>
      <c r="H668" s="27">
        <v>18</v>
      </c>
      <c r="I668" s="27">
        <v>14</v>
      </c>
      <c r="J668" s="27">
        <v>11</v>
      </c>
      <c r="K668" s="27">
        <f>'Mixer sizes'!J85</f>
        <v>43.285714285714285</v>
      </c>
      <c r="L668" s="62">
        <f>'Mixer sizes'!K85</f>
        <v>396</v>
      </c>
    </row>
    <row r="669" spans="1:12">
      <c r="A669" s="1" t="s">
        <v>1566</v>
      </c>
      <c r="B669" s="1">
        <f>B666+B668</f>
        <v>1128</v>
      </c>
      <c r="C669" s="1">
        <v>1</v>
      </c>
      <c r="D669" s="1">
        <v>4</v>
      </c>
      <c r="E669" s="3">
        <f>(B669*C669)/'Cost of fabrics'!$C$20*D669</f>
        <v>5.371428571428571</v>
      </c>
    </row>
    <row r="670" spans="1:12">
      <c r="A670" s="1" t="s">
        <v>1616</v>
      </c>
      <c r="B670" s="1">
        <f>I670</f>
        <v>144</v>
      </c>
      <c r="C670" s="1">
        <v>1</v>
      </c>
      <c r="D670" s="1">
        <v>6</v>
      </c>
      <c r="E670" s="3">
        <f>(B670*C670)/'Cost of fabrics'!$C$20*D670</f>
        <v>1.0285714285714285</v>
      </c>
      <c r="F670" s="206" t="s">
        <v>1669</v>
      </c>
      <c r="H670" s="1" t="s">
        <v>2317</v>
      </c>
      <c r="I670" s="1">
        <f>(I668+(I668+J668)*2)*2.25</f>
        <v>144</v>
      </c>
    </row>
    <row r="671" spans="1:12">
      <c r="A671" s="198" t="s">
        <v>555</v>
      </c>
      <c r="B671" s="198"/>
      <c r="C671" s="198"/>
      <c r="D671" s="198"/>
      <c r="E671" s="207">
        <f>SUM(E666:E670)</f>
        <v>17.011111111111113</v>
      </c>
      <c r="F671" s="208">
        <f>E671*3</f>
        <v>51.033333333333339</v>
      </c>
    </row>
    <row r="672" spans="1:12">
      <c r="A672" s="1" t="s">
        <v>1569</v>
      </c>
      <c r="C672" s="1">
        <v>2</v>
      </c>
      <c r="D672" s="1">
        <v>8</v>
      </c>
      <c r="E672" s="3">
        <f>C672*D672</f>
        <v>16</v>
      </c>
    </row>
    <row r="673" spans="1:10">
      <c r="A673" s="7" t="s">
        <v>1571</v>
      </c>
      <c r="B673" s="7"/>
      <c r="C673" s="7"/>
      <c r="D673" s="7"/>
      <c r="E673" s="10">
        <f>SUM(E671:E672)</f>
        <v>33.011111111111113</v>
      </c>
    </row>
    <row r="674" spans="1:10">
      <c r="A674" s="209" t="s">
        <v>1572</v>
      </c>
      <c r="B674" s="209"/>
      <c r="C674" s="209"/>
      <c r="D674" s="209"/>
      <c r="E674" s="210">
        <f>E673*1.3</f>
        <v>42.914444444444449</v>
      </c>
    </row>
    <row r="677" spans="1:10">
      <c r="A677" s="7" t="s">
        <v>2608</v>
      </c>
    </row>
    <row r="678" spans="1:10">
      <c r="A678" s="1" t="s">
        <v>1556</v>
      </c>
      <c r="B678" s="1">
        <f>H680*I680</f>
        <v>180</v>
      </c>
      <c r="C678" s="1">
        <v>1</v>
      </c>
      <c r="D678" s="1">
        <v>13</v>
      </c>
      <c r="E678" s="3">
        <f>(B678*C678)/'Cost of fabrics'!$C$4*D678</f>
        <v>1.5476190476190474</v>
      </c>
    </row>
    <row r="679" spans="1:10">
      <c r="A679" s="1" t="s">
        <v>1557</v>
      </c>
      <c r="B679" s="1">
        <f>B678</f>
        <v>180</v>
      </c>
      <c r="C679" s="1">
        <v>1</v>
      </c>
      <c r="D679" s="1">
        <v>6</v>
      </c>
      <c r="E679" s="3">
        <f>(B679*C679)/'Cost of fabrics'!$C$4*D679</f>
        <v>0.71428571428571419</v>
      </c>
      <c r="H679" s="1" t="s">
        <v>1595</v>
      </c>
      <c r="I679" s="1" t="s">
        <v>1594</v>
      </c>
      <c r="J679" s="1" t="s">
        <v>1646</v>
      </c>
    </row>
    <row r="680" spans="1:10">
      <c r="A680" s="1" t="s">
        <v>1559</v>
      </c>
      <c r="B680" s="1">
        <f>H682*I682</f>
        <v>48</v>
      </c>
      <c r="C680" s="1">
        <v>1</v>
      </c>
      <c r="D680" s="1">
        <v>13</v>
      </c>
      <c r="E680" s="3">
        <f>(B680*C680)/'Cost of fabrics'!$C$4*D680</f>
        <v>0.41269841269841268</v>
      </c>
      <c r="H680" s="27">
        <v>20</v>
      </c>
      <c r="I680" s="27">
        <v>9</v>
      </c>
      <c r="J680" s="27"/>
    </row>
    <row r="681" spans="1:10">
      <c r="A681" s="1" t="s">
        <v>1615</v>
      </c>
      <c r="B681" s="1">
        <f>B678+B680+B682</f>
        <v>267</v>
      </c>
      <c r="C681" s="1">
        <v>1</v>
      </c>
      <c r="D681" s="1">
        <v>9</v>
      </c>
      <c r="E681" s="3">
        <f>(B681*C681)/'Cost of fabrics'!$C$23*D681</f>
        <v>0.30340909090909091</v>
      </c>
      <c r="G681" s="1" t="s">
        <v>2589</v>
      </c>
      <c r="H681" s="1">
        <v>13</v>
      </c>
      <c r="I681" s="1">
        <v>3</v>
      </c>
    </row>
    <row r="682" spans="1:10">
      <c r="A682" s="1" t="s">
        <v>2589</v>
      </c>
      <c r="B682" s="1">
        <f>H681*I681</f>
        <v>39</v>
      </c>
      <c r="C682" s="1">
        <v>2</v>
      </c>
      <c r="D682" s="1">
        <v>13</v>
      </c>
      <c r="E682" s="3">
        <f>(B682*C682)/'Cost of fabrics'!$C$20*D682</f>
        <v>1.2071428571428573</v>
      </c>
      <c r="F682" s="206" t="s">
        <v>1669</v>
      </c>
      <c r="G682" s="1" t="s">
        <v>1559</v>
      </c>
      <c r="H682" s="1">
        <v>8</v>
      </c>
      <c r="I682" s="1">
        <v>6</v>
      </c>
    </row>
    <row r="683" spans="1:10">
      <c r="A683" s="198" t="s">
        <v>555</v>
      </c>
      <c r="B683" s="198"/>
      <c r="C683" s="198"/>
      <c r="D683" s="198"/>
      <c r="E683" s="207">
        <f>SUM(E678:E682)</f>
        <v>4.1851551226551225</v>
      </c>
      <c r="F683" s="208">
        <f>E683*3</f>
        <v>12.555465367965368</v>
      </c>
    </row>
    <row r="684" spans="1:10">
      <c r="A684" s="1" t="s">
        <v>1569</v>
      </c>
      <c r="C684" s="1">
        <v>0.5</v>
      </c>
      <c r="D684" s="1">
        <v>8</v>
      </c>
      <c r="E684" s="3">
        <f>C684*D684</f>
        <v>4</v>
      </c>
    </row>
    <row r="685" spans="1:10">
      <c r="A685" s="7" t="s">
        <v>1571</v>
      </c>
      <c r="B685" s="7"/>
      <c r="C685" s="7"/>
      <c r="D685" s="7"/>
      <c r="E685" s="10">
        <f>SUM(E683:E684)</f>
        <v>8.1851551226551216</v>
      </c>
    </row>
    <row r="686" spans="1:10">
      <c r="A686" s="209" t="s">
        <v>1572</v>
      </c>
      <c r="B686" s="209"/>
      <c r="C686" s="209"/>
      <c r="D686" s="209"/>
      <c r="E686" s="210">
        <f>E685*1.3</f>
        <v>10.640701659451658</v>
      </c>
    </row>
    <row r="690" spans="1:11">
      <c r="A690" s="7" t="s">
        <v>2609</v>
      </c>
    </row>
    <row r="691" spans="1:11">
      <c r="A691" s="1" t="s">
        <v>1556</v>
      </c>
      <c r="B691" s="1">
        <f>K693</f>
        <v>180</v>
      </c>
      <c r="C691" s="1">
        <v>1</v>
      </c>
      <c r="D691" s="1">
        <v>8</v>
      </c>
      <c r="E691" s="3">
        <f>(B691*C691)/'Cost of fabrics'!$C$4*D691</f>
        <v>0.95238095238095233</v>
      </c>
    </row>
    <row r="692" spans="1:11">
      <c r="A692" s="1" t="s">
        <v>1557</v>
      </c>
      <c r="B692" s="1">
        <f>H694*I694*J694</f>
        <v>148.75</v>
      </c>
      <c r="C692" s="1">
        <v>1</v>
      </c>
      <c r="D692" s="1">
        <v>8</v>
      </c>
      <c r="E692" s="3">
        <f>(B692*C692)/'Cost of fabrics'!$C$4*D692</f>
        <v>0.78703703703703709</v>
      </c>
      <c r="H692" s="1" t="s">
        <v>1595</v>
      </c>
      <c r="I692" s="1" t="s">
        <v>1594</v>
      </c>
    </row>
    <row r="693" spans="1:11">
      <c r="A693" s="1" t="s">
        <v>1559</v>
      </c>
      <c r="B693" s="1">
        <f>K695+K696</f>
        <v>230</v>
      </c>
      <c r="C693" s="1">
        <v>1</v>
      </c>
      <c r="D693" s="1">
        <v>8</v>
      </c>
      <c r="E693" s="3">
        <f>(B693*C693)/'Cost of fabrics'!$C$4*D693</f>
        <v>1.216931216931217</v>
      </c>
      <c r="G693" s="1" t="s">
        <v>2612</v>
      </c>
      <c r="H693" s="27">
        <v>20</v>
      </c>
      <c r="I693" s="27">
        <v>9</v>
      </c>
      <c r="J693" s="27">
        <v>1</v>
      </c>
      <c r="K693" s="1">
        <f>H693*I693*J693</f>
        <v>180</v>
      </c>
    </row>
    <row r="694" spans="1:11">
      <c r="A694" s="1" t="s">
        <v>2272</v>
      </c>
      <c r="B694" s="1">
        <f>B691+B693</f>
        <v>410</v>
      </c>
      <c r="C694" s="1">
        <v>1</v>
      </c>
      <c r="D694" s="1">
        <v>2</v>
      </c>
      <c r="E694" s="3">
        <f>(B694*C694)/'Cost of fabrics'!$C$26*D694</f>
        <v>1.3204508856682771</v>
      </c>
      <c r="G694" s="1" t="s">
        <v>1557</v>
      </c>
      <c r="H694" s="1">
        <v>17</v>
      </c>
      <c r="I694" s="1">
        <v>8.75</v>
      </c>
      <c r="J694" s="1">
        <v>1</v>
      </c>
      <c r="K694" s="1">
        <f>H694*I694*J694</f>
        <v>148.75</v>
      </c>
    </row>
    <row r="695" spans="1:11">
      <c r="A695" s="1" t="s">
        <v>1616</v>
      </c>
      <c r="C695" s="1">
        <v>1</v>
      </c>
      <c r="D695" s="1">
        <v>8</v>
      </c>
      <c r="E695" s="3">
        <f>(B695*C695)/'Cost of fabrics'!$C$20*D695</f>
        <v>0</v>
      </c>
      <c r="F695" s="206" t="s">
        <v>1669</v>
      </c>
      <c r="G695" s="1" t="s">
        <v>2610</v>
      </c>
      <c r="H695" s="1">
        <v>10</v>
      </c>
      <c r="I695" s="1">
        <v>7</v>
      </c>
      <c r="J695" s="1">
        <v>2</v>
      </c>
      <c r="K695" s="1">
        <f>H695*I695*J695</f>
        <v>140</v>
      </c>
    </row>
    <row r="696" spans="1:11">
      <c r="A696" s="198" t="s">
        <v>555</v>
      </c>
      <c r="B696" s="198"/>
      <c r="C696" s="198"/>
      <c r="D696" s="198"/>
      <c r="E696" s="207">
        <f>SUM(E691:E695)</f>
        <v>4.2768000920174831</v>
      </c>
      <c r="F696" s="208">
        <f>E696*3</f>
        <v>12.830400276052449</v>
      </c>
      <c r="G696" s="1" t="s">
        <v>2611</v>
      </c>
      <c r="H696" s="1">
        <v>9</v>
      </c>
      <c r="I696" s="1">
        <v>5</v>
      </c>
      <c r="J696" s="1">
        <v>2</v>
      </c>
      <c r="K696" s="1">
        <f>H696*I696*J696</f>
        <v>90</v>
      </c>
    </row>
    <row r="697" spans="1:11">
      <c r="A697" s="1" t="s">
        <v>1569</v>
      </c>
      <c r="C697" s="1">
        <v>1</v>
      </c>
      <c r="D697" s="1">
        <v>8</v>
      </c>
      <c r="E697" s="3">
        <f>C697*D697</f>
        <v>8</v>
      </c>
    </row>
    <row r="698" spans="1:11">
      <c r="A698" s="7" t="s">
        <v>1571</v>
      </c>
      <c r="B698" s="7"/>
      <c r="C698" s="7"/>
      <c r="D698" s="7"/>
      <c r="E698" s="10">
        <f>SUM(E696:E697)</f>
        <v>12.276800092017483</v>
      </c>
    </row>
    <row r="699" spans="1:11">
      <c r="A699" s="209" t="s">
        <v>1572</v>
      </c>
      <c r="B699" s="209"/>
      <c r="C699" s="209"/>
      <c r="D699" s="209"/>
      <c r="E699" s="210">
        <f>E698*1.3</f>
        <v>15.959840119622729</v>
      </c>
    </row>
    <row r="703" spans="1:11">
      <c r="A703" s="7" t="s">
        <v>2613</v>
      </c>
      <c r="H703" s="1" t="s">
        <v>1595</v>
      </c>
      <c r="I703" s="1" t="s">
        <v>1594</v>
      </c>
    </row>
    <row r="704" spans="1:11">
      <c r="A704" s="1" t="s">
        <v>1556</v>
      </c>
      <c r="B704" s="1">
        <f>L708</f>
        <v>643</v>
      </c>
      <c r="C704" s="1">
        <v>1</v>
      </c>
      <c r="D704" s="1">
        <v>8</v>
      </c>
      <c r="E704" s="3">
        <f>(B704*C704)/'Cost of fabrics'!$C$4*D704</f>
        <v>3.4021164021164023</v>
      </c>
      <c r="G704" s="1" t="s">
        <v>2612</v>
      </c>
      <c r="H704" s="27">
        <v>9</v>
      </c>
      <c r="I704" s="27">
        <v>13</v>
      </c>
      <c r="J704" s="27">
        <v>2</v>
      </c>
      <c r="K704" s="1">
        <f>H704*I704*J704</f>
        <v>234</v>
      </c>
    </row>
    <row r="705" spans="1:12">
      <c r="A705" s="1" t="s">
        <v>1557</v>
      </c>
      <c r="B705" s="1">
        <f>L714</f>
        <v>686</v>
      </c>
      <c r="C705" s="1">
        <v>1</v>
      </c>
      <c r="D705" s="1">
        <v>6</v>
      </c>
      <c r="E705" s="3">
        <f>(B705*C705)/'Cost of fabrics'!$C$4*D705</f>
        <v>2.7222222222222223</v>
      </c>
      <c r="G705" s="1" t="s">
        <v>2589</v>
      </c>
      <c r="H705" s="1">
        <v>26</v>
      </c>
      <c r="I705" s="1">
        <v>3</v>
      </c>
      <c r="J705" s="1">
        <v>2</v>
      </c>
      <c r="K705" s="1">
        <f t="shared" ref="K705:K707" si="22">H705*I705*J705</f>
        <v>156</v>
      </c>
    </row>
    <row r="706" spans="1:12">
      <c r="A706" s="1" t="s">
        <v>2619</v>
      </c>
      <c r="B706" s="1">
        <v>3</v>
      </c>
      <c r="C706" s="1">
        <v>1</v>
      </c>
      <c r="E706" s="3">
        <f>SUM(K715:K717)</f>
        <v>3</v>
      </c>
      <c r="G706" s="1" t="s">
        <v>2615</v>
      </c>
      <c r="H706" s="1">
        <v>29</v>
      </c>
      <c r="I706" s="1">
        <v>5</v>
      </c>
      <c r="J706" s="1">
        <v>1</v>
      </c>
      <c r="K706" s="1">
        <f t="shared" si="22"/>
        <v>145</v>
      </c>
    </row>
    <row r="707" spans="1:12">
      <c r="A707" s="1" t="s">
        <v>1566</v>
      </c>
      <c r="B707" s="1">
        <f>K704+K706</f>
        <v>379</v>
      </c>
      <c r="C707" s="1">
        <v>1</v>
      </c>
      <c r="D707" s="1">
        <v>4</v>
      </c>
      <c r="E707" s="3">
        <f>(B707*C707)/'Cost of fabrics'!$C$20*D707</f>
        <v>1.8047619047619048</v>
      </c>
      <c r="G707" s="1" t="s">
        <v>2616</v>
      </c>
      <c r="H707" s="1">
        <v>6</v>
      </c>
      <c r="I707" s="1">
        <v>13</v>
      </c>
      <c r="J707" s="1">
        <v>1</v>
      </c>
      <c r="K707" s="1">
        <f t="shared" si="22"/>
        <v>78</v>
      </c>
    </row>
    <row r="708" spans="1:12">
      <c r="A708" s="1" t="s">
        <v>1615</v>
      </c>
      <c r="B708" s="1">
        <f>K705+SUM(K707:K714)</f>
        <v>950</v>
      </c>
      <c r="C708" s="1">
        <v>1</v>
      </c>
      <c r="D708" s="1">
        <v>6.5</v>
      </c>
      <c r="E708" s="3">
        <f>(B708*C708)/'Cost of fabrics'!$C$23*D708</f>
        <v>0.77967171717171713</v>
      </c>
      <c r="F708" s="206" t="s">
        <v>1669</v>
      </c>
      <c r="G708" s="1" t="s">
        <v>2625</v>
      </c>
      <c r="H708" s="1">
        <v>10</v>
      </c>
      <c r="I708" s="1">
        <v>3</v>
      </c>
      <c r="J708" s="1">
        <v>1</v>
      </c>
      <c r="K708" s="1">
        <f t="shared" ref="K708:K714" si="23">H708*I708*J708</f>
        <v>30</v>
      </c>
      <c r="L708" s="1">
        <f>SUM(K704:K708)</f>
        <v>643</v>
      </c>
    </row>
    <row r="709" spans="1:12">
      <c r="A709" s="198" t="s">
        <v>555</v>
      </c>
      <c r="B709" s="198"/>
      <c r="C709" s="198"/>
      <c r="D709" s="198"/>
      <c r="E709" s="207">
        <f>SUM(E704:E708)</f>
        <v>11.708772246272247</v>
      </c>
      <c r="F709" s="208">
        <f>E709*3</f>
        <v>35.12631673881674</v>
      </c>
      <c r="G709" s="1" t="s">
        <v>2622</v>
      </c>
      <c r="H709" s="1">
        <v>10.5</v>
      </c>
      <c r="I709" s="1">
        <v>2</v>
      </c>
      <c r="J709" s="1">
        <v>4</v>
      </c>
      <c r="K709" s="1">
        <f t="shared" si="23"/>
        <v>84</v>
      </c>
    </row>
    <row r="710" spans="1:12">
      <c r="A710" s="1" t="s">
        <v>1569</v>
      </c>
      <c r="C710" s="1">
        <v>1.5</v>
      </c>
      <c r="D710" s="1">
        <v>8</v>
      </c>
      <c r="E710" s="3">
        <f>C710*D710</f>
        <v>12</v>
      </c>
      <c r="G710" s="1" t="s">
        <v>2623</v>
      </c>
      <c r="H710" s="1">
        <v>15</v>
      </c>
      <c r="I710" s="1">
        <v>9</v>
      </c>
      <c r="J710" s="1">
        <v>1</v>
      </c>
      <c r="K710" s="1">
        <f t="shared" si="23"/>
        <v>135</v>
      </c>
    </row>
    <row r="711" spans="1:12">
      <c r="A711" s="7" t="s">
        <v>1571</v>
      </c>
      <c r="B711" s="7"/>
      <c r="C711" s="7"/>
      <c r="D711" s="7"/>
      <c r="E711" s="10">
        <f>SUM(E709:E710)</f>
        <v>23.708772246272247</v>
      </c>
      <c r="G711" s="1" t="s">
        <v>2614</v>
      </c>
      <c r="H711" s="1">
        <v>6</v>
      </c>
      <c r="I711" s="1">
        <v>13</v>
      </c>
      <c r="J711" s="1">
        <v>1</v>
      </c>
      <c r="K711" s="1">
        <f t="shared" si="23"/>
        <v>78</v>
      </c>
    </row>
    <row r="712" spans="1:12">
      <c r="A712" s="209" t="s">
        <v>1572</v>
      </c>
      <c r="B712" s="209"/>
      <c r="C712" s="209"/>
      <c r="D712" s="209"/>
      <c r="E712" s="210">
        <f>E711*1.3</f>
        <v>30.821403920153923</v>
      </c>
      <c r="G712" s="1" t="s">
        <v>1557</v>
      </c>
      <c r="H712" s="1">
        <v>9</v>
      </c>
      <c r="I712" s="1">
        <v>13</v>
      </c>
      <c r="J712" s="1">
        <v>2</v>
      </c>
      <c r="K712" s="1">
        <f t="shared" si="23"/>
        <v>234</v>
      </c>
    </row>
    <row r="713" spans="1:12">
      <c r="G713" s="1" t="s">
        <v>2617</v>
      </c>
      <c r="H713" s="1">
        <v>4</v>
      </c>
      <c r="I713" s="1">
        <v>2.5</v>
      </c>
      <c r="J713" s="1">
        <v>1</v>
      </c>
      <c r="K713" s="1">
        <f t="shared" si="23"/>
        <v>10</v>
      </c>
    </row>
    <row r="714" spans="1:12">
      <c r="G714" s="1" t="s">
        <v>2618</v>
      </c>
      <c r="H714" s="1">
        <v>29</v>
      </c>
      <c r="I714" s="1">
        <v>5</v>
      </c>
      <c r="J714" s="1">
        <v>1</v>
      </c>
      <c r="K714" s="1">
        <f t="shared" si="23"/>
        <v>145</v>
      </c>
      <c r="L714" s="1">
        <f>SUM(K709:K714)</f>
        <v>686</v>
      </c>
    </row>
    <row r="715" spans="1:12">
      <c r="G715" s="1" t="s">
        <v>2620</v>
      </c>
      <c r="H715" s="1">
        <v>12</v>
      </c>
      <c r="K715" s="1">
        <v>1</v>
      </c>
    </row>
    <row r="716" spans="1:12">
      <c r="G716" s="1" t="s">
        <v>2621</v>
      </c>
      <c r="H716" s="1">
        <v>9</v>
      </c>
      <c r="K716" s="1">
        <v>1</v>
      </c>
    </row>
    <row r="717" spans="1:12">
      <c r="G717" s="1" t="s">
        <v>2624</v>
      </c>
      <c r="K717" s="1">
        <v>1</v>
      </c>
    </row>
    <row r="719" spans="1:12">
      <c r="A719" s="7" t="s">
        <v>2626</v>
      </c>
    </row>
    <row r="720" spans="1:12">
      <c r="A720" s="1" t="s">
        <v>1556</v>
      </c>
      <c r="B720" s="1">
        <f>G722*J722+K722</f>
        <v>768</v>
      </c>
      <c r="C720" s="1">
        <v>1</v>
      </c>
      <c r="D720" s="1">
        <v>8</v>
      </c>
      <c r="E720" s="3">
        <f>(B720*C720)/'Cost of fabrics'!$C$4*D720</f>
        <v>4.0634920634920633</v>
      </c>
    </row>
    <row r="721" spans="1:11">
      <c r="A721" s="1" t="s">
        <v>1557</v>
      </c>
      <c r="B721" s="1">
        <f>B720</f>
        <v>768</v>
      </c>
      <c r="C721" s="1">
        <v>1</v>
      </c>
      <c r="D721" s="1">
        <v>8</v>
      </c>
      <c r="E721" s="3">
        <f>(B721*C721)/'Cost of fabrics'!$C$4*D721</f>
        <v>4.0634920634920633</v>
      </c>
      <c r="G721" s="1" t="s">
        <v>1595</v>
      </c>
      <c r="H721" s="1" t="s">
        <v>1594</v>
      </c>
      <c r="I721" s="1" t="s">
        <v>1646</v>
      </c>
      <c r="J721" s="1" t="s">
        <v>1643</v>
      </c>
      <c r="K721" s="400" t="s">
        <v>2632</v>
      </c>
    </row>
    <row r="722" spans="1:11">
      <c r="A722" s="1" t="s">
        <v>1566</v>
      </c>
      <c r="B722" s="1">
        <f>B720</f>
        <v>768</v>
      </c>
      <c r="C722" s="1">
        <v>1</v>
      </c>
      <c r="D722" s="1">
        <v>4</v>
      </c>
      <c r="E722" s="3">
        <f>(B722*C722)/'Cost of fabrics'!$C$20*D722</f>
        <v>3.657142857142857</v>
      </c>
      <c r="G722" s="1">
        <v>18</v>
      </c>
      <c r="H722" s="1">
        <v>8</v>
      </c>
      <c r="I722" s="1">
        <v>10</v>
      </c>
      <c r="J722" s="1">
        <f>H722*2+I722*2</f>
        <v>36</v>
      </c>
      <c r="K722" s="1">
        <f>H723*I723</f>
        <v>120</v>
      </c>
    </row>
    <row r="723" spans="1:11">
      <c r="A723" s="1" t="s">
        <v>1616</v>
      </c>
      <c r="B723" s="1">
        <f>J722*2.5</f>
        <v>90</v>
      </c>
      <c r="C723" s="1">
        <v>1</v>
      </c>
      <c r="D723" s="1">
        <v>8</v>
      </c>
      <c r="E723" s="3">
        <f>(B723*C723)/'Cost of fabrics'!$C$4*D723</f>
        <v>0.47619047619047616</v>
      </c>
      <c r="G723" s="1" t="s">
        <v>1911</v>
      </c>
      <c r="H723" s="1">
        <f>H722+2</f>
        <v>10</v>
      </c>
      <c r="I723" s="1">
        <f>I722+2</f>
        <v>12</v>
      </c>
    </row>
    <row r="724" spans="1:11">
      <c r="A724" s="198" t="s">
        <v>555</v>
      </c>
      <c r="B724" s="198"/>
      <c r="C724" s="198"/>
      <c r="D724" s="198"/>
      <c r="E724" s="207">
        <f>SUM(E720:E723)</f>
        <v>12.260317460317459</v>
      </c>
      <c r="G724" s="400"/>
    </row>
    <row r="725" spans="1:11">
      <c r="A725" s="1" t="s">
        <v>1569</v>
      </c>
      <c r="C725" s="1">
        <v>2</v>
      </c>
      <c r="D725" s="1">
        <v>8</v>
      </c>
      <c r="E725" s="3">
        <f>C725*D725</f>
        <v>16</v>
      </c>
    </row>
    <row r="726" spans="1:11">
      <c r="A726" s="7" t="s">
        <v>1571</v>
      </c>
      <c r="B726" s="7"/>
      <c r="C726" s="7"/>
      <c r="D726" s="7"/>
      <c r="E726" s="10">
        <f>SUM(E724:E725)</f>
        <v>28.260317460317459</v>
      </c>
      <c r="F726" s="1">
        <v>38</v>
      </c>
    </row>
    <row r="727" spans="1:11">
      <c r="A727" s="209" t="s">
        <v>1572</v>
      </c>
      <c r="B727" s="209"/>
      <c r="C727" s="209"/>
      <c r="D727" s="209"/>
      <c r="E727" s="210">
        <f>E726*1.3</f>
        <v>36.738412698412695</v>
      </c>
    </row>
    <row r="730" spans="1:11">
      <c r="A730" s="7" t="s">
        <v>2627</v>
      </c>
    </row>
    <row r="731" spans="1:11">
      <c r="A731" s="1" t="s">
        <v>1556</v>
      </c>
      <c r="B731" s="1">
        <f>G733*J733+K733</f>
        <v>904</v>
      </c>
      <c r="C731" s="1">
        <v>1</v>
      </c>
      <c r="D731" s="1">
        <v>8</v>
      </c>
      <c r="E731" s="3">
        <f>(B731*C731)/'Cost of fabrics'!$C$4*D731</f>
        <v>4.7830687830687832</v>
      </c>
    </row>
    <row r="732" spans="1:11">
      <c r="A732" s="1" t="s">
        <v>1557</v>
      </c>
      <c r="B732" s="1">
        <f>B731</f>
        <v>904</v>
      </c>
      <c r="C732" s="1">
        <v>1</v>
      </c>
      <c r="D732" s="1">
        <v>8</v>
      </c>
      <c r="E732" s="3">
        <f>(B732*C732)/'Cost of fabrics'!$C$4*D732</f>
        <v>4.7830687830687832</v>
      </c>
      <c r="G732" s="1" t="s">
        <v>1595</v>
      </c>
      <c r="H732" s="1" t="s">
        <v>1594</v>
      </c>
      <c r="I732" s="1" t="s">
        <v>1646</v>
      </c>
      <c r="J732" s="1" t="s">
        <v>1643</v>
      </c>
      <c r="K732" s="400" t="s">
        <v>2632</v>
      </c>
    </row>
    <row r="733" spans="1:11">
      <c r="A733" s="1" t="s">
        <v>1566</v>
      </c>
      <c r="B733" s="1">
        <f>B731</f>
        <v>904</v>
      </c>
      <c r="C733" s="1">
        <v>1</v>
      </c>
      <c r="D733" s="1">
        <v>4</v>
      </c>
      <c r="E733" s="3">
        <f>(B733*C733)/'Cost of fabrics'!$C$20*D733</f>
        <v>4.3047619047619046</v>
      </c>
      <c r="G733" s="1">
        <v>19</v>
      </c>
      <c r="H733" s="1">
        <v>10</v>
      </c>
      <c r="I733" s="1">
        <v>10</v>
      </c>
      <c r="J733" s="1">
        <f>H733*2+I733*2</f>
        <v>40</v>
      </c>
      <c r="K733" s="1">
        <f>H734*I734</f>
        <v>144</v>
      </c>
    </row>
    <row r="734" spans="1:11">
      <c r="A734" s="1" t="s">
        <v>1616</v>
      </c>
      <c r="B734" s="1">
        <f>J733*2.5</f>
        <v>100</v>
      </c>
      <c r="C734" s="1">
        <v>1</v>
      </c>
      <c r="D734" s="1">
        <v>8</v>
      </c>
      <c r="E734" s="3">
        <f>(B734*C734)/'Cost of fabrics'!$C$4*D734</f>
        <v>0.52910052910052907</v>
      </c>
      <c r="G734" s="1" t="s">
        <v>1911</v>
      </c>
      <c r="H734" s="1">
        <f>H733+2</f>
        <v>12</v>
      </c>
      <c r="I734" s="1">
        <f>I733+2</f>
        <v>12</v>
      </c>
    </row>
    <row r="735" spans="1:11">
      <c r="A735" s="198" t="s">
        <v>555</v>
      </c>
      <c r="B735" s="198"/>
      <c r="C735" s="198"/>
      <c r="D735" s="198"/>
      <c r="E735" s="207">
        <f>SUM(E731:E734)</f>
        <v>14.399999999999999</v>
      </c>
      <c r="G735" s="400"/>
    </row>
    <row r="736" spans="1:11">
      <c r="A736" s="1" t="s">
        <v>1569</v>
      </c>
      <c r="C736" s="1">
        <v>2</v>
      </c>
      <c r="D736" s="1">
        <v>8</v>
      </c>
      <c r="E736" s="3">
        <f>C736*D736</f>
        <v>16</v>
      </c>
    </row>
    <row r="737" spans="1:11">
      <c r="A737" s="7" t="s">
        <v>1571</v>
      </c>
      <c r="B737" s="7"/>
      <c r="C737" s="7"/>
      <c r="D737" s="7"/>
      <c r="E737" s="10">
        <f>SUM(E735:E736)</f>
        <v>30.4</v>
      </c>
      <c r="F737" s="1">
        <v>40</v>
      </c>
    </row>
    <row r="738" spans="1:11">
      <c r="A738" s="209" t="s">
        <v>1572</v>
      </c>
      <c r="B738" s="209"/>
      <c r="C738" s="209"/>
      <c r="D738" s="209"/>
      <c r="E738" s="210">
        <f>E737*1.3</f>
        <v>39.519999999999996</v>
      </c>
    </row>
    <row r="742" spans="1:11">
      <c r="A742" s="7" t="s">
        <v>2628</v>
      </c>
    </row>
    <row r="743" spans="1:11">
      <c r="A743" s="1" t="s">
        <v>1556</v>
      </c>
      <c r="B743" s="1">
        <f>G745*J745+K745</f>
        <v>870</v>
      </c>
      <c r="C743" s="1">
        <v>1</v>
      </c>
      <c r="D743" s="1">
        <v>8</v>
      </c>
      <c r="E743" s="3">
        <f>(B743*C743)/'Cost of fabrics'!$C$4*D743</f>
        <v>4.6031746031746028</v>
      </c>
    </row>
    <row r="744" spans="1:11">
      <c r="A744" s="1" t="s">
        <v>1557</v>
      </c>
      <c r="B744" s="1">
        <f>B743</f>
        <v>870</v>
      </c>
      <c r="C744" s="1">
        <v>1</v>
      </c>
      <c r="D744" s="1">
        <v>8</v>
      </c>
      <c r="E744" s="3">
        <f>(B744*C744)/'Cost of fabrics'!$C$4*D744</f>
        <v>4.6031746031746028</v>
      </c>
      <c r="G744" s="1" t="s">
        <v>1595</v>
      </c>
      <c r="H744" s="1" t="s">
        <v>1594</v>
      </c>
      <c r="I744" s="1" t="s">
        <v>1646</v>
      </c>
      <c r="J744" s="1" t="s">
        <v>1643</v>
      </c>
      <c r="K744" s="400" t="s">
        <v>2632</v>
      </c>
    </row>
    <row r="745" spans="1:11">
      <c r="A745" s="1" t="s">
        <v>1566</v>
      </c>
      <c r="B745" s="1">
        <f>B743</f>
        <v>870</v>
      </c>
      <c r="C745" s="1">
        <v>1</v>
      </c>
      <c r="D745" s="1">
        <v>4</v>
      </c>
      <c r="E745" s="3">
        <f>(B745*C745)/'Cost of fabrics'!$C$20*D745</f>
        <v>4.1428571428571432</v>
      </c>
      <c r="G745" s="1">
        <v>17</v>
      </c>
      <c r="H745" s="1">
        <v>10</v>
      </c>
      <c r="I745" s="1">
        <v>11</v>
      </c>
      <c r="J745" s="1">
        <f>H745*2+I745*2</f>
        <v>42</v>
      </c>
      <c r="K745" s="1">
        <f>H746*I746</f>
        <v>156</v>
      </c>
    </row>
    <row r="746" spans="1:11">
      <c r="A746" s="1" t="s">
        <v>1616</v>
      </c>
      <c r="B746" s="1">
        <f>J745*2.5</f>
        <v>105</v>
      </c>
      <c r="C746" s="1">
        <v>1</v>
      </c>
      <c r="D746" s="1">
        <v>8</v>
      </c>
      <c r="E746" s="3">
        <f>(B746*C746)/'Cost of fabrics'!$C$4*D746</f>
        <v>0.55555555555555558</v>
      </c>
      <c r="G746" s="1" t="s">
        <v>1911</v>
      </c>
      <c r="H746" s="1">
        <f>H745+2</f>
        <v>12</v>
      </c>
      <c r="I746" s="1">
        <f>I745+2</f>
        <v>13</v>
      </c>
    </row>
    <row r="747" spans="1:11">
      <c r="A747" s="198" t="s">
        <v>555</v>
      </c>
      <c r="B747" s="198"/>
      <c r="C747" s="198"/>
      <c r="D747" s="198"/>
      <c r="E747" s="207">
        <f>SUM(E743:E746)</f>
        <v>13.904761904761903</v>
      </c>
      <c r="G747" s="400"/>
    </row>
    <row r="748" spans="1:11">
      <c r="A748" s="1" t="s">
        <v>1569</v>
      </c>
      <c r="C748" s="1">
        <v>2</v>
      </c>
      <c r="D748" s="1">
        <v>8</v>
      </c>
      <c r="E748" s="3">
        <f>C748*D748</f>
        <v>16</v>
      </c>
    </row>
    <row r="749" spans="1:11">
      <c r="A749" s="7" t="s">
        <v>1571</v>
      </c>
      <c r="B749" s="7"/>
      <c r="C749" s="7"/>
      <c r="D749" s="7"/>
      <c r="E749" s="10">
        <f>SUM(E747:E748)</f>
        <v>29.904761904761905</v>
      </c>
      <c r="F749" s="1">
        <v>40</v>
      </c>
    </row>
    <row r="750" spans="1:11">
      <c r="A750" s="209" t="s">
        <v>1572</v>
      </c>
      <c r="B750" s="209"/>
      <c r="C750" s="209"/>
      <c r="D750" s="209"/>
      <c r="E750" s="210">
        <f>E749*1.3</f>
        <v>38.87619047619048</v>
      </c>
    </row>
    <row r="753" spans="1:12">
      <c r="A753" s="7" t="s">
        <v>2637</v>
      </c>
    </row>
    <row r="754" spans="1:12">
      <c r="A754" s="1" t="s">
        <v>1556</v>
      </c>
      <c r="B754" s="1">
        <f>J756*H756+K756</f>
        <v>1471.7142857142858</v>
      </c>
      <c r="C754" s="1">
        <v>1</v>
      </c>
      <c r="D754" s="1">
        <v>3</v>
      </c>
      <c r="E754" s="3">
        <f>(B754*C754)/'Cost of fabrics'!$C$9*D754</f>
        <v>2.0964590964590966</v>
      </c>
    </row>
    <row r="755" spans="1:12">
      <c r="A755" s="1" t="s">
        <v>1557</v>
      </c>
      <c r="B755" s="1">
        <f>B754</f>
        <v>1471.7142857142858</v>
      </c>
      <c r="C755" s="1">
        <v>0</v>
      </c>
      <c r="D755" s="1">
        <v>6</v>
      </c>
      <c r="E755" s="3">
        <f>(B755*C755)/'Cost of fabrics'!$C$4*D755</f>
        <v>0</v>
      </c>
      <c r="G755" s="1" t="s">
        <v>1595</v>
      </c>
      <c r="H755" s="1" t="s">
        <v>1594</v>
      </c>
      <c r="I755" s="1" t="s">
        <v>1646</v>
      </c>
      <c r="J755" s="1" t="s">
        <v>1643</v>
      </c>
      <c r="K755" s="1" t="s">
        <v>1648</v>
      </c>
    </row>
    <row r="756" spans="1:12">
      <c r="A756" s="1" t="s">
        <v>1559</v>
      </c>
      <c r="B756" s="1">
        <f>9*H756</f>
        <v>162</v>
      </c>
      <c r="C756" s="1">
        <v>1</v>
      </c>
      <c r="D756" s="1">
        <v>3</v>
      </c>
      <c r="E756" s="3">
        <f>(B756*C756)/'Cost of fabrics'!$C$9*D756</f>
        <v>0.23076923076923078</v>
      </c>
      <c r="F756" s="1" t="s">
        <v>1649</v>
      </c>
      <c r="G756" s="27">
        <v>15</v>
      </c>
      <c r="H756" s="27">
        <v>18</v>
      </c>
      <c r="I756" s="27">
        <v>13</v>
      </c>
      <c r="J756" s="62">
        <f>'Mixer sizes'!J100</f>
        <v>38.428571428571431</v>
      </c>
      <c r="K756" s="62">
        <f>('Mixer sizes'!K100)*2</f>
        <v>780</v>
      </c>
    </row>
    <row r="757" spans="1:12">
      <c r="A757" s="1" t="s">
        <v>1566</v>
      </c>
      <c r="B757" s="1">
        <f>B754+B756</f>
        <v>1633.7142857142858</v>
      </c>
      <c r="C757" s="1">
        <v>0</v>
      </c>
      <c r="D757" s="1">
        <v>4</v>
      </c>
      <c r="E757" s="3">
        <f>(B757*C757)/'Cost of fabrics'!$C$20*D757</f>
        <v>0</v>
      </c>
      <c r="F757" s="1" t="s">
        <v>2573</v>
      </c>
      <c r="K757" s="60"/>
    </row>
    <row r="758" spans="1:12">
      <c r="A758" s="1" t="s">
        <v>1616</v>
      </c>
      <c r="B758" s="1">
        <f>H760</f>
        <v>256.85714285714289</v>
      </c>
      <c r="C758" s="1">
        <v>1</v>
      </c>
      <c r="D758" s="1">
        <v>6</v>
      </c>
      <c r="E758" s="3">
        <f>(B758*C758)/'Cost of fabrics'!$C$4*D758</f>
        <v>1.0192743764172336</v>
      </c>
      <c r="F758" s="206" t="s">
        <v>1669</v>
      </c>
      <c r="G758" s="1" t="s">
        <v>2317</v>
      </c>
      <c r="H758" s="1">
        <f>(H756+(H756+I756)*2)*2.25</f>
        <v>180</v>
      </c>
    </row>
    <row r="759" spans="1:12">
      <c r="A759" s="198" t="s">
        <v>555</v>
      </c>
      <c r="B759" s="198"/>
      <c r="C759" s="198"/>
      <c r="D759" s="198"/>
      <c r="E759" s="207">
        <f>SUM(E754:E758)</f>
        <v>3.346502703645561</v>
      </c>
      <c r="F759" s="208">
        <f>E759*3</f>
        <v>10.039508110936683</v>
      </c>
      <c r="G759" s="1" t="s">
        <v>2638</v>
      </c>
      <c r="H759" s="60">
        <f>J756*2</f>
        <v>76.857142857142861</v>
      </c>
    </row>
    <row r="760" spans="1:12">
      <c r="A760" s="1" t="s">
        <v>1569</v>
      </c>
      <c r="C760" s="1">
        <v>2</v>
      </c>
      <c r="D760" s="1">
        <v>8</v>
      </c>
      <c r="E760" s="3">
        <f>C760*D760</f>
        <v>16</v>
      </c>
      <c r="H760" s="60">
        <f>SUM(H758:H759)</f>
        <v>256.85714285714289</v>
      </c>
    </row>
    <row r="761" spans="1:12">
      <c r="A761" s="7" t="s">
        <v>1571</v>
      </c>
      <c r="B761" s="7"/>
      <c r="C761" s="7"/>
      <c r="D761" s="7"/>
      <c r="E761" s="10">
        <f>SUM(E759:E760)</f>
        <v>19.346502703645562</v>
      </c>
      <c r="F761" s="1">
        <v>35</v>
      </c>
    </row>
    <row r="762" spans="1:12">
      <c r="A762" s="209" t="s">
        <v>1572</v>
      </c>
      <c r="B762" s="209"/>
      <c r="C762" s="209"/>
      <c r="D762" s="209"/>
      <c r="E762" s="210">
        <f>E761*1.5</f>
        <v>29.019754055468344</v>
      </c>
    </row>
    <row r="765" spans="1:12">
      <c r="A765" s="7" t="s">
        <v>2788</v>
      </c>
    </row>
    <row r="766" spans="1:12">
      <c r="A766" s="1" t="s">
        <v>1556</v>
      </c>
      <c r="B766" s="1">
        <f>K768*I768+L768</f>
        <v>523.28571428571422</v>
      </c>
      <c r="C766" s="1">
        <v>1</v>
      </c>
      <c r="D766" s="1">
        <v>3</v>
      </c>
      <c r="E766" s="3">
        <f>(B766*C766)/'Cost of fabrics'!$C$9*D766</f>
        <v>0.74542124542124533</v>
      </c>
    </row>
    <row r="767" spans="1:12">
      <c r="A767" s="1" t="s">
        <v>1557</v>
      </c>
      <c r="B767" s="1">
        <f>B766</f>
        <v>523.28571428571422</v>
      </c>
      <c r="C767" s="1">
        <v>0</v>
      </c>
      <c r="D767" s="1">
        <v>6</v>
      </c>
      <c r="E767" s="3">
        <f>(B767*C767)/'Cost of fabrics'!$C$4*D767</f>
        <v>0</v>
      </c>
      <c r="H767" s="1" t="s">
        <v>1595</v>
      </c>
      <c r="I767" s="1" t="s">
        <v>1594</v>
      </c>
      <c r="J767" s="1" t="s">
        <v>1646</v>
      </c>
      <c r="K767" s="1" t="s">
        <v>1643</v>
      </c>
      <c r="L767" s="1" t="s">
        <v>1648</v>
      </c>
    </row>
    <row r="768" spans="1:12">
      <c r="A768" s="1" t="s">
        <v>1559</v>
      </c>
      <c r="B768" s="1">
        <f>8*I768</f>
        <v>72</v>
      </c>
      <c r="C768" s="1">
        <v>1</v>
      </c>
      <c r="D768" s="1">
        <v>3</v>
      </c>
      <c r="E768" s="3">
        <f>(B768*C768)/'Cost of fabrics'!$C$9*D768</f>
        <v>0.10256410256410257</v>
      </c>
      <c r="G768" s="1" t="s">
        <v>2791</v>
      </c>
      <c r="H768" s="27">
        <v>13</v>
      </c>
      <c r="I768" s="27">
        <v>9</v>
      </c>
      <c r="J768" s="27">
        <v>9</v>
      </c>
      <c r="K768" s="62">
        <f>'Mixer sizes'!J103</f>
        <v>32.142857142857139</v>
      </c>
      <c r="L768" s="27">
        <f>'Mixer sizes'!K103</f>
        <v>234</v>
      </c>
    </row>
    <row r="769" spans="1:13">
      <c r="A769" s="1" t="s">
        <v>1566</v>
      </c>
      <c r="B769" s="1">
        <f>B766+B768</f>
        <v>595.28571428571422</v>
      </c>
      <c r="C769" s="1">
        <v>0</v>
      </c>
      <c r="D769" s="1">
        <v>4</v>
      </c>
      <c r="E769" s="3">
        <f>(B769*C769)/'Cost of fabrics'!$C$20*D769</f>
        <v>0</v>
      </c>
      <c r="G769" s="1" t="s">
        <v>3567</v>
      </c>
      <c r="H769" s="1">
        <v>14</v>
      </c>
      <c r="I769" s="1">
        <v>14</v>
      </c>
      <c r="J769" s="1">
        <v>9</v>
      </c>
      <c r="K769" s="1">
        <v>32</v>
      </c>
      <c r="L769" s="60">
        <f>'Mixer sizes'!K4</f>
        <v>252</v>
      </c>
    </row>
    <row r="770" spans="1:13">
      <c r="A770" s="1" t="s">
        <v>1616</v>
      </c>
      <c r="B770" s="1">
        <f>I773</f>
        <v>100.28571428571428</v>
      </c>
      <c r="C770" s="1">
        <v>1</v>
      </c>
      <c r="D770" s="1">
        <v>2</v>
      </c>
      <c r="E770" s="3">
        <f>B770*M773/L773</f>
        <v>0.51428571428571423</v>
      </c>
    </row>
    <row r="771" spans="1:13">
      <c r="A771" s="198" t="s">
        <v>555</v>
      </c>
      <c r="B771" s="198"/>
      <c r="C771" s="198"/>
      <c r="D771" s="198"/>
      <c r="E771" s="207">
        <f>SUM(E766:E770)</f>
        <v>1.3622710622710621</v>
      </c>
      <c r="H771" s="1" t="s">
        <v>2366</v>
      </c>
      <c r="I771" s="60">
        <f>(I768+J768)*2</f>
        <v>36</v>
      </c>
    </row>
    <row r="772" spans="1:13">
      <c r="A772" s="1" t="s">
        <v>1569</v>
      </c>
      <c r="C772" s="1">
        <v>1</v>
      </c>
      <c r="D772" s="1">
        <v>8</v>
      </c>
      <c r="E772" s="3">
        <f>C772*D772</f>
        <v>8</v>
      </c>
      <c r="H772" s="1" t="s">
        <v>2638</v>
      </c>
      <c r="I772" s="60">
        <f>K768*2</f>
        <v>64.285714285714278</v>
      </c>
    </row>
    <row r="773" spans="1:13">
      <c r="A773" s="7" t="s">
        <v>1571</v>
      </c>
      <c r="B773" s="7"/>
      <c r="C773" s="7"/>
      <c r="D773" s="7"/>
      <c r="E773" s="10">
        <f>SUM(E771:E772)</f>
        <v>9.3622710622710628</v>
      </c>
      <c r="F773" s="1">
        <v>35</v>
      </c>
      <c r="I773" s="60">
        <f>SUM(I771:I772)</f>
        <v>100.28571428571428</v>
      </c>
      <c r="K773" s="1" t="s">
        <v>2366</v>
      </c>
      <c r="L773" s="1">
        <f>10*39</f>
        <v>390</v>
      </c>
      <c r="M773" s="1">
        <v>2</v>
      </c>
    </row>
    <row r="774" spans="1:13">
      <c r="A774" s="209" t="s">
        <v>1572</v>
      </c>
      <c r="B774" s="209"/>
      <c r="C774" s="209"/>
      <c r="D774" s="209"/>
      <c r="E774" s="210">
        <f>E773*1.5</f>
        <v>14.043406593406594</v>
      </c>
    </row>
    <row r="777" spans="1:13">
      <c r="A777" s="7" t="s">
        <v>3512</v>
      </c>
    </row>
    <row r="778" spans="1:13">
      <c r="A778" s="1" t="s">
        <v>1556</v>
      </c>
      <c r="B778" s="1">
        <f>K780*I780+L780</f>
        <v>1103.2857142857142</v>
      </c>
      <c r="C778" s="1">
        <v>1</v>
      </c>
      <c r="D778" s="1">
        <v>8</v>
      </c>
      <c r="E778" s="3">
        <f>(B778*C778)/'Cost of fabrics'!$C$4*D778</f>
        <v>5.8374905517762654</v>
      </c>
    </row>
    <row r="779" spans="1:13">
      <c r="A779" s="1" t="s">
        <v>1557</v>
      </c>
      <c r="B779" s="1">
        <f>B778</f>
        <v>1103.2857142857142</v>
      </c>
      <c r="C779" s="1">
        <v>1</v>
      </c>
      <c r="D779" s="1">
        <v>8</v>
      </c>
      <c r="E779" s="3">
        <f>(B779*C779)/'Cost of fabrics'!$C$4*D779</f>
        <v>5.8374905517762654</v>
      </c>
      <c r="H779" s="1" t="s">
        <v>1595</v>
      </c>
      <c r="I779" s="1" t="s">
        <v>1594</v>
      </c>
      <c r="J779" s="1" t="s">
        <v>1646</v>
      </c>
      <c r="K779" s="1" t="s">
        <v>1643</v>
      </c>
      <c r="L779" s="1" t="s">
        <v>1648</v>
      </c>
    </row>
    <row r="780" spans="1:13">
      <c r="A780" s="1" t="s">
        <v>1559</v>
      </c>
      <c r="B780" s="1">
        <f>9*I780</f>
        <v>153</v>
      </c>
      <c r="C780" s="1">
        <v>2</v>
      </c>
      <c r="D780" s="1">
        <v>8</v>
      </c>
      <c r="E780" s="3">
        <f>(B780*C780)/'Cost of fabrics'!$C$4*D780</f>
        <v>1.6190476190476191</v>
      </c>
      <c r="F780" s="1" t="s">
        <v>1649</v>
      </c>
      <c r="H780" s="27">
        <v>16</v>
      </c>
      <c r="I780" s="27">
        <v>17</v>
      </c>
      <c r="J780" s="27">
        <v>13</v>
      </c>
      <c r="K780" s="62">
        <f>'Mixer sizes'!J105</f>
        <v>40.428571428571431</v>
      </c>
      <c r="L780" s="62">
        <f>'Mixer sizes'!K105</f>
        <v>416</v>
      </c>
    </row>
    <row r="781" spans="1:13">
      <c r="A781" s="1" t="s">
        <v>1566</v>
      </c>
      <c r="B781" s="60">
        <f>B778+B780</f>
        <v>1256.2857142857142</v>
      </c>
      <c r="C781" s="1">
        <v>1</v>
      </c>
      <c r="D781" s="1">
        <v>4</v>
      </c>
      <c r="E781" s="3">
        <f>(B781*C781)/'Cost of fabrics'!$C$20*D781</f>
        <v>5.982312925170068</v>
      </c>
      <c r="F781" s="1" t="s">
        <v>2573</v>
      </c>
      <c r="L781" s="60"/>
    </row>
    <row r="782" spans="1:13">
      <c r="A782" s="1" t="s">
        <v>1616</v>
      </c>
      <c r="B782" s="60">
        <f>I784</f>
        <v>173.25</v>
      </c>
      <c r="C782" s="1">
        <v>1</v>
      </c>
      <c r="D782" s="1">
        <v>8</v>
      </c>
      <c r="E782" s="3">
        <f>(B782*C782)/'Cost of fabrics'!$C$4*D782</f>
        <v>0.91666666666666663</v>
      </c>
      <c r="F782" s="206" t="s">
        <v>1669</v>
      </c>
      <c r="H782" s="1" t="s">
        <v>2317</v>
      </c>
      <c r="I782" s="60">
        <f>(I780+(I780+J780)*2)*2.25</f>
        <v>173.25</v>
      </c>
    </row>
    <row r="783" spans="1:13">
      <c r="A783" s="198" t="s">
        <v>555</v>
      </c>
      <c r="B783" s="198"/>
      <c r="C783" s="198"/>
      <c r="D783" s="198"/>
      <c r="E783" s="207">
        <f>SUM(E778:E782)</f>
        <v>20.193008314436884</v>
      </c>
      <c r="F783" s="208">
        <f>E783*3</f>
        <v>60.579024943310657</v>
      </c>
      <c r="H783" s="1" t="s">
        <v>2638</v>
      </c>
      <c r="I783" s="60"/>
    </row>
    <row r="784" spans="1:13">
      <c r="A784" s="1" t="s">
        <v>1569</v>
      </c>
      <c r="C784" s="1">
        <v>2.5</v>
      </c>
      <c r="D784" s="1">
        <v>8</v>
      </c>
      <c r="E784" s="3">
        <f>C784*D784</f>
        <v>20</v>
      </c>
      <c r="I784" s="60">
        <f>SUM(I782:I783)</f>
        <v>173.25</v>
      </c>
    </row>
    <row r="785" spans="1:12">
      <c r="A785" s="7" t="s">
        <v>1571</v>
      </c>
      <c r="B785" s="7"/>
      <c r="C785" s="7"/>
      <c r="D785" s="7"/>
      <c r="E785" s="10">
        <f>SUM(E783:E784)</f>
        <v>40.193008314436881</v>
      </c>
      <c r="F785" s="1">
        <v>35</v>
      </c>
    </row>
    <row r="786" spans="1:12">
      <c r="A786" s="209" t="s">
        <v>1572</v>
      </c>
      <c r="B786" s="209"/>
      <c r="C786" s="209"/>
      <c r="D786" s="209"/>
      <c r="E786" s="210">
        <f>E785*1.4</f>
        <v>56.270211640211627</v>
      </c>
    </row>
    <row r="789" spans="1:12">
      <c r="A789" s="7" t="s">
        <v>3515</v>
      </c>
      <c r="B789" s="1" t="s">
        <v>3658</v>
      </c>
    </row>
    <row r="790" spans="1:12">
      <c r="A790" s="1" t="s">
        <v>1556</v>
      </c>
      <c r="B790" s="1">
        <f>K792*I792+L792</f>
        <v>1043.5714285714284</v>
      </c>
      <c r="C790" s="1">
        <v>1</v>
      </c>
      <c r="D790" s="1">
        <v>6</v>
      </c>
      <c r="E790" s="3">
        <f>(B790*C790)/'Cost of fabrics'!$C$4*D790</f>
        <v>4.1411564625850339</v>
      </c>
    </row>
    <row r="791" spans="1:12">
      <c r="A791" s="1" t="s">
        <v>1557</v>
      </c>
      <c r="B791" s="1">
        <f>B790</f>
        <v>1043.5714285714284</v>
      </c>
      <c r="C791" s="1">
        <v>1</v>
      </c>
      <c r="D791" s="1">
        <v>6</v>
      </c>
      <c r="E791" s="3">
        <f>(B791*C791)/'Cost of fabrics'!$C$4*D791</f>
        <v>4.1411564625850339</v>
      </c>
      <c r="H791" s="1" t="s">
        <v>1595</v>
      </c>
      <c r="I791" s="1" t="s">
        <v>1594</v>
      </c>
      <c r="J791" s="1" t="s">
        <v>1646</v>
      </c>
      <c r="K791" s="1" t="s">
        <v>1643</v>
      </c>
      <c r="L791" s="1" t="s">
        <v>1648</v>
      </c>
    </row>
    <row r="792" spans="1:12">
      <c r="A792" s="1" t="s">
        <v>1559</v>
      </c>
      <c r="B792" s="1">
        <f>9*I792</f>
        <v>135</v>
      </c>
      <c r="C792" s="1">
        <v>2</v>
      </c>
      <c r="D792" s="1">
        <v>6</v>
      </c>
      <c r="E792" s="3">
        <f>(B792*C792)/'Cost of fabrics'!$C$4*D792</f>
        <v>1.0714285714285714</v>
      </c>
      <c r="H792" s="27">
        <v>15</v>
      </c>
      <c r="I792" s="27">
        <v>15</v>
      </c>
      <c r="J792" s="27">
        <v>15</v>
      </c>
      <c r="K792" s="62">
        <f>'Mixer sizes'!J108</f>
        <v>39.571428571428569</v>
      </c>
      <c r="L792" s="62">
        <f>'Mixer sizes'!K108</f>
        <v>450</v>
      </c>
    </row>
    <row r="793" spans="1:12">
      <c r="A793" s="1" t="s">
        <v>1566</v>
      </c>
      <c r="B793" s="60">
        <f>B790+B792</f>
        <v>1178.5714285714284</v>
      </c>
      <c r="C793" s="1">
        <v>1</v>
      </c>
      <c r="D793" s="1">
        <v>4</v>
      </c>
      <c r="E793" s="3">
        <f>(B793*C793)/'Cost of fabrics'!$C$20*D793</f>
        <v>5.612244897959183</v>
      </c>
      <c r="L793" s="60"/>
    </row>
    <row r="794" spans="1:12">
      <c r="A794" s="1" t="s">
        <v>1616</v>
      </c>
      <c r="B794" s="60">
        <f>I796</f>
        <v>168.75</v>
      </c>
      <c r="C794" s="1">
        <v>1</v>
      </c>
      <c r="D794" s="1">
        <v>6</v>
      </c>
      <c r="E794" s="3">
        <f>(B794*C794)/'Cost of fabrics'!$C$4*D794</f>
        <v>0.66964285714285721</v>
      </c>
      <c r="F794" s="206" t="s">
        <v>1669</v>
      </c>
      <c r="H794" s="1" t="s">
        <v>2317</v>
      </c>
      <c r="I794" s="60">
        <f>(I792+(I792+J792)*2)*2.25</f>
        <v>168.75</v>
      </c>
    </row>
    <row r="795" spans="1:12">
      <c r="A795" s="198" t="s">
        <v>555</v>
      </c>
      <c r="B795" s="198"/>
      <c r="C795" s="198"/>
      <c r="D795" s="198"/>
      <c r="E795" s="207">
        <f>SUM(E790:E794)</f>
        <v>15.63562925170068</v>
      </c>
      <c r="F795" s="208">
        <f>E795*3</f>
        <v>46.906887755102041</v>
      </c>
      <c r="H795" s="1" t="s">
        <v>2638</v>
      </c>
      <c r="I795" s="60"/>
    </row>
    <row r="796" spans="1:12">
      <c r="A796" s="1" t="s">
        <v>1569</v>
      </c>
      <c r="C796" s="1">
        <v>2.5</v>
      </c>
      <c r="D796" s="1">
        <v>8</v>
      </c>
      <c r="E796" s="3">
        <f>C796*D796</f>
        <v>20</v>
      </c>
      <c r="I796" s="60">
        <f>SUM(I794:I795)</f>
        <v>168.75</v>
      </c>
    </row>
    <row r="797" spans="1:12">
      <c r="A797" s="7" t="s">
        <v>1571</v>
      </c>
      <c r="B797" s="7"/>
      <c r="C797" s="7"/>
      <c r="D797" s="7"/>
      <c r="E797" s="10">
        <f>SUM(E795:E796)</f>
        <v>35.635629251700678</v>
      </c>
      <c r="F797" s="206">
        <v>35</v>
      </c>
    </row>
    <row r="798" spans="1:12">
      <c r="A798" s="209" t="s">
        <v>1572</v>
      </c>
      <c r="B798" s="209"/>
      <c r="C798" s="209"/>
      <c r="D798" s="209"/>
      <c r="E798" s="210">
        <f>E797*1.4</f>
        <v>49.889880952380949</v>
      </c>
    </row>
    <row r="801" spans="1:12">
      <c r="A801" s="7" t="s">
        <v>3527</v>
      </c>
      <c r="B801" s="205"/>
      <c r="C801" s="1" t="s">
        <v>3524</v>
      </c>
      <c r="D801" s="1" t="s">
        <v>3525</v>
      </c>
    </row>
    <row r="802" spans="1:12">
      <c r="A802" s="1" t="s">
        <v>1556</v>
      </c>
      <c r="B802" s="60">
        <f>SUM(J803:J805)+J809+J810</f>
        <v>1068.5714285714284</v>
      </c>
      <c r="C802" s="1">
        <v>1</v>
      </c>
      <c r="D802" s="1">
        <v>13</v>
      </c>
      <c r="E802" s="3">
        <f>(B802*C802)/'Cost of fabrics'!$C$4*D802</f>
        <v>9.1874527588813297</v>
      </c>
      <c r="H802" s="1" t="s">
        <v>1595</v>
      </c>
      <c r="I802" s="1" t="s">
        <v>1594</v>
      </c>
      <c r="J802" s="1" t="s">
        <v>1973</v>
      </c>
      <c r="L802" s="1" t="s">
        <v>2376</v>
      </c>
    </row>
    <row r="803" spans="1:12">
      <c r="A803" s="1" t="s">
        <v>1557</v>
      </c>
      <c r="B803" s="60">
        <f>J804+J806</f>
        <v>280.57142857142856</v>
      </c>
      <c r="C803" s="1">
        <v>1</v>
      </c>
      <c r="D803" s="1">
        <v>6</v>
      </c>
      <c r="E803" s="3">
        <f>(B803*C803)/'Cost of fabrics'!$C$4*D803</f>
        <v>1.1133786848072562</v>
      </c>
      <c r="G803" s="1" t="s">
        <v>3526</v>
      </c>
      <c r="H803" s="1">
        <f>L805</f>
        <v>28</v>
      </c>
      <c r="I803" s="60">
        <f>L803</f>
        <v>25.142857142857142</v>
      </c>
      <c r="J803" s="60">
        <f>H803*I803</f>
        <v>704</v>
      </c>
      <c r="K803" s="1" t="s">
        <v>2275</v>
      </c>
      <c r="L803" s="62">
        <f>22/7*2*(L804/2)</f>
        <v>25.142857142857142</v>
      </c>
    </row>
    <row r="804" spans="1:12">
      <c r="A804" s="1" t="s">
        <v>2371</v>
      </c>
      <c r="C804" s="1" t="s">
        <v>2370</v>
      </c>
      <c r="D804" s="1">
        <v>3</v>
      </c>
      <c r="E804" s="3">
        <v>3</v>
      </c>
      <c r="G804" s="1" t="s">
        <v>2377</v>
      </c>
      <c r="I804" s="1">
        <f>L804</f>
        <v>8</v>
      </c>
      <c r="J804" s="60">
        <f>(22/7*(I804/2)^2)*2</f>
        <v>100.57142857142857</v>
      </c>
      <c r="K804" s="1" t="s">
        <v>2276</v>
      </c>
      <c r="L804" s="1">
        <v>8</v>
      </c>
    </row>
    <row r="805" spans="1:12">
      <c r="G805" s="1" t="s">
        <v>2284</v>
      </c>
      <c r="H805" s="1">
        <f>L806</f>
        <v>32</v>
      </c>
      <c r="I805" s="1">
        <v>6</v>
      </c>
      <c r="J805" s="1">
        <f>H805*I805</f>
        <v>192</v>
      </c>
      <c r="K805" s="1" t="s">
        <v>1609</v>
      </c>
      <c r="L805" s="1">
        <v>28</v>
      </c>
    </row>
    <row r="806" spans="1:12">
      <c r="G806" s="1" t="s">
        <v>1559</v>
      </c>
      <c r="H806" s="1">
        <v>18</v>
      </c>
      <c r="I806" s="1">
        <v>10</v>
      </c>
      <c r="J806" s="60">
        <f>H806*I806</f>
        <v>180</v>
      </c>
      <c r="K806" s="1" t="s">
        <v>1558</v>
      </c>
      <c r="L806" s="1">
        <v>32</v>
      </c>
    </row>
    <row r="807" spans="1:12">
      <c r="G807" s="1" t="s">
        <v>2358</v>
      </c>
      <c r="H807" s="1">
        <v>9</v>
      </c>
    </row>
    <row r="808" spans="1:12">
      <c r="G808" s="1" t="s">
        <v>2359</v>
      </c>
      <c r="H808" s="1">
        <v>27</v>
      </c>
    </row>
    <row r="809" spans="1:12">
      <c r="A809" s="198" t="s">
        <v>555</v>
      </c>
      <c r="B809" s="198"/>
      <c r="C809" s="198"/>
      <c r="D809" s="198"/>
      <c r="E809" s="207">
        <f>SUM(E802:E804)</f>
        <v>13.300831443688587</v>
      </c>
      <c r="G809" s="1" t="s">
        <v>2369</v>
      </c>
      <c r="H809" s="1">
        <v>3</v>
      </c>
      <c r="I809" s="1">
        <v>2</v>
      </c>
      <c r="J809" s="60">
        <f>H809*I809</f>
        <v>6</v>
      </c>
    </row>
    <row r="810" spans="1:12">
      <c r="A810" s="1" t="s">
        <v>1569</v>
      </c>
      <c r="C810" s="1">
        <v>1.25</v>
      </c>
      <c r="D810" s="1">
        <v>8</v>
      </c>
      <c r="E810" s="3">
        <f>C810*D810</f>
        <v>10</v>
      </c>
      <c r="G810" s="1" t="s">
        <v>2378</v>
      </c>
      <c r="H810" s="1">
        <v>11</v>
      </c>
      <c r="I810" s="1">
        <v>6</v>
      </c>
      <c r="J810" s="60">
        <f>H810*I810</f>
        <v>66</v>
      </c>
    </row>
    <row r="811" spans="1:12">
      <c r="A811" s="7" t="s">
        <v>1571</v>
      </c>
      <c r="B811" s="7"/>
      <c r="C811" s="7"/>
      <c r="D811" s="7"/>
      <c r="E811" s="10">
        <f>SUM(E809:E810)</f>
        <v>23.300831443688587</v>
      </c>
    </row>
    <row r="812" spans="1:12">
      <c r="A812" s="209" t="s">
        <v>1572</v>
      </c>
      <c r="B812" s="209"/>
      <c r="C812" s="209"/>
      <c r="D812" s="209"/>
      <c r="E812" s="210">
        <f>E811*1.3</f>
        <v>30.291080876795164</v>
      </c>
    </row>
    <row r="813" spans="1:12">
      <c r="G813" s="1">
        <v>35</v>
      </c>
      <c r="H813" s="1">
        <v>20</v>
      </c>
    </row>
    <row r="814" spans="1:12">
      <c r="G814" s="1">
        <v>25</v>
      </c>
      <c r="H814" s="1">
        <v>10</v>
      </c>
    </row>
    <row r="818" spans="1:6">
      <c r="A818" s="7" t="s">
        <v>3531</v>
      </c>
      <c r="C818" s="1" t="s">
        <v>1562</v>
      </c>
      <c r="D818" s="1" t="s">
        <v>1560</v>
      </c>
      <c r="E818" s="3" t="s">
        <v>2177</v>
      </c>
    </row>
    <row r="819" spans="1:6">
      <c r="A819" s="1" t="s">
        <v>1556</v>
      </c>
      <c r="B819" s="1">
        <f>L823*M823</f>
        <v>0</v>
      </c>
      <c r="C819" s="1">
        <v>1.25</v>
      </c>
      <c r="D819" s="1">
        <v>10</v>
      </c>
      <c r="E819" s="3">
        <f>C819*D819</f>
        <v>12.5</v>
      </c>
    </row>
    <row r="820" spans="1:6">
      <c r="A820" s="1" t="s">
        <v>1557</v>
      </c>
      <c r="B820" s="1">
        <f>B819</f>
        <v>0</v>
      </c>
      <c r="C820" s="1">
        <v>1</v>
      </c>
      <c r="D820" s="1">
        <v>10</v>
      </c>
      <c r="E820" s="3">
        <f>C820*D820</f>
        <v>10</v>
      </c>
    </row>
    <row r="821" spans="1:6">
      <c r="A821" s="1" t="s">
        <v>3532</v>
      </c>
      <c r="B821" s="1">
        <f>B820</f>
        <v>0</v>
      </c>
      <c r="C821" s="1">
        <v>1</v>
      </c>
      <c r="D821" s="1">
        <v>10</v>
      </c>
      <c r="E821" s="3">
        <f>C821*D821</f>
        <v>10</v>
      </c>
    </row>
    <row r="822" spans="1:6">
      <c r="A822" s="1" t="s">
        <v>2097</v>
      </c>
      <c r="B822" s="1">
        <f t="shared" ref="B822" si="24">B819</f>
        <v>0</v>
      </c>
      <c r="C822" s="1">
        <v>2</v>
      </c>
      <c r="D822" s="1">
        <v>2.6</v>
      </c>
      <c r="E822" s="3">
        <f>C822*D822</f>
        <v>5.2</v>
      </c>
    </row>
    <row r="823" spans="1:6">
      <c r="A823" s="1" t="s">
        <v>3533</v>
      </c>
      <c r="B823" s="1">
        <f t="shared" ref="B823" si="25">B820</f>
        <v>0</v>
      </c>
      <c r="C823" s="1">
        <v>3.5</v>
      </c>
      <c r="D823" s="1">
        <f>9/5</f>
        <v>1.8</v>
      </c>
      <c r="E823" s="3">
        <f>D823*C823</f>
        <v>6.3</v>
      </c>
    </row>
    <row r="824" spans="1:6" ht="25.5">
      <c r="A824" s="17" t="s">
        <v>3535</v>
      </c>
      <c r="C824" s="1">
        <v>1</v>
      </c>
      <c r="D824" s="1">
        <v>2</v>
      </c>
      <c r="E824" s="3">
        <f t="shared" ref="E824:E828" si="26">D824*C824</f>
        <v>2</v>
      </c>
    </row>
    <row r="825" spans="1:6">
      <c r="A825" s="1" t="s">
        <v>2121</v>
      </c>
      <c r="B825" s="1">
        <f>(22+14+14)</f>
        <v>50</v>
      </c>
      <c r="C825" s="1">
        <v>1.5</v>
      </c>
      <c r="D825" s="1">
        <v>3</v>
      </c>
      <c r="E825" s="3">
        <f t="shared" si="26"/>
        <v>4.5</v>
      </c>
    </row>
    <row r="826" spans="1:6">
      <c r="A826" s="1" t="s">
        <v>2126</v>
      </c>
      <c r="C826" s="1">
        <v>5</v>
      </c>
      <c r="D826" s="1">
        <v>0.5</v>
      </c>
      <c r="E826" s="3">
        <f t="shared" si="26"/>
        <v>2.5</v>
      </c>
    </row>
    <row r="827" spans="1:6">
      <c r="A827" s="198" t="s">
        <v>555</v>
      </c>
      <c r="B827" s="198"/>
      <c r="C827" s="198"/>
      <c r="D827" s="198"/>
      <c r="E827" s="207">
        <f>SUM(E819:E826)</f>
        <v>53</v>
      </c>
      <c r="F827" s="206">
        <f>E827*3</f>
        <v>159</v>
      </c>
    </row>
    <row r="828" spans="1:6">
      <c r="A828" s="1" t="s">
        <v>1569</v>
      </c>
      <c r="C828" s="1">
        <v>4</v>
      </c>
      <c r="D828" s="1">
        <v>8</v>
      </c>
      <c r="E828" s="3">
        <f t="shared" si="26"/>
        <v>32</v>
      </c>
    </row>
    <row r="829" spans="1:6">
      <c r="A829" s="7" t="s">
        <v>1571</v>
      </c>
      <c r="B829" s="7"/>
      <c r="C829" s="7"/>
      <c r="D829" s="7"/>
      <c r="E829" s="10">
        <f>SUM(E827:E828)</f>
        <v>85</v>
      </c>
    </row>
    <row r="830" spans="1:6">
      <c r="A830" s="209" t="s">
        <v>1572</v>
      </c>
      <c r="B830" s="209"/>
      <c r="C830" s="209"/>
      <c r="D830" s="209"/>
      <c r="E830" s="210">
        <f>E829*1.5</f>
        <v>127.5</v>
      </c>
    </row>
    <row r="834" spans="1:5">
      <c r="A834" s="7" t="s">
        <v>3536</v>
      </c>
      <c r="C834" s="1" t="s">
        <v>1562</v>
      </c>
      <c r="D834" s="1" t="s">
        <v>1560</v>
      </c>
      <c r="E834" s="3" t="s">
        <v>2177</v>
      </c>
    </row>
    <row r="835" spans="1:5">
      <c r="A835" s="1" t="s">
        <v>1556</v>
      </c>
      <c r="B835" s="1">
        <f>L838*M838</f>
        <v>0</v>
      </c>
      <c r="C835" s="1">
        <v>0.5</v>
      </c>
      <c r="D835" s="1">
        <v>8</v>
      </c>
      <c r="E835" s="3">
        <f>C835*D835</f>
        <v>4</v>
      </c>
    </row>
    <row r="836" spans="1:5">
      <c r="A836" s="1" t="s">
        <v>1557</v>
      </c>
      <c r="B836" s="1">
        <f>B835</f>
        <v>0</v>
      </c>
      <c r="C836" s="1">
        <v>0.5</v>
      </c>
      <c r="D836" s="1">
        <v>8</v>
      </c>
      <c r="E836" s="3">
        <f>C836*D836</f>
        <v>4</v>
      </c>
    </row>
    <row r="837" spans="1:5">
      <c r="A837" s="1" t="s">
        <v>2097</v>
      </c>
      <c r="B837" s="1">
        <f>B835</f>
        <v>0</v>
      </c>
      <c r="C837" s="1">
        <v>1</v>
      </c>
      <c r="D837" s="1">
        <v>2.6</v>
      </c>
      <c r="E837" s="3">
        <f>C837*D837</f>
        <v>2.6</v>
      </c>
    </row>
    <row r="838" spans="1:5">
      <c r="A838" s="1" t="s">
        <v>3533</v>
      </c>
      <c r="B838" s="1">
        <f>B836</f>
        <v>0</v>
      </c>
      <c r="C838" s="1">
        <v>1</v>
      </c>
      <c r="D838" s="1">
        <f>9/5</f>
        <v>1.8</v>
      </c>
      <c r="E838" s="3">
        <f>D838*C838</f>
        <v>1.8</v>
      </c>
    </row>
    <row r="839" spans="1:5">
      <c r="A839" s="1" t="s">
        <v>2121</v>
      </c>
      <c r="B839" s="1">
        <f>(22+14+14)</f>
        <v>50</v>
      </c>
      <c r="C839" s="1">
        <v>0.5</v>
      </c>
      <c r="D839" s="1">
        <v>3</v>
      </c>
      <c r="E839" s="3">
        <f t="shared" ref="E839:E840" si="27">D839*C839</f>
        <v>1.5</v>
      </c>
    </row>
    <row r="840" spans="1:5">
      <c r="A840" s="1" t="s">
        <v>2126</v>
      </c>
      <c r="C840" s="1">
        <v>2</v>
      </c>
      <c r="D840" s="1">
        <v>0.5</v>
      </c>
      <c r="E840" s="3">
        <f t="shared" si="27"/>
        <v>1</v>
      </c>
    </row>
    <row r="841" spans="1:5">
      <c r="A841" s="198" t="s">
        <v>555</v>
      </c>
      <c r="B841" s="198"/>
      <c r="C841" s="198"/>
      <c r="D841" s="198"/>
      <c r="E841" s="207">
        <f>SUM(E835:E840)</f>
        <v>14.9</v>
      </c>
    </row>
    <row r="842" spans="1:5">
      <c r="A842" s="1" t="s">
        <v>1569</v>
      </c>
      <c r="C842" s="1">
        <v>1</v>
      </c>
      <c r="D842" s="1">
        <v>8</v>
      </c>
      <c r="E842" s="3">
        <f t="shared" ref="E842" si="28">D842*C842</f>
        <v>8</v>
      </c>
    </row>
    <row r="843" spans="1:5">
      <c r="A843" s="7" t="s">
        <v>1571</v>
      </c>
      <c r="B843" s="7"/>
      <c r="C843" s="7"/>
      <c r="D843" s="7"/>
      <c r="E843" s="10">
        <f>SUM(E841:E842)</f>
        <v>22.9</v>
      </c>
    </row>
    <row r="844" spans="1:5">
      <c r="A844" s="209" t="s">
        <v>1572</v>
      </c>
      <c r="B844" s="209"/>
      <c r="C844" s="209"/>
      <c r="D844" s="209"/>
      <c r="E844" s="210">
        <f>E843*1.3</f>
        <v>29.77</v>
      </c>
    </row>
    <row r="848" spans="1:5">
      <c r="A848" s="7" t="s">
        <v>3547</v>
      </c>
      <c r="B848" s="1" t="s">
        <v>3548</v>
      </c>
    </row>
    <row r="849" spans="1:11">
      <c r="A849" s="1" t="s">
        <v>1556</v>
      </c>
      <c r="B849" s="60">
        <f>SUM(K851:K852)</f>
        <v>320</v>
      </c>
      <c r="C849" s="1">
        <v>1</v>
      </c>
      <c r="D849" s="1">
        <v>8</v>
      </c>
      <c r="E849" s="3">
        <f>(B849*C849)/'Cost of fabrics'!$C$4*D849</f>
        <v>1.693121693121693</v>
      </c>
    </row>
    <row r="850" spans="1:11">
      <c r="A850" s="1" t="s">
        <v>1557</v>
      </c>
      <c r="B850" s="60">
        <f>K853+K854+K855</f>
        <v>670</v>
      </c>
      <c r="C850" s="1">
        <v>1</v>
      </c>
      <c r="D850" s="1">
        <v>8</v>
      </c>
      <c r="E850" s="3">
        <f>(B850*C850)/'Cost of fabrics'!$C$4*D850</f>
        <v>3.5449735449735451</v>
      </c>
      <c r="H850" s="1" t="s">
        <v>1595</v>
      </c>
      <c r="I850" s="1" t="s">
        <v>1594</v>
      </c>
      <c r="J850" s="1" t="s">
        <v>1747</v>
      </c>
      <c r="K850" s="1" t="s">
        <v>2177</v>
      </c>
    </row>
    <row r="851" spans="1:11">
      <c r="A851" s="1" t="s">
        <v>3552</v>
      </c>
      <c r="B851" s="1">
        <f>3*2</f>
        <v>6</v>
      </c>
      <c r="C851" s="1">
        <v>1</v>
      </c>
      <c r="D851" s="1">
        <v>6</v>
      </c>
      <c r="E851" s="3">
        <f>(B851*C851)/'Cost of fabrics'!$C$4*D851</f>
        <v>2.3809523809523808E-2</v>
      </c>
      <c r="G851" s="1" t="s">
        <v>3549</v>
      </c>
      <c r="H851" s="1">
        <v>10</v>
      </c>
      <c r="I851" s="1">
        <v>8</v>
      </c>
      <c r="J851" s="1">
        <v>2</v>
      </c>
      <c r="K851" s="60">
        <f>H851*I851*J851</f>
        <v>160</v>
      </c>
    </row>
    <row r="852" spans="1:11">
      <c r="A852" s="1" t="s">
        <v>1566</v>
      </c>
      <c r="B852" s="60">
        <f>B849</f>
        <v>320</v>
      </c>
      <c r="C852" s="1">
        <v>1</v>
      </c>
      <c r="D852" s="1">
        <v>4</v>
      </c>
      <c r="E852" s="3">
        <f>(B852*C852)/'Cost of fabrics'!$C$20*D852</f>
        <v>1.5238095238095237</v>
      </c>
      <c r="G852" s="1" t="s">
        <v>3550</v>
      </c>
      <c r="H852" s="1">
        <v>10</v>
      </c>
      <c r="I852" s="1">
        <v>4</v>
      </c>
      <c r="J852" s="1">
        <v>4</v>
      </c>
      <c r="K852" s="60">
        <f>H852*I852*J852</f>
        <v>160</v>
      </c>
    </row>
    <row r="853" spans="1:11">
      <c r="A853" s="1" t="s">
        <v>3533</v>
      </c>
      <c r="B853" s="60">
        <f>B850</f>
        <v>670</v>
      </c>
      <c r="C853" s="1">
        <v>1</v>
      </c>
      <c r="D853" s="1">
        <v>9</v>
      </c>
      <c r="E853" s="3">
        <f>(B853*C853)/'Cost of fabrics'!$C$23*D853</f>
        <v>0.76136363636363635</v>
      </c>
      <c r="G853" s="1" t="s">
        <v>1557</v>
      </c>
      <c r="H853" s="1">
        <v>10</v>
      </c>
      <c r="I853" s="60">
        <v>16</v>
      </c>
      <c r="J853" s="1">
        <v>2</v>
      </c>
      <c r="K853" s="60">
        <f>H853*I853*J853</f>
        <v>320</v>
      </c>
    </row>
    <row r="854" spans="1:11">
      <c r="A854" s="1" t="s">
        <v>3551</v>
      </c>
      <c r="B854" s="60"/>
      <c r="C854" s="1" t="s">
        <v>3557</v>
      </c>
      <c r="D854" s="1">
        <v>6</v>
      </c>
      <c r="E854" s="3">
        <v>2</v>
      </c>
      <c r="G854" s="1" t="s">
        <v>2623</v>
      </c>
      <c r="H854" s="1">
        <v>14</v>
      </c>
      <c r="I854" s="60">
        <v>10</v>
      </c>
      <c r="J854" s="1">
        <v>1</v>
      </c>
      <c r="K854" s="60">
        <f>H854*I854*J854</f>
        <v>140</v>
      </c>
    </row>
    <row r="855" spans="1:11">
      <c r="A855" s="198" t="s">
        <v>555</v>
      </c>
      <c r="B855" s="198"/>
      <c r="C855" s="198"/>
      <c r="D855" s="198"/>
      <c r="E855" s="207">
        <f>SUM(E849:E854)</f>
        <v>9.5470779220779214</v>
      </c>
      <c r="G855" s="1" t="s">
        <v>1920</v>
      </c>
      <c r="H855" s="1">
        <v>7</v>
      </c>
      <c r="I855" s="60">
        <v>15</v>
      </c>
      <c r="J855" s="1">
        <v>2</v>
      </c>
      <c r="K855" s="60">
        <f>H855*I855*J855</f>
        <v>210</v>
      </c>
    </row>
    <row r="856" spans="1:11">
      <c r="A856" s="1" t="s">
        <v>1569</v>
      </c>
      <c r="C856" s="1">
        <v>1</v>
      </c>
      <c r="D856" s="1">
        <v>8</v>
      </c>
      <c r="E856" s="3">
        <f>C856*D856</f>
        <v>8</v>
      </c>
      <c r="K856" s="60">
        <f>SUM(K851:K855)</f>
        <v>990</v>
      </c>
    </row>
    <row r="857" spans="1:11">
      <c r="A857" s="7" t="s">
        <v>1571</v>
      </c>
      <c r="B857" s="7"/>
      <c r="C857" s="7"/>
      <c r="D857" s="7"/>
      <c r="E857" s="10">
        <f>SUM(E855:E856)</f>
        <v>17.547077922077921</v>
      </c>
      <c r="G857" s="1" t="s">
        <v>3554</v>
      </c>
      <c r="H857" s="1" t="s">
        <v>3555</v>
      </c>
    </row>
    <row r="858" spans="1:11">
      <c r="A858" s="209" t="s">
        <v>1572</v>
      </c>
      <c r="B858" s="209"/>
      <c r="C858" s="209"/>
      <c r="D858" s="209"/>
      <c r="E858" s="210">
        <f>E857*1.4</f>
        <v>24.565909090909088</v>
      </c>
      <c r="G858" s="1" t="s">
        <v>3556</v>
      </c>
      <c r="H858" s="1" t="s">
        <v>3553</v>
      </c>
    </row>
    <row r="862" spans="1:11">
      <c r="A862" s="7" t="s">
        <v>3568</v>
      </c>
      <c r="C862" s="1" t="s">
        <v>3583</v>
      </c>
      <c r="F862" s="1" t="s">
        <v>3584</v>
      </c>
    </row>
    <row r="863" spans="1:11">
      <c r="A863" s="1" t="s">
        <v>1556</v>
      </c>
      <c r="B863" s="60">
        <f>J865*H865+K865</f>
        <v>934.85714285714278</v>
      </c>
      <c r="C863" s="1">
        <v>1</v>
      </c>
      <c r="D863" s="1">
        <v>8</v>
      </c>
      <c r="E863" s="3">
        <f>(B863*C863)/'Cost of fabrics'!$C$4*D863</f>
        <v>4.9463340891912315</v>
      </c>
    </row>
    <row r="864" spans="1:11">
      <c r="A864" s="1" t="s">
        <v>1557</v>
      </c>
      <c r="B864" s="60">
        <f>B863</f>
        <v>934.85714285714278</v>
      </c>
      <c r="C864" s="1">
        <v>1</v>
      </c>
      <c r="D864" s="1">
        <v>6</v>
      </c>
      <c r="E864" s="3">
        <f>(B864*C864)/'Cost of fabrics'!$C$4*D864</f>
        <v>3.7097505668934234</v>
      </c>
      <c r="G864" s="1" t="s">
        <v>1595</v>
      </c>
      <c r="H864" s="1" t="s">
        <v>1594</v>
      </c>
      <c r="I864" s="1" t="s">
        <v>1646</v>
      </c>
      <c r="J864" s="1" t="s">
        <v>1643</v>
      </c>
      <c r="K864" s="1" t="s">
        <v>1648</v>
      </c>
    </row>
    <row r="865" spans="1:11">
      <c r="A865" s="1" t="s">
        <v>1559</v>
      </c>
      <c r="B865" s="60">
        <f>9*H865</f>
        <v>180</v>
      </c>
      <c r="C865" s="1">
        <v>2</v>
      </c>
      <c r="D865" s="1">
        <v>7</v>
      </c>
      <c r="E865" s="3">
        <f>(B865*C865)/'Cost of fabrics'!$C$4*D865</f>
        <v>1.6666666666666665</v>
      </c>
      <c r="F865" s="1" t="s">
        <v>3572</v>
      </c>
      <c r="G865" s="27">
        <v>14</v>
      </c>
      <c r="H865" s="27">
        <v>20</v>
      </c>
      <c r="I865" s="27">
        <v>9</v>
      </c>
      <c r="J865" s="62">
        <f>'Mixer sizes'!J114</f>
        <v>34.142857142857139</v>
      </c>
      <c r="K865" s="62">
        <f>'Mixer sizes'!K114</f>
        <v>252</v>
      </c>
    </row>
    <row r="866" spans="1:11">
      <c r="A866" s="1" t="s">
        <v>1566</v>
      </c>
      <c r="B866" s="60">
        <f>B863+B865</f>
        <v>1114.8571428571427</v>
      </c>
      <c r="C866" s="1">
        <v>1</v>
      </c>
      <c r="D866" s="1">
        <v>4</v>
      </c>
      <c r="E866" s="3">
        <f>(B866*C866)/'Cost of fabrics'!$C$20*D866</f>
        <v>5.3088435374149654</v>
      </c>
      <c r="K866" s="60"/>
    </row>
    <row r="867" spans="1:11">
      <c r="A867" s="1" t="s">
        <v>1616</v>
      </c>
      <c r="B867" s="60">
        <f>H869</f>
        <v>175.5</v>
      </c>
      <c r="C867" s="1">
        <v>1</v>
      </c>
      <c r="D867" s="1">
        <v>6</v>
      </c>
      <c r="E867" s="3">
        <f>(B867*C867)/'Cost of fabrics'!$C$4*D867</f>
        <v>0.6964285714285714</v>
      </c>
      <c r="G867" s="1" t="s">
        <v>2317</v>
      </c>
      <c r="H867" s="60">
        <f>(H865+(H865+I865)*2)*2.25</f>
        <v>175.5</v>
      </c>
    </row>
    <row r="868" spans="1:11">
      <c r="A868" s="198" t="s">
        <v>555</v>
      </c>
      <c r="B868" s="198"/>
      <c r="C868" s="198"/>
      <c r="D868" s="198"/>
      <c r="E868" s="207">
        <f>SUM(E863:E867)</f>
        <v>16.328023431594858</v>
      </c>
      <c r="G868" s="1" t="s">
        <v>2638</v>
      </c>
      <c r="H868" s="60"/>
    </row>
    <row r="869" spans="1:11">
      <c r="A869" s="1" t="s">
        <v>1569</v>
      </c>
      <c r="C869" s="1">
        <v>3</v>
      </c>
      <c r="D869" s="1">
        <v>8</v>
      </c>
      <c r="E869" s="3">
        <f>C869*D869</f>
        <v>24</v>
      </c>
      <c r="H869" s="60">
        <f>SUM(H867:H868)</f>
        <v>175.5</v>
      </c>
    </row>
    <row r="870" spans="1:11">
      <c r="A870" s="7" t="s">
        <v>1571</v>
      </c>
      <c r="B870" s="7"/>
      <c r="C870" s="7"/>
      <c r="D870" s="7"/>
      <c r="E870" s="10">
        <f>SUM(E868:E869)</f>
        <v>40.328023431594858</v>
      </c>
    </row>
    <row r="871" spans="1:11">
      <c r="A871" s="209" t="s">
        <v>1572</v>
      </c>
      <c r="B871" s="209"/>
      <c r="C871" s="209"/>
      <c r="D871" s="209"/>
      <c r="E871" s="210">
        <f>E870*1.4</f>
        <v>56.459232804232798</v>
      </c>
    </row>
    <row r="874" spans="1:11">
      <c r="A874" s="7" t="s">
        <v>3599</v>
      </c>
      <c r="C874" s="1" t="s">
        <v>3654</v>
      </c>
    </row>
    <row r="875" spans="1:11">
      <c r="A875" s="1" t="s">
        <v>1556</v>
      </c>
      <c r="B875" s="1">
        <f>G876*J876+K876</f>
        <v>1152</v>
      </c>
      <c r="C875" s="1">
        <v>1</v>
      </c>
      <c r="D875" s="1">
        <v>8</v>
      </c>
      <c r="E875" s="3">
        <f>(B875*C875)/'Cost of fabrics'!$C$4*D875</f>
        <v>6.0952380952380949</v>
      </c>
      <c r="G875" s="1" t="s">
        <v>1595</v>
      </c>
      <c r="H875" s="1" t="s">
        <v>1594</v>
      </c>
      <c r="I875" s="1" t="s">
        <v>1646</v>
      </c>
      <c r="J875" s="1" t="s">
        <v>1643</v>
      </c>
      <c r="K875" s="1" t="s">
        <v>1911</v>
      </c>
    </row>
    <row r="876" spans="1:11">
      <c r="A876" s="1" t="s">
        <v>1557</v>
      </c>
      <c r="B876" s="1">
        <f>B875</f>
        <v>1152</v>
      </c>
      <c r="C876" s="1">
        <v>1</v>
      </c>
      <c r="D876" s="1">
        <v>8</v>
      </c>
      <c r="E876" s="3">
        <f>(B876*C876)/'Cost of fabrics'!$C$4*D876</f>
        <v>6.0952380952380949</v>
      </c>
      <c r="G876" s="1">
        <v>13</v>
      </c>
      <c r="H876" s="1">
        <v>14</v>
      </c>
      <c r="I876" s="1">
        <v>18</v>
      </c>
      <c r="J876" s="1">
        <f>H876*2+I876*2</f>
        <v>64</v>
      </c>
      <c r="K876" s="400">
        <f>(H876+2)*(I876+2)</f>
        <v>320</v>
      </c>
    </row>
    <row r="877" spans="1:11">
      <c r="A877" s="1" t="s">
        <v>3600</v>
      </c>
      <c r="B877" s="1">
        <f>H876*I876</f>
        <v>252</v>
      </c>
      <c r="C877" s="1">
        <v>2</v>
      </c>
      <c r="D877" s="1">
        <v>8</v>
      </c>
      <c r="E877" s="3">
        <f>(B877*C877)/'Cost of fabrics'!$C$4*D877</f>
        <v>2.6666666666666665</v>
      </c>
      <c r="G877" s="1" t="s">
        <v>1911</v>
      </c>
    </row>
    <row r="878" spans="1:11">
      <c r="A878" s="1" t="s">
        <v>1566</v>
      </c>
      <c r="B878" s="1">
        <f>B875</f>
        <v>1152</v>
      </c>
      <c r="C878" s="1">
        <v>1</v>
      </c>
      <c r="D878" s="1">
        <v>4</v>
      </c>
      <c r="E878" s="3">
        <f>(B878*C878)/'Cost of fabrics'!$C$20*D878</f>
        <v>5.4857142857142858</v>
      </c>
      <c r="G878" s="400" t="s">
        <v>3655</v>
      </c>
    </row>
    <row r="879" spans="1:11">
      <c r="A879" s="1" t="s">
        <v>1616</v>
      </c>
      <c r="B879" s="1">
        <f>J876*2.5</f>
        <v>160</v>
      </c>
      <c r="C879" s="1">
        <v>1</v>
      </c>
      <c r="D879" s="1">
        <v>8</v>
      </c>
      <c r="E879" s="3">
        <f>(B879*C879)/'Cost of fabrics'!$C$4*D879</f>
        <v>0.84656084656084651</v>
      </c>
    </row>
    <row r="880" spans="1:11">
      <c r="A880" s="198" t="s">
        <v>555</v>
      </c>
      <c r="B880" s="198"/>
      <c r="C880" s="198"/>
      <c r="D880" s="198"/>
      <c r="E880" s="207">
        <f>SUM(E875:E879)</f>
        <v>21.18941798941799</v>
      </c>
    </row>
    <row r="881" spans="1:11">
      <c r="A881" s="1" t="s">
        <v>1569</v>
      </c>
      <c r="C881" s="1">
        <v>2.5</v>
      </c>
      <c r="D881" s="1">
        <v>8</v>
      </c>
      <c r="E881" s="3">
        <f>C881*D881</f>
        <v>20</v>
      </c>
    </row>
    <row r="882" spans="1:11">
      <c r="A882" s="7" t="s">
        <v>1571</v>
      </c>
      <c r="B882" s="7"/>
      <c r="C882" s="7"/>
      <c r="D882" s="7"/>
      <c r="E882" s="10">
        <f>SUM(E880:E881)</f>
        <v>41.18941798941799</v>
      </c>
    </row>
    <row r="883" spans="1:11">
      <c r="A883" s="209" t="s">
        <v>1572</v>
      </c>
      <c r="B883" s="209"/>
      <c r="C883" s="209"/>
      <c r="D883" s="209"/>
      <c r="E883" s="210">
        <f>E882*1.3</f>
        <v>53.54624338624339</v>
      </c>
    </row>
    <row r="886" spans="1:11">
      <c r="A886" s="7" t="s">
        <v>3604</v>
      </c>
    </row>
    <row r="887" spans="1:11">
      <c r="A887" s="1" t="s">
        <v>1556</v>
      </c>
      <c r="B887" s="1">
        <f>G888*J888+K888</f>
        <v>1048</v>
      </c>
      <c r="C887" s="1">
        <v>1</v>
      </c>
      <c r="D887" s="1">
        <v>6</v>
      </c>
      <c r="E887" s="3">
        <f>(B887*C887)/'Cost of fabrics'!$C$4*D887</f>
        <v>4.1587301587301591</v>
      </c>
      <c r="G887" s="1" t="s">
        <v>1595</v>
      </c>
      <c r="H887" s="1" t="s">
        <v>1594</v>
      </c>
      <c r="I887" s="1" t="s">
        <v>1646</v>
      </c>
      <c r="J887" s="1" t="s">
        <v>1643</v>
      </c>
      <c r="K887" s="1" t="s">
        <v>1911</v>
      </c>
    </row>
    <row r="888" spans="1:11">
      <c r="A888" s="1" t="s">
        <v>1557</v>
      </c>
      <c r="B888" s="1">
        <f>B887</f>
        <v>1048</v>
      </c>
      <c r="C888" s="1">
        <v>1</v>
      </c>
      <c r="D888" s="1">
        <v>6</v>
      </c>
      <c r="E888" s="3">
        <f>(B888*C888)/'Cost of fabrics'!$C$4*D888</f>
        <v>4.1587301587301591</v>
      </c>
      <c r="G888" s="1">
        <v>12</v>
      </c>
      <c r="H888" s="1">
        <v>17</v>
      </c>
      <c r="I888" s="1">
        <v>14</v>
      </c>
      <c r="J888" s="1">
        <f>H888*2+I888*2</f>
        <v>62</v>
      </c>
      <c r="K888" s="400">
        <f>(H888+2)*(I888+2)</f>
        <v>304</v>
      </c>
    </row>
    <row r="889" spans="1:11">
      <c r="A889" s="1" t="s">
        <v>3600</v>
      </c>
      <c r="B889" s="1">
        <f>H888*I888</f>
        <v>238</v>
      </c>
      <c r="C889" s="1">
        <v>2</v>
      </c>
      <c r="D889" s="1">
        <v>0</v>
      </c>
      <c r="E889" s="3">
        <f>(B889*C889)/'Cost of fabrics'!$C$4*D889</f>
        <v>0</v>
      </c>
      <c r="G889" s="1" t="s">
        <v>1911</v>
      </c>
    </row>
    <row r="890" spans="1:11">
      <c r="A890" s="1" t="s">
        <v>1566</v>
      </c>
      <c r="B890" s="1">
        <f>B887</f>
        <v>1048</v>
      </c>
      <c r="C890" s="1">
        <v>1</v>
      </c>
      <c r="D890" s="1">
        <v>4</v>
      </c>
      <c r="E890" s="3">
        <f>(B890*C890)/'Cost of fabrics'!$C$20*D890</f>
        <v>4.9904761904761905</v>
      </c>
      <c r="G890" s="400" t="s">
        <v>3608</v>
      </c>
    </row>
    <row r="891" spans="1:11">
      <c r="A891" s="1" t="s">
        <v>1616</v>
      </c>
      <c r="B891" s="1">
        <f>J888*2.5</f>
        <v>155</v>
      </c>
      <c r="C891" s="1">
        <v>1</v>
      </c>
      <c r="D891" s="1">
        <v>6</v>
      </c>
      <c r="E891" s="3">
        <f>(B891*C891)/'Cost of fabrics'!$C$4*D891</f>
        <v>0.61507936507936511</v>
      </c>
    </row>
    <row r="892" spans="1:11">
      <c r="A892" s="198" t="s">
        <v>555</v>
      </c>
      <c r="B892" s="198"/>
      <c r="C892" s="198"/>
      <c r="D892" s="198"/>
      <c r="E892" s="207">
        <f>SUM(E887:E891)</f>
        <v>13.923015873015874</v>
      </c>
    </row>
    <row r="893" spans="1:11">
      <c r="A893" s="1" t="s">
        <v>1569</v>
      </c>
      <c r="C893" s="1">
        <v>2.5</v>
      </c>
      <c r="D893" s="1">
        <v>8</v>
      </c>
      <c r="E893" s="3">
        <f>C893*D893</f>
        <v>20</v>
      </c>
    </row>
    <row r="894" spans="1:11">
      <c r="A894" s="7" t="s">
        <v>1571</v>
      </c>
      <c r="B894" s="7"/>
      <c r="C894" s="7"/>
      <c r="D894" s="7"/>
      <c r="E894" s="10">
        <f>SUM(E892:E893)</f>
        <v>33.923015873015871</v>
      </c>
    </row>
    <row r="895" spans="1:11">
      <c r="A895" s="209" t="s">
        <v>1572</v>
      </c>
      <c r="B895" s="209"/>
      <c r="C895" s="209"/>
      <c r="D895" s="209"/>
      <c r="E895" s="210">
        <f>E894*1.3</f>
        <v>44.099920634920636</v>
      </c>
    </row>
    <row r="898" spans="1:10">
      <c r="A898" s="7" t="s">
        <v>3616</v>
      </c>
      <c r="B898" s="1" t="s">
        <v>3617</v>
      </c>
      <c r="I898" s="1" t="s">
        <v>3620</v>
      </c>
      <c r="J898" s="1" t="s">
        <v>1571</v>
      </c>
    </row>
    <row r="899" spans="1:10">
      <c r="A899" s="1" t="s">
        <v>1556</v>
      </c>
      <c r="B899" s="1">
        <f>I899+I900</f>
        <v>792</v>
      </c>
      <c r="C899" s="1">
        <v>1</v>
      </c>
      <c r="D899" s="1">
        <v>8</v>
      </c>
      <c r="E899" s="3">
        <f>(B899*C899)/'Cost of fabrics'!$C$4*D899</f>
        <v>4.1904761904761907</v>
      </c>
      <c r="H899" s="1" t="s">
        <v>3618</v>
      </c>
      <c r="I899" s="1">
        <f>18*22</f>
        <v>396</v>
      </c>
    </row>
    <row r="900" spans="1:10">
      <c r="A900" s="1" t="s">
        <v>1557</v>
      </c>
      <c r="B900" s="1">
        <f>I901</f>
        <v>792</v>
      </c>
      <c r="C900" s="1">
        <v>1</v>
      </c>
      <c r="D900" s="1">
        <v>8</v>
      </c>
      <c r="E900" s="3">
        <f>(B900*C900)/'Cost of fabrics'!$C$4*D900</f>
        <v>4.1904761904761907</v>
      </c>
      <c r="H900" s="1" t="s">
        <v>3621</v>
      </c>
      <c r="I900" s="1">
        <f>18*22</f>
        <v>396</v>
      </c>
    </row>
    <row r="901" spans="1:10">
      <c r="A901" s="1" t="s">
        <v>1898</v>
      </c>
      <c r="B901" s="1">
        <f>B900</f>
        <v>792</v>
      </c>
      <c r="C901" s="1">
        <v>1</v>
      </c>
      <c r="D901" s="1">
        <v>9</v>
      </c>
      <c r="E901" s="3">
        <f>(B901*C901)/'Cost of fabrics'!$C$23*D901</f>
        <v>0.9</v>
      </c>
      <c r="H901" s="1" t="s">
        <v>3619</v>
      </c>
      <c r="I901" s="1">
        <f>18*44</f>
        <v>792</v>
      </c>
    </row>
    <row r="902" spans="1:10">
      <c r="A902" s="1" t="s">
        <v>1566</v>
      </c>
      <c r="B902" s="1">
        <f>B899</f>
        <v>792</v>
      </c>
      <c r="C902" s="1">
        <v>1</v>
      </c>
      <c r="D902" s="1">
        <v>4</v>
      </c>
      <c r="E902" s="3">
        <f>(B902*C902)/'Cost of fabrics'!$C$20*D902</f>
        <v>3.7714285714285714</v>
      </c>
      <c r="H902" s="1" t="s">
        <v>1898</v>
      </c>
    </row>
    <row r="903" spans="1:10">
      <c r="A903" s="1" t="s">
        <v>3623</v>
      </c>
      <c r="B903" s="1">
        <f>J900*2.5</f>
        <v>0</v>
      </c>
      <c r="C903" s="1">
        <v>1</v>
      </c>
      <c r="E903" s="3">
        <v>3</v>
      </c>
      <c r="H903" s="1" t="s">
        <v>3622</v>
      </c>
    </row>
    <row r="904" spans="1:10">
      <c r="A904" s="1" t="s">
        <v>2563</v>
      </c>
      <c r="E904" s="3">
        <v>3</v>
      </c>
      <c r="H904" s="1" t="s">
        <v>2121</v>
      </c>
      <c r="I904" s="1">
        <v>30</v>
      </c>
      <c r="J904" s="1">
        <v>3</v>
      </c>
    </row>
    <row r="905" spans="1:10">
      <c r="A905" s="198" t="s">
        <v>555</v>
      </c>
      <c r="B905" s="198"/>
      <c r="C905" s="198"/>
      <c r="D905" s="198"/>
      <c r="E905" s="207">
        <f>SUM(E899:E904)</f>
        <v>19.052380952380954</v>
      </c>
      <c r="F905" s="417">
        <f>E905*3</f>
        <v>57.157142857142858</v>
      </c>
    </row>
    <row r="906" spans="1:10">
      <c r="A906" s="1" t="s">
        <v>1569</v>
      </c>
      <c r="C906" s="1">
        <v>2</v>
      </c>
      <c r="D906" s="1">
        <v>8</v>
      </c>
      <c r="E906" s="3">
        <f>C906*D906</f>
        <v>16</v>
      </c>
    </row>
    <row r="907" spans="1:10">
      <c r="A907" s="7" t="s">
        <v>1571</v>
      </c>
      <c r="B907" s="7"/>
      <c r="C907" s="7"/>
      <c r="D907" s="7"/>
      <c r="E907" s="10">
        <f>SUM(E905:E906)</f>
        <v>35.052380952380958</v>
      </c>
    </row>
    <row r="908" spans="1:10">
      <c r="A908" s="209" t="s">
        <v>1572</v>
      </c>
      <c r="B908" s="209"/>
      <c r="C908" s="209"/>
      <c r="D908" s="209"/>
      <c r="E908" s="210">
        <f>E907*1.3</f>
        <v>45.568095238095246</v>
      </c>
    </row>
    <row r="911" spans="1:10">
      <c r="A911" s="7" t="s">
        <v>3628</v>
      </c>
    </row>
    <row r="912" spans="1:10">
      <c r="A912" s="1" t="s">
        <v>1556</v>
      </c>
      <c r="B912" s="1">
        <f>K915*I915+L915</f>
        <v>700</v>
      </c>
      <c r="C912" s="1">
        <v>1</v>
      </c>
      <c r="D912" s="1">
        <v>4</v>
      </c>
      <c r="E912" s="3">
        <f>(B912*C912)/'Cost of fabrics'!$C$9*D912</f>
        <v>1.3295346628679963</v>
      </c>
    </row>
    <row r="913" spans="1:12">
      <c r="A913" s="1" t="s">
        <v>1557</v>
      </c>
      <c r="C913" s="1">
        <v>0</v>
      </c>
      <c r="D913" s="1">
        <v>6</v>
      </c>
      <c r="E913" s="3">
        <f>(B913*C913)/'Cost of fabrics'!$C$4*D913</f>
        <v>0</v>
      </c>
      <c r="H913" s="1" t="s">
        <v>1595</v>
      </c>
      <c r="I913" s="1" t="s">
        <v>1594</v>
      </c>
      <c r="J913" s="1" t="s">
        <v>1646</v>
      </c>
      <c r="K913" s="1" t="s">
        <v>1643</v>
      </c>
      <c r="L913" s="1" t="s">
        <v>1648</v>
      </c>
    </row>
    <row r="914" spans="1:12">
      <c r="A914" s="1" t="s">
        <v>1559</v>
      </c>
      <c r="B914" s="1">
        <f>8*I914</f>
        <v>72</v>
      </c>
      <c r="C914" s="1">
        <v>1</v>
      </c>
      <c r="D914" s="1">
        <v>4</v>
      </c>
      <c r="E914" s="3">
        <f>(B914*C914)/'Cost of fabrics'!$C$9*D914</f>
        <v>0.13675213675213677</v>
      </c>
      <c r="G914" s="1" t="s">
        <v>2791</v>
      </c>
      <c r="H914" s="1">
        <v>13</v>
      </c>
      <c r="I914" s="1">
        <v>9</v>
      </c>
      <c r="J914" s="1">
        <v>9</v>
      </c>
      <c r="K914" s="60">
        <f>'Mixer sizes'!J249</f>
        <v>0</v>
      </c>
      <c r="L914" s="1">
        <f>'Mixer sizes'!K249</f>
        <v>0</v>
      </c>
    </row>
    <row r="915" spans="1:12">
      <c r="A915" s="1" t="s">
        <v>1566</v>
      </c>
      <c r="C915" s="1">
        <v>0</v>
      </c>
      <c r="D915" s="1">
        <v>4</v>
      </c>
      <c r="E915" s="3">
        <f>(B915*C915)/'Cost of fabrics'!$C$20*D915</f>
        <v>0</v>
      </c>
      <c r="G915" s="27" t="s">
        <v>3567</v>
      </c>
      <c r="H915" s="27">
        <v>14</v>
      </c>
      <c r="I915" s="27">
        <v>14</v>
      </c>
      <c r="J915" s="27">
        <v>9</v>
      </c>
      <c r="K915" s="27">
        <f>'Mixer sizes'!J4</f>
        <v>32</v>
      </c>
      <c r="L915" s="62">
        <f>'Mixer sizes'!K4</f>
        <v>252</v>
      </c>
    </row>
    <row r="916" spans="1:12">
      <c r="A916" s="1" t="s">
        <v>1616</v>
      </c>
      <c r="B916" s="1">
        <f>I919</f>
        <v>110</v>
      </c>
      <c r="C916" s="1">
        <v>1</v>
      </c>
      <c r="D916" s="1">
        <v>2</v>
      </c>
      <c r="E916" s="3">
        <v>2</v>
      </c>
    </row>
    <row r="917" spans="1:12">
      <c r="A917" s="198" t="s">
        <v>555</v>
      </c>
      <c r="B917" s="198"/>
      <c r="C917" s="198"/>
      <c r="D917" s="198"/>
      <c r="E917" s="207">
        <f>SUM(E912:E916)</f>
        <v>3.466286799620133</v>
      </c>
      <c r="H917" s="1" t="s">
        <v>2366</v>
      </c>
      <c r="I917" s="60">
        <f>(I915+J915)*2</f>
        <v>46</v>
      </c>
    </row>
    <row r="918" spans="1:12">
      <c r="A918" s="1" t="s">
        <v>1569</v>
      </c>
      <c r="C918" s="1">
        <v>1</v>
      </c>
      <c r="D918" s="1">
        <v>8</v>
      </c>
      <c r="E918" s="3">
        <f>C918*D918</f>
        <v>8</v>
      </c>
      <c r="H918" s="1" t="s">
        <v>2638</v>
      </c>
      <c r="I918" s="60">
        <f>K915*2</f>
        <v>64</v>
      </c>
    </row>
    <row r="919" spans="1:12">
      <c r="A919" s="7" t="s">
        <v>1571</v>
      </c>
      <c r="B919" s="7"/>
      <c r="C919" s="7"/>
      <c r="D919" s="7"/>
      <c r="E919" s="10">
        <f>SUM(E917:E918)</f>
        <v>11.466286799620132</v>
      </c>
      <c r="F919" s="417">
        <v>35</v>
      </c>
      <c r="I919" s="60">
        <f>SUM(I917:I918)</f>
        <v>110</v>
      </c>
      <c r="K919" s="1" t="s">
        <v>2366</v>
      </c>
      <c r="L919" s="1">
        <f>10*39</f>
        <v>390</v>
      </c>
    </row>
    <row r="920" spans="1:12">
      <c r="A920" s="209" t="s">
        <v>1572</v>
      </c>
      <c r="B920" s="209"/>
      <c r="C920" s="209"/>
      <c r="D920" s="209"/>
      <c r="E920" s="210">
        <f>E919*1.5</f>
        <v>17.199430199430196</v>
      </c>
    </row>
    <row r="923" spans="1:12">
      <c r="A923" s="7" t="s">
        <v>3630</v>
      </c>
      <c r="B923" s="1" t="s">
        <v>3631</v>
      </c>
      <c r="J923" s="1" t="s">
        <v>3620</v>
      </c>
      <c r="K923" s="1" t="s">
        <v>1571</v>
      </c>
    </row>
    <row r="924" spans="1:12">
      <c r="A924" s="1" t="s">
        <v>1556</v>
      </c>
      <c r="B924" s="1">
        <f>J924+J925</f>
        <v>396</v>
      </c>
      <c r="C924" s="1">
        <v>1</v>
      </c>
      <c r="D924" s="1">
        <v>8</v>
      </c>
      <c r="E924" s="3">
        <f>(B924*C924)/'Cost of fabrics'!$C$4*D924+K925</f>
        <v>4.0952380952380949</v>
      </c>
      <c r="I924" s="1" t="s">
        <v>3618</v>
      </c>
      <c r="J924" s="1">
        <f>18*22</f>
        <v>396</v>
      </c>
    </row>
    <row r="925" spans="1:12">
      <c r="A925" s="1" t="s">
        <v>1557</v>
      </c>
      <c r="B925" s="1">
        <f>J926</f>
        <v>396</v>
      </c>
      <c r="C925" s="1">
        <v>1</v>
      </c>
      <c r="D925" s="1">
        <v>8</v>
      </c>
      <c r="E925" s="3">
        <f>(B925*C925)/'Cost of fabrics'!$C$4*D925</f>
        <v>2.0952380952380953</v>
      </c>
      <c r="I925" s="1" t="s">
        <v>3632</v>
      </c>
      <c r="K925" s="1">
        <v>2</v>
      </c>
    </row>
    <row r="926" spans="1:12">
      <c r="A926" s="1" t="s">
        <v>1898</v>
      </c>
      <c r="B926" s="1">
        <f>B925</f>
        <v>396</v>
      </c>
      <c r="C926" s="1">
        <v>1</v>
      </c>
      <c r="D926" s="1">
        <v>9</v>
      </c>
      <c r="E926" s="3">
        <f>(B926*C926)/'Cost of fabrics'!$C$23*D926</f>
        <v>0.45</v>
      </c>
      <c r="I926" s="1" t="s">
        <v>3619</v>
      </c>
      <c r="J926" s="1">
        <f>J924</f>
        <v>396</v>
      </c>
    </row>
    <row r="927" spans="1:12">
      <c r="A927" s="1" t="s">
        <v>1566</v>
      </c>
      <c r="B927" s="1">
        <f>B924</f>
        <v>396</v>
      </c>
      <c r="C927" s="1">
        <v>1</v>
      </c>
      <c r="D927" s="1">
        <v>4</v>
      </c>
      <c r="E927" s="3">
        <f>(B927*C927)/'Cost of fabrics'!$C$20*D927</f>
        <v>1.8857142857142857</v>
      </c>
      <c r="F927" s="1" t="s">
        <v>3629</v>
      </c>
      <c r="I927" s="1" t="s">
        <v>1898</v>
      </c>
    </row>
    <row r="928" spans="1:12">
      <c r="A928" s="1" t="s">
        <v>3623</v>
      </c>
      <c r="B928" s="1">
        <f>K925*2.5</f>
        <v>5</v>
      </c>
      <c r="C928" s="1">
        <v>1</v>
      </c>
      <c r="E928" s="3">
        <v>1</v>
      </c>
      <c r="I928" s="1" t="s">
        <v>3622</v>
      </c>
    </row>
    <row r="929" spans="1:12">
      <c r="A929" s="1" t="s">
        <v>2563</v>
      </c>
      <c r="E929" s="3">
        <v>1</v>
      </c>
      <c r="I929" s="1" t="s">
        <v>2121</v>
      </c>
      <c r="J929" s="1">
        <v>30</v>
      </c>
      <c r="K929" s="1">
        <v>3</v>
      </c>
    </row>
    <row r="930" spans="1:12">
      <c r="A930" s="198" t="s">
        <v>555</v>
      </c>
      <c r="B930" s="198"/>
      <c r="C930" s="198"/>
      <c r="D930" s="198"/>
      <c r="E930" s="207">
        <f>SUM(E924:E929)</f>
        <v>10.526190476190475</v>
      </c>
      <c r="F930" s="417">
        <f>E930*3</f>
        <v>31.578571428571426</v>
      </c>
    </row>
    <row r="931" spans="1:12">
      <c r="A931" s="1" t="s">
        <v>1569</v>
      </c>
      <c r="C931" s="1">
        <v>1.5</v>
      </c>
      <c r="D931" s="1">
        <v>8</v>
      </c>
      <c r="E931" s="3">
        <f>C931*D931</f>
        <v>12</v>
      </c>
    </row>
    <row r="932" spans="1:12">
      <c r="A932" s="7" t="s">
        <v>1571</v>
      </c>
      <c r="B932" s="7"/>
      <c r="C932" s="7"/>
      <c r="D932" s="7"/>
      <c r="E932" s="10">
        <f>SUM(E930:E931)</f>
        <v>22.526190476190475</v>
      </c>
    </row>
    <row r="933" spans="1:12">
      <c r="A933" s="209" t="s">
        <v>1572</v>
      </c>
      <c r="B933" s="209"/>
      <c r="C933" s="209"/>
      <c r="D933" s="209"/>
      <c r="E933" s="210">
        <f>E932*1.3</f>
        <v>29.28404761904762</v>
      </c>
    </row>
    <row r="936" spans="1:12">
      <c r="A936" s="7" t="s">
        <v>3642</v>
      </c>
      <c r="C936" s="1" t="s">
        <v>3645</v>
      </c>
      <c r="D936" s="1" t="s">
        <v>3646</v>
      </c>
    </row>
    <row r="937" spans="1:12">
      <c r="A937" s="1" t="s">
        <v>1556</v>
      </c>
      <c r="B937" s="1">
        <f>K942</f>
        <v>1192</v>
      </c>
      <c r="C937" s="1">
        <v>1</v>
      </c>
      <c r="D937" s="1">
        <v>8</v>
      </c>
      <c r="E937" s="3">
        <f>(B937*C937)/'Cost of fabrics'!$C$4*D937</f>
        <v>6.306878306878307</v>
      </c>
      <c r="H937" s="1" t="s">
        <v>1595</v>
      </c>
      <c r="I937" s="1" t="s">
        <v>1594</v>
      </c>
    </row>
    <row r="938" spans="1:12">
      <c r="A938" s="1" t="s">
        <v>1557</v>
      </c>
      <c r="B938" s="1">
        <f>K938+K940</f>
        <v>802</v>
      </c>
      <c r="C938" s="1">
        <v>1</v>
      </c>
      <c r="D938" s="1">
        <v>8</v>
      </c>
      <c r="E938" s="3">
        <f>(B938*C938)/'Cost of fabrics'!$C$4*D938</f>
        <v>4.2433862433862437</v>
      </c>
      <c r="G938" s="1" t="s">
        <v>3639</v>
      </c>
      <c r="H938" s="1">
        <v>32</v>
      </c>
      <c r="I938" s="1">
        <v>22</v>
      </c>
      <c r="J938" s="1">
        <v>1</v>
      </c>
      <c r="K938" s="1">
        <f>H938*I938*J938</f>
        <v>704</v>
      </c>
      <c r="L938" s="400"/>
    </row>
    <row r="939" spans="1:12">
      <c r="A939" s="1" t="s">
        <v>3600</v>
      </c>
      <c r="B939" s="1">
        <f>I938*J938</f>
        <v>22</v>
      </c>
      <c r="C939" s="1">
        <v>2</v>
      </c>
      <c r="E939" s="3">
        <f>(B939*C939)/'Cost of fabrics'!$C$4*D939</f>
        <v>0</v>
      </c>
      <c r="G939" s="1" t="s">
        <v>3641</v>
      </c>
      <c r="H939" s="1">
        <v>4.5</v>
      </c>
      <c r="I939" s="1">
        <v>34</v>
      </c>
      <c r="J939" s="1">
        <v>2</v>
      </c>
      <c r="K939" s="1">
        <f t="shared" ref="K939:K941" si="29">H939*I939*J939</f>
        <v>306</v>
      </c>
    </row>
    <row r="940" spans="1:12">
      <c r="A940" s="1" t="s">
        <v>1566</v>
      </c>
      <c r="B940" s="1">
        <f>B937</f>
        <v>1192</v>
      </c>
      <c r="C940" s="1">
        <v>1</v>
      </c>
      <c r="E940" s="3">
        <f>(B940*C940)/'Cost of fabrics'!$C$20*D940</f>
        <v>0</v>
      </c>
      <c r="G940" s="1" t="s">
        <v>1559</v>
      </c>
      <c r="H940" s="400">
        <v>7</v>
      </c>
      <c r="I940" s="1">
        <v>14</v>
      </c>
      <c r="J940" s="1">
        <v>1</v>
      </c>
      <c r="K940" s="1">
        <f t="shared" si="29"/>
        <v>98</v>
      </c>
    </row>
    <row r="941" spans="1:12">
      <c r="A941" s="1" t="s">
        <v>1616</v>
      </c>
      <c r="B941" s="1">
        <f>K938*2.5</f>
        <v>1760</v>
      </c>
      <c r="C941" s="1">
        <v>1</v>
      </c>
      <c r="E941" s="3">
        <f>(B941*C941)/'Cost of fabrics'!$C$4*D941</f>
        <v>0</v>
      </c>
      <c r="G941" s="1" t="s">
        <v>3640</v>
      </c>
      <c r="H941" s="1">
        <v>4</v>
      </c>
      <c r="I941" s="1">
        <v>21</v>
      </c>
      <c r="J941" s="1">
        <v>1</v>
      </c>
      <c r="K941" s="1">
        <f t="shared" si="29"/>
        <v>84</v>
      </c>
    </row>
    <row r="942" spans="1:12">
      <c r="A942" s="198" t="s">
        <v>555</v>
      </c>
      <c r="B942" s="198"/>
      <c r="C942" s="198"/>
      <c r="D942" s="198"/>
      <c r="E942" s="207">
        <f>SUM(E937:E941)</f>
        <v>10.550264550264551</v>
      </c>
      <c r="K942" s="1">
        <f>SUM(K938:K941)</f>
        <v>1192</v>
      </c>
    </row>
    <row r="943" spans="1:12">
      <c r="A943" s="1" t="s">
        <v>1569</v>
      </c>
      <c r="C943" s="1">
        <v>1</v>
      </c>
      <c r="D943" s="1">
        <v>8</v>
      </c>
      <c r="E943" s="3">
        <f>C943*D943</f>
        <v>8</v>
      </c>
    </row>
    <row r="944" spans="1:12">
      <c r="A944" s="7" t="s">
        <v>1571</v>
      </c>
      <c r="B944" s="7"/>
      <c r="C944" s="7"/>
      <c r="D944" s="7"/>
      <c r="E944" s="10">
        <f>SUM(E942:E943)</f>
        <v>18.550264550264551</v>
      </c>
    </row>
    <row r="945" spans="1:14">
      <c r="A945" s="209" t="s">
        <v>1572</v>
      </c>
      <c r="B945" s="209"/>
      <c r="C945" s="209"/>
      <c r="D945" s="209"/>
      <c r="E945" s="210">
        <f>E944*1.3</f>
        <v>24.115343915343917</v>
      </c>
    </row>
    <row r="948" spans="1:14">
      <c r="A948" s="7" t="s">
        <v>3647</v>
      </c>
      <c r="C948" s="1" t="s">
        <v>3651</v>
      </c>
    </row>
    <row r="949" spans="1:14">
      <c r="A949" s="1" t="s">
        <v>3648</v>
      </c>
      <c r="B949" s="1">
        <f>K950</f>
        <v>128</v>
      </c>
      <c r="C949" s="1">
        <v>1</v>
      </c>
      <c r="D949" s="1">
        <v>8</v>
      </c>
      <c r="E949" s="3">
        <f>(B949*C949)/'Cost of fabrics'!$C$4*D949</f>
        <v>0.67724867724867721</v>
      </c>
      <c r="H949" s="1" t="s">
        <v>1595</v>
      </c>
      <c r="I949" s="1" t="s">
        <v>1594</v>
      </c>
      <c r="L949" s="1" t="s">
        <v>1571</v>
      </c>
      <c r="M949" s="1" t="s">
        <v>1572</v>
      </c>
      <c r="N949" s="1" t="s">
        <v>3652</v>
      </c>
    </row>
    <row r="950" spans="1:14">
      <c r="A950" s="1" t="s">
        <v>3649</v>
      </c>
      <c r="B950" s="1">
        <f t="shared" ref="B950:B951" si="30">K951</f>
        <v>98</v>
      </c>
      <c r="C950" s="1">
        <v>1</v>
      </c>
      <c r="D950" s="1">
        <v>8</v>
      </c>
      <c r="E950" s="3">
        <f>(B950*C950)/'Cost of fabrics'!$C$4*D950</f>
        <v>0.51851851851851849</v>
      </c>
      <c r="G950" s="1" t="s">
        <v>3648</v>
      </c>
      <c r="H950" s="1">
        <v>16</v>
      </c>
      <c r="I950" s="1">
        <v>8</v>
      </c>
      <c r="J950" s="1">
        <v>1</v>
      </c>
      <c r="K950" s="1">
        <f>H950*I950*J950</f>
        <v>128</v>
      </c>
      <c r="L950" s="3">
        <f>E949+$E$955</f>
        <v>2.6772486772486772</v>
      </c>
      <c r="M950" s="73">
        <f>L950*1.3</f>
        <v>3.4804232804232806</v>
      </c>
      <c r="N950" s="1">
        <v>4</v>
      </c>
    </row>
    <row r="951" spans="1:14">
      <c r="A951" s="1" t="s">
        <v>3650</v>
      </c>
      <c r="B951" s="1">
        <f t="shared" si="30"/>
        <v>84</v>
      </c>
      <c r="C951" s="1">
        <v>1</v>
      </c>
      <c r="D951" s="1">
        <v>8</v>
      </c>
      <c r="E951" s="3">
        <f>(B951*C951)/'Cost of fabrics'!$C$4*D951</f>
        <v>0.44444444444444442</v>
      </c>
      <c r="G951" s="1" t="s">
        <v>3649</v>
      </c>
      <c r="H951" s="1">
        <v>14</v>
      </c>
      <c r="I951" s="1">
        <v>7</v>
      </c>
      <c r="J951" s="1">
        <v>1</v>
      </c>
      <c r="K951" s="1">
        <f t="shared" ref="K951:K952" si="31">H951*I951*J951</f>
        <v>98</v>
      </c>
      <c r="L951" s="3">
        <f>E950+$E$955</f>
        <v>2.5185185185185186</v>
      </c>
      <c r="M951" s="73">
        <f>L951*1.3</f>
        <v>3.2740740740740741</v>
      </c>
      <c r="N951" s="1">
        <v>3</v>
      </c>
    </row>
    <row r="952" spans="1:14">
      <c r="E952" s="3">
        <f>(B952*C952)/'Cost of fabrics'!$C$20*D952</f>
        <v>0</v>
      </c>
      <c r="G952" s="1" t="s">
        <v>3650</v>
      </c>
      <c r="H952" s="400">
        <v>14</v>
      </c>
      <c r="I952" s="1">
        <v>6</v>
      </c>
      <c r="J952" s="1">
        <v>1</v>
      </c>
      <c r="K952" s="1">
        <f t="shared" si="31"/>
        <v>84</v>
      </c>
      <c r="L952" s="3">
        <f>E951+$E$955</f>
        <v>2.4444444444444446</v>
      </c>
      <c r="M952" s="73">
        <f>L952*1.3</f>
        <v>3.177777777777778</v>
      </c>
      <c r="N952" s="1">
        <v>3</v>
      </c>
    </row>
    <row r="953" spans="1:14">
      <c r="A953" s="1" t="s">
        <v>2084</v>
      </c>
      <c r="B953" s="1">
        <f>4*4</f>
        <v>16</v>
      </c>
      <c r="C953" s="1">
        <f>36*6</f>
        <v>216</v>
      </c>
      <c r="D953" s="1">
        <v>1.8</v>
      </c>
      <c r="E953" s="3">
        <f>B953*D953/C953</f>
        <v>0.13333333333333333</v>
      </c>
    </row>
    <row r="954" spans="1:14">
      <c r="A954" s="198" t="s">
        <v>555</v>
      </c>
      <c r="B954" s="198"/>
      <c r="C954" s="198"/>
      <c r="D954" s="198"/>
      <c r="E954" s="207">
        <f>SUM(E949:E953)</f>
        <v>1.7735449735449735</v>
      </c>
    </row>
    <row r="955" spans="1:14">
      <c r="A955" s="1" t="s">
        <v>1569</v>
      </c>
      <c r="C955" s="1">
        <v>0.25</v>
      </c>
      <c r="D955" s="1">
        <v>8</v>
      </c>
      <c r="E955" s="3">
        <f>C955*D955</f>
        <v>2</v>
      </c>
    </row>
    <row r="956" spans="1:14">
      <c r="A956" s="7" t="s">
        <v>1571</v>
      </c>
      <c r="B956" s="7"/>
      <c r="C956" s="7"/>
      <c r="D956" s="7"/>
      <c r="E956" s="10">
        <f>SUM(E954:E955)</f>
        <v>3.7735449735449738</v>
      </c>
    </row>
    <row r="957" spans="1:14">
      <c r="A957" s="209" t="s">
        <v>1572</v>
      </c>
      <c r="B957" s="209"/>
      <c r="C957" s="209"/>
      <c r="D957" s="209"/>
      <c r="E957" s="210">
        <f>E956*1.3</f>
        <v>4.9056084656084664</v>
      </c>
    </row>
    <row r="960" spans="1:14">
      <c r="A960" s="7" t="s">
        <v>3673</v>
      </c>
      <c r="B960" s="1" t="s">
        <v>3674</v>
      </c>
      <c r="I960" s="1" t="s">
        <v>1595</v>
      </c>
      <c r="J960" s="1" t="s">
        <v>1594</v>
      </c>
      <c r="K960" s="1" t="s">
        <v>1571</v>
      </c>
    </row>
    <row r="961" spans="1:11">
      <c r="A961" s="1" t="s">
        <v>1556</v>
      </c>
      <c r="B961" s="1">
        <f>I961*J961</f>
        <v>142.5</v>
      </c>
      <c r="C961" s="1">
        <v>1</v>
      </c>
      <c r="D961" s="1">
        <v>6</v>
      </c>
      <c r="E961" s="3">
        <f>(B961*C961)/'Cost of fabrics'!$C$4*D961+K962</f>
        <v>0.56547619047619047</v>
      </c>
      <c r="H961" s="1" t="s">
        <v>3618</v>
      </c>
      <c r="I961" s="1">
        <v>15</v>
      </c>
      <c r="J961" s="1">
        <v>9.5</v>
      </c>
    </row>
    <row r="962" spans="1:11">
      <c r="A962" s="1" t="s">
        <v>1557</v>
      </c>
      <c r="B962" s="1">
        <f>I962*J962</f>
        <v>142.5</v>
      </c>
      <c r="C962" s="1">
        <v>1</v>
      </c>
      <c r="D962" s="1">
        <v>6</v>
      </c>
      <c r="E962" s="3">
        <f>(B962*C962)/'Cost of fabrics'!$C$4*D962</f>
        <v>0.56547619047619047</v>
      </c>
      <c r="H962" s="1" t="s">
        <v>3619</v>
      </c>
      <c r="I962" s="1">
        <v>15</v>
      </c>
      <c r="J962" s="1">
        <v>9.5</v>
      </c>
    </row>
    <row r="963" spans="1:11">
      <c r="A963" s="1" t="s">
        <v>1898</v>
      </c>
      <c r="B963" s="1">
        <f>I963*J963</f>
        <v>142.5</v>
      </c>
      <c r="C963" s="1">
        <v>1</v>
      </c>
      <c r="D963" s="1">
        <v>9</v>
      </c>
      <c r="E963" s="3">
        <f>(B963*C963)/'Cost of fabrics'!$C$23*D963</f>
        <v>0.1619318181818182</v>
      </c>
      <c r="H963" s="1" t="s">
        <v>1898</v>
      </c>
      <c r="I963" s="1">
        <v>15</v>
      </c>
      <c r="J963" s="1">
        <v>9.5</v>
      </c>
    </row>
    <row r="964" spans="1:11">
      <c r="A964" s="1" t="s">
        <v>1566</v>
      </c>
      <c r="B964" s="1">
        <f>I964*J964</f>
        <v>142.5</v>
      </c>
      <c r="C964" s="1">
        <v>1</v>
      </c>
      <c r="D964" s="1">
        <v>4</v>
      </c>
      <c r="E964" s="3">
        <f>(B964*C964)/'Cost of fabrics'!$C$20*D964</f>
        <v>0.6785714285714286</v>
      </c>
      <c r="F964" s="1" t="s">
        <v>3629</v>
      </c>
      <c r="H964" s="1" t="s">
        <v>3622</v>
      </c>
      <c r="I964" s="1">
        <v>15</v>
      </c>
      <c r="J964" s="1">
        <v>9.5</v>
      </c>
    </row>
    <row r="965" spans="1:11">
      <c r="A965" s="1" t="s">
        <v>3623</v>
      </c>
      <c r="B965" s="1">
        <f>K962*2.5</f>
        <v>0</v>
      </c>
      <c r="C965" s="1">
        <v>1</v>
      </c>
      <c r="E965" s="3">
        <v>1</v>
      </c>
      <c r="H965" s="1" t="s">
        <v>2121</v>
      </c>
      <c r="J965" s="1">
        <v>12</v>
      </c>
    </row>
    <row r="966" spans="1:11">
      <c r="A966" s="1" t="s">
        <v>3675</v>
      </c>
      <c r="E966" s="3">
        <v>1.5</v>
      </c>
    </row>
    <row r="967" spans="1:11">
      <c r="A967" s="198" t="s">
        <v>555</v>
      </c>
      <c r="B967" s="198"/>
      <c r="C967" s="198"/>
      <c r="D967" s="198"/>
      <c r="E967" s="207">
        <f>SUM(E961:E966)</f>
        <v>4.4714556277056277</v>
      </c>
      <c r="F967" s="417">
        <f>E967*3</f>
        <v>13.414366883116884</v>
      </c>
    </row>
    <row r="968" spans="1:11">
      <c r="A968" s="1" t="s">
        <v>1569</v>
      </c>
      <c r="C968" s="1">
        <v>0.75</v>
      </c>
      <c r="D968" s="1">
        <v>8</v>
      </c>
      <c r="E968" s="3">
        <f>C968*D968</f>
        <v>6</v>
      </c>
    </row>
    <row r="969" spans="1:11">
      <c r="A969" s="7" t="s">
        <v>1571</v>
      </c>
      <c r="B969" s="7"/>
      <c r="C969" s="7"/>
      <c r="D969" s="7"/>
      <c r="E969" s="10">
        <f>SUM(E967:E968)</f>
        <v>10.471455627705627</v>
      </c>
    </row>
    <row r="970" spans="1:11">
      <c r="A970" s="209" t="s">
        <v>1572</v>
      </c>
      <c r="B970" s="209"/>
      <c r="C970" s="209"/>
      <c r="D970" s="209"/>
      <c r="E970" s="210">
        <f>E969*1.3</f>
        <v>13.612892316017316</v>
      </c>
      <c r="F970" s="1" t="s">
        <v>3676</v>
      </c>
    </row>
    <row r="973" spans="1:11">
      <c r="A973" s="7" t="s">
        <v>3678</v>
      </c>
      <c r="B973" s="1" t="s">
        <v>3679</v>
      </c>
      <c r="I973" s="1" t="s">
        <v>1595</v>
      </c>
      <c r="J973" s="1" t="s">
        <v>1594</v>
      </c>
      <c r="K973" s="1" t="s">
        <v>1571</v>
      </c>
    </row>
    <row r="974" spans="1:11">
      <c r="A974" s="1" t="s">
        <v>1556</v>
      </c>
      <c r="B974" s="1">
        <f>I974*J974</f>
        <v>396</v>
      </c>
      <c r="C974" s="1">
        <v>1</v>
      </c>
      <c r="D974" s="1">
        <v>8</v>
      </c>
      <c r="E974" s="3">
        <f>(B974*C974)/'Cost of fabrics'!$C$4*D974+K975</f>
        <v>2.0952380952380953</v>
      </c>
      <c r="H974" s="1" t="s">
        <v>3618</v>
      </c>
      <c r="I974" s="1">
        <v>22</v>
      </c>
      <c r="J974" s="1">
        <v>18</v>
      </c>
    </row>
    <row r="975" spans="1:11">
      <c r="A975" s="1" t="s">
        <v>1557</v>
      </c>
      <c r="B975" s="1">
        <f>I975*J975</f>
        <v>396</v>
      </c>
      <c r="C975" s="1">
        <v>1</v>
      </c>
      <c r="D975" s="1">
        <v>8</v>
      </c>
      <c r="E975" s="3">
        <f>(B975*C975)/'Cost of fabrics'!$C$4*D975</f>
        <v>2.0952380952380953</v>
      </c>
      <c r="H975" s="1" t="s">
        <v>3619</v>
      </c>
      <c r="I975" s="1">
        <v>22</v>
      </c>
      <c r="J975" s="1">
        <v>18</v>
      </c>
    </row>
    <row r="976" spans="1:11">
      <c r="A976" s="1" t="s">
        <v>3680</v>
      </c>
      <c r="B976" s="1">
        <f>I976*J976</f>
        <v>396</v>
      </c>
      <c r="C976" s="1">
        <v>1</v>
      </c>
      <c r="D976" s="1">
        <v>8</v>
      </c>
      <c r="E976" s="3">
        <f>(B976*C976)/'Cost of fabrics'!$C$4*D976</f>
        <v>2.0952380952380953</v>
      </c>
      <c r="H976" s="1" t="s">
        <v>3680</v>
      </c>
      <c r="I976" s="1">
        <v>22</v>
      </c>
      <c r="J976" s="1">
        <v>18</v>
      </c>
    </row>
    <row r="977" spans="1:12">
      <c r="A977" s="1" t="s">
        <v>1898</v>
      </c>
      <c r="B977" s="1">
        <f>K977</f>
        <v>1188</v>
      </c>
      <c r="C977" s="1">
        <v>1</v>
      </c>
      <c r="D977" s="1">
        <v>9</v>
      </c>
      <c r="E977" s="3">
        <f>(B977*C977)/'Cost of fabrics'!$C$23*D977</f>
        <v>1.3499999999999999</v>
      </c>
      <c r="H977" s="1" t="s">
        <v>1898</v>
      </c>
      <c r="K977" s="1">
        <f>(I974*J974)*3</f>
        <v>1188</v>
      </c>
    </row>
    <row r="978" spans="1:12">
      <c r="A978" s="1" t="s">
        <v>3681</v>
      </c>
      <c r="B978" s="1">
        <f>I978*J978</f>
        <v>0</v>
      </c>
      <c r="C978" s="1">
        <v>1</v>
      </c>
      <c r="D978" s="1">
        <v>4</v>
      </c>
      <c r="E978" s="3">
        <v>1</v>
      </c>
      <c r="H978" s="1" t="s">
        <v>3622</v>
      </c>
    </row>
    <row r="979" spans="1:12">
      <c r="A979" s="1" t="s">
        <v>3623</v>
      </c>
      <c r="B979" s="1">
        <f>K975*2.5</f>
        <v>0</v>
      </c>
      <c r="C979" s="1">
        <v>1</v>
      </c>
      <c r="E979" s="3">
        <v>1</v>
      </c>
      <c r="H979" s="1" t="s">
        <v>2121</v>
      </c>
      <c r="J979" s="1">
        <v>7</v>
      </c>
    </row>
    <row r="980" spans="1:12">
      <c r="A980" s="1" t="s">
        <v>3675</v>
      </c>
      <c r="E980" s="3">
        <v>1.5</v>
      </c>
    </row>
    <row r="981" spans="1:12">
      <c r="A981" s="198" t="s">
        <v>555</v>
      </c>
      <c r="B981" s="198"/>
      <c r="C981" s="198"/>
      <c r="D981" s="198"/>
      <c r="E981" s="207">
        <f>SUM(E974:E980)</f>
        <v>11.135714285714286</v>
      </c>
      <c r="F981" s="417">
        <f>E981*3</f>
        <v>33.407142857142858</v>
      </c>
    </row>
    <row r="982" spans="1:12">
      <c r="A982" s="1" t="s">
        <v>1569</v>
      </c>
      <c r="C982" s="1">
        <v>1</v>
      </c>
      <c r="D982" s="1">
        <v>8</v>
      </c>
      <c r="E982" s="3">
        <f>C982*D982</f>
        <v>8</v>
      </c>
    </row>
    <row r="983" spans="1:12">
      <c r="A983" s="7" t="s">
        <v>1571</v>
      </c>
      <c r="B983" s="7"/>
      <c r="C983" s="7"/>
      <c r="D983" s="7"/>
      <c r="E983" s="10">
        <f>SUM(E981:E982)</f>
        <v>19.135714285714286</v>
      </c>
    </row>
    <row r="984" spans="1:12">
      <c r="A984" s="209" t="s">
        <v>1572</v>
      </c>
      <c r="B984" s="209"/>
      <c r="C984" s="209"/>
      <c r="D984" s="209"/>
      <c r="E984" s="210">
        <f>E983*1.3</f>
        <v>24.876428571428573</v>
      </c>
    </row>
    <row r="987" spans="1:12">
      <c r="A987" s="7" t="s">
        <v>3750</v>
      </c>
      <c r="C987" s="1" t="s">
        <v>2548</v>
      </c>
    </row>
    <row r="988" spans="1:12">
      <c r="A988" s="1" t="s">
        <v>1556</v>
      </c>
      <c r="B988" s="1">
        <f>L992+L993</f>
        <v>164</v>
      </c>
      <c r="C988" s="1">
        <v>1</v>
      </c>
      <c r="D988" s="1">
        <v>14</v>
      </c>
      <c r="E988" s="3">
        <f>(B988*C988)/'Cost of fabrics'!$C$4*D988</f>
        <v>1.5185185185185184</v>
      </c>
    </row>
    <row r="989" spans="1:12">
      <c r="A989" s="1" t="s">
        <v>1557</v>
      </c>
      <c r="B989" s="1">
        <f>B988</f>
        <v>164</v>
      </c>
      <c r="C989" s="1">
        <v>1</v>
      </c>
      <c r="D989" s="1">
        <v>6</v>
      </c>
      <c r="E989" s="3">
        <f>(B989*C989)/'Cost of fabrics'!$C$4*D989</f>
        <v>0.6507936507936507</v>
      </c>
      <c r="H989" s="1" t="s">
        <v>1595</v>
      </c>
      <c r="I989" s="1" t="s">
        <v>1594</v>
      </c>
      <c r="J989" s="1" t="s">
        <v>1646</v>
      </c>
      <c r="K989" s="1" t="s">
        <v>1643</v>
      </c>
      <c r="L989" s="1" t="s">
        <v>1648</v>
      </c>
    </row>
    <row r="990" spans="1:12">
      <c r="A990" s="1" t="s">
        <v>1559</v>
      </c>
      <c r="B990" s="1">
        <f>9*I990</f>
        <v>63</v>
      </c>
      <c r="C990" s="1">
        <v>2</v>
      </c>
      <c r="D990" s="1">
        <v>14</v>
      </c>
      <c r="E990" s="3">
        <f>(B990*C990)/'Cost of fabrics'!$C$4*D990</f>
        <v>1.1666666666666665</v>
      </c>
      <c r="H990" s="27">
        <v>12</v>
      </c>
      <c r="I990" s="27">
        <v>7</v>
      </c>
      <c r="J990" s="27">
        <v>12</v>
      </c>
      <c r="K990" s="62">
        <f>'Mixer sizes'!J126</f>
        <v>31.857142857142858</v>
      </c>
      <c r="L990" s="62">
        <f>'Mixer sizes'!K126</f>
        <v>288</v>
      </c>
    </row>
    <row r="991" spans="1:12">
      <c r="A991" s="1" t="s">
        <v>1566</v>
      </c>
      <c r="B991" s="1">
        <f>B988+B990</f>
        <v>227</v>
      </c>
      <c r="C991" s="1">
        <v>1</v>
      </c>
      <c r="D991" s="1">
        <v>4</v>
      </c>
      <c r="E991" s="3">
        <f>(B991*C991)/'Cost of fabrics'!$C$20*D991</f>
        <v>1.0809523809523809</v>
      </c>
      <c r="I991" s="1">
        <v>18</v>
      </c>
      <c r="J991" s="1">
        <v>17</v>
      </c>
    </row>
    <row r="992" spans="1:12">
      <c r="A992" s="1" t="s">
        <v>1616</v>
      </c>
      <c r="B992" s="1">
        <f>I992</f>
        <v>101.25</v>
      </c>
      <c r="C992" s="1">
        <v>1</v>
      </c>
      <c r="D992" s="1">
        <v>6</v>
      </c>
      <c r="E992" s="3">
        <f>(B992*C992)/'Cost of fabrics'!$C$20*D992</f>
        <v>0.7232142857142857</v>
      </c>
      <c r="F992" s="206" t="s">
        <v>1669</v>
      </c>
      <c r="H992" s="1" t="s">
        <v>2317</v>
      </c>
      <c r="I992" s="1">
        <f>(I990+(I990+J990)*2)*2.25</f>
        <v>101.25</v>
      </c>
      <c r="K992" s="1" t="s">
        <v>2543</v>
      </c>
      <c r="L992" s="1">
        <f>(I990+2)*(J990+2)</f>
        <v>126</v>
      </c>
    </row>
    <row r="993" spans="1:12">
      <c r="A993" s="198" t="s">
        <v>555</v>
      </c>
      <c r="B993" s="198"/>
      <c r="C993" s="198"/>
      <c r="D993" s="198"/>
      <c r="E993" s="207">
        <f>SUM(E988:E992)</f>
        <v>5.1401455026455025</v>
      </c>
      <c r="F993" s="417">
        <f>E993*3</f>
        <v>15.420436507936508</v>
      </c>
      <c r="K993" s="1" t="s">
        <v>2544</v>
      </c>
      <c r="L993" s="1">
        <f>(I990+J990)*2</f>
        <v>38</v>
      </c>
    </row>
    <row r="994" spans="1:12">
      <c r="A994" s="1" t="s">
        <v>1569</v>
      </c>
      <c r="C994" s="1">
        <v>2</v>
      </c>
      <c r="D994" s="1">
        <v>8</v>
      </c>
      <c r="E994" s="3">
        <f>C994*D994</f>
        <v>16</v>
      </c>
      <c r="K994" s="1" t="s">
        <v>2547</v>
      </c>
      <c r="L994" s="1">
        <f>L993+8</f>
        <v>46</v>
      </c>
    </row>
    <row r="995" spans="1:12">
      <c r="A995" s="7" t="s">
        <v>1571</v>
      </c>
      <c r="B995" s="7"/>
      <c r="C995" s="7"/>
      <c r="D995" s="7"/>
      <c r="E995" s="10">
        <f>SUM(E993:E994)</f>
        <v>21.140145502645503</v>
      </c>
      <c r="L995" s="1">
        <f>SUM(L992:L994)</f>
        <v>210</v>
      </c>
    </row>
    <row r="996" spans="1:12">
      <c r="A996" s="209" t="s">
        <v>1572</v>
      </c>
      <c r="B996" s="209"/>
      <c r="C996" s="209"/>
      <c r="D996" s="209"/>
      <c r="E996" s="210">
        <f>E995*1.3</f>
        <v>27.482189153439155</v>
      </c>
    </row>
  </sheetData>
  <autoFilter ref="A1:G996" xr:uid="{00000000-0001-0000-1000-000000000000}"/>
  <pageMargins left="0.7" right="0.7" top="0.75" bottom="0.75" header="0.3" footer="0.3"/>
  <pageSetup orientation="portrait" r:id="rId1"/>
  <ignoredErrors>
    <ignoredError sqref="B6 E193 E168" formula="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G164"/>
  <sheetViews>
    <sheetView zoomScale="85" zoomScaleNormal="85" zoomScaleSheetLayoutView="100" workbookViewId="0">
      <pane ySplit="1" topLeftCell="A2" activePane="bottomLeft" state="frozen"/>
      <selection pane="bottomLeft" activeCell="A2" sqref="A2"/>
    </sheetView>
  </sheetViews>
  <sheetFormatPr defaultColWidth="15.28515625" defaultRowHeight="12.75"/>
  <cols>
    <col min="1" max="1" width="5.7109375" style="179" bestFit="1" customWidth="1"/>
    <col min="2" max="2" width="12.42578125" style="179" bestFit="1" customWidth="1"/>
    <col min="3" max="5" width="20.140625" style="192" customWidth="1"/>
    <col min="6" max="6" width="25.140625" style="192" customWidth="1"/>
    <col min="7" max="7" width="20.85546875" style="192" customWidth="1"/>
    <col min="8" max="8" width="15.7109375" style="192" customWidth="1"/>
    <col min="9" max="9" width="17.7109375" style="179" bestFit="1" customWidth="1"/>
    <col min="10" max="10" width="12.28515625" style="179" bestFit="1" customWidth="1"/>
    <col min="11" max="12" width="12.28515625" style="179" customWidth="1"/>
    <col min="13" max="13" width="9.85546875" style="179" bestFit="1" customWidth="1"/>
    <col min="14" max="15" width="10.85546875" style="192" customWidth="1"/>
    <col min="16" max="16384" width="15.28515625" style="179"/>
  </cols>
  <sheetData>
    <row r="1" spans="1:137" s="349" customFormat="1" ht="26.25" thickBot="1">
      <c r="A1" s="389" t="s">
        <v>1883</v>
      </c>
      <c r="B1" s="390" t="s">
        <v>2043</v>
      </c>
      <c r="C1" s="390" t="s">
        <v>1662</v>
      </c>
      <c r="D1" s="390" t="s">
        <v>4062</v>
      </c>
      <c r="E1" s="390" t="s">
        <v>3665</v>
      </c>
      <c r="F1" s="390" t="s">
        <v>1739</v>
      </c>
      <c r="G1" s="390" t="s">
        <v>71</v>
      </c>
      <c r="H1" s="390" t="s">
        <v>2274</v>
      </c>
      <c r="I1" s="390" t="s">
        <v>1670</v>
      </c>
      <c r="J1" s="390" t="s">
        <v>1654</v>
      </c>
      <c r="K1" s="390" t="s">
        <v>3670</v>
      </c>
      <c r="L1" s="390" t="s">
        <v>3671</v>
      </c>
      <c r="M1" s="390" t="s">
        <v>1663</v>
      </c>
      <c r="N1" s="391" t="s">
        <v>1664</v>
      </c>
      <c r="O1" s="392" t="s">
        <v>2</v>
      </c>
    </row>
    <row r="2" spans="1:137">
      <c r="A2" s="383">
        <v>1</v>
      </c>
      <c r="B2" s="217" t="s">
        <v>2044</v>
      </c>
      <c r="C2" s="384" t="s">
        <v>1653</v>
      </c>
      <c r="D2" s="526" t="s">
        <v>3971</v>
      </c>
      <c r="E2" s="385" t="s">
        <v>4021</v>
      </c>
      <c r="F2" s="385" t="s">
        <v>3848</v>
      </c>
      <c r="G2" s="203" t="s">
        <v>4021</v>
      </c>
      <c r="H2" s="386">
        <v>43008</v>
      </c>
      <c r="I2" s="383"/>
      <c r="J2" s="387">
        <v>42971</v>
      </c>
      <c r="K2" s="383">
        <f>YEAR(J2)</f>
        <v>2017</v>
      </c>
      <c r="L2" s="383">
        <f>MONTH(J2)</f>
        <v>8</v>
      </c>
      <c r="M2" s="387">
        <v>42984</v>
      </c>
      <c r="N2" s="450">
        <v>1.1499999999999999</v>
      </c>
      <c r="O2" s="388">
        <v>5</v>
      </c>
    </row>
    <row r="3" spans="1:137">
      <c r="A3" s="178">
        <v>2</v>
      </c>
      <c r="B3" s="11" t="s">
        <v>2044</v>
      </c>
      <c r="C3" s="189" t="s">
        <v>1653</v>
      </c>
      <c r="D3" s="13" t="s">
        <v>3971</v>
      </c>
      <c r="E3" s="189" t="s">
        <v>3816</v>
      </c>
      <c r="F3" s="13" t="s">
        <v>3849</v>
      </c>
      <c r="G3" s="13" t="s">
        <v>3971</v>
      </c>
      <c r="H3" s="279">
        <v>43008</v>
      </c>
      <c r="I3" s="178"/>
      <c r="J3" s="193">
        <v>42971</v>
      </c>
      <c r="K3" s="178">
        <f t="shared" ref="K3:K66" si="0">YEAR(J3)</f>
        <v>2017</v>
      </c>
      <c r="L3" s="178">
        <f t="shared" ref="L3:L66" si="1">MONTH(J3)</f>
        <v>8</v>
      </c>
      <c r="M3" s="193">
        <v>42984</v>
      </c>
      <c r="N3" s="451"/>
      <c r="O3" s="343">
        <v>7</v>
      </c>
    </row>
    <row r="4" spans="1:137">
      <c r="A4" s="178">
        <v>3</v>
      </c>
      <c r="B4" s="11" t="s">
        <v>2044</v>
      </c>
      <c r="C4" s="189" t="s">
        <v>1656</v>
      </c>
      <c r="D4" s="385" t="s">
        <v>4064</v>
      </c>
      <c r="E4" s="13" t="s">
        <v>1621</v>
      </c>
      <c r="F4" s="189" t="s">
        <v>3850</v>
      </c>
      <c r="G4" s="189" t="s">
        <v>3972</v>
      </c>
      <c r="H4" s="279">
        <v>42961</v>
      </c>
      <c r="I4" s="202" t="s">
        <v>5</v>
      </c>
      <c r="J4" s="193">
        <v>42938</v>
      </c>
      <c r="K4" s="178">
        <f t="shared" si="0"/>
        <v>2017</v>
      </c>
      <c r="L4" s="178">
        <f t="shared" si="1"/>
        <v>7</v>
      </c>
      <c r="M4" s="193">
        <v>42961</v>
      </c>
      <c r="N4" s="334" t="s">
        <v>4058</v>
      </c>
      <c r="O4" s="343">
        <v>30</v>
      </c>
    </row>
    <row r="5" spans="1:137">
      <c r="A5" s="178">
        <v>4</v>
      </c>
      <c r="B5" s="11" t="s">
        <v>2044</v>
      </c>
      <c r="C5" s="189" t="s">
        <v>1655</v>
      </c>
      <c r="D5" s="385" t="s">
        <v>4064</v>
      </c>
      <c r="E5" s="13" t="s">
        <v>1621</v>
      </c>
      <c r="F5" s="189" t="s">
        <v>3851</v>
      </c>
      <c r="G5" s="189" t="s">
        <v>3973</v>
      </c>
      <c r="H5" s="279">
        <v>43013</v>
      </c>
      <c r="I5" s="178"/>
      <c r="J5" s="193">
        <v>42991</v>
      </c>
      <c r="K5" s="178">
        <f t="shared" si="0"/>
        <v>2017</v>
      </c>
      <c r="L5" s="178">
        <f t="shared" si="1"/>
        <v>9</v>
      </c>
      <c r="M5" s="193">
        <v>43014</v>
      </c>
      <c r="N5" s="333">
        <v>1.7</v>
      </c>
      <c r="O5" s="343">
        <v>30</v>
      </c>
    </row>
    <row r="6" spans="1:137">
      <c r="A6" s="178">
        <v>5</v>
      </c>
      <c r="B6" s="11" t="s">
        <v>2044</v>
      </c>
      <c r="C6" s="190" t="s">
        <v>1657</v>
      </c>
      <c r="D6" s="385" t="s">
        <v>4064</v>
      </c>
      <c r="E6" s="13" t="s">
        <v>1621</v>
      </c>
      <c r="F6" s="190" t="s">
        <v>3852</v>
      </c>
      <c r="G6" s="190" t="s">
        <v>3974</v>
      </c>
      <c r="H6" s="279">
        <v>43013</v>
      </c>
      <c r="I6" s="180"/>
      <c r="J6" s="193">
        <v>42988</v>
      </c>
      <c r="K6" s="178">
        <f t="shared" si="0"/>
        <v>2017</v>
      </c>
      <c r="L6" s="178">
        <f t="shared" si="1"/>
        <v>9</v>
      </c>
      <c r="M6" s="193">
        <v>43014</v>
      </c>
      <c r="N6" s="333">
        <v>1.7</v>
      </c>
      <c r="O6" s="343">
        <v>35</v>
      </c>
    </row>
    <row r="7" spans="1:137" s="350" customFormat="1" ht="25.5">
      <c r="A7" s="494">
        <v>6</v>
      </c>
      <c r="B7" s="495" t="s">
        <v>2045</v>
      </c>
      <c r="C7" s="496" t="s">
        <v>1658</v>
      </c>
      <c r="D7" s="385" t="s">
        <v>4064</v>
      </c>
      <c r="E7" s="496" t="s">
        <v>1621</v>
      </c>
      <c r="F7" s="496" t="s">
        <v>3853</v>
      </c>
      <c r="G7" s="496" t="s">
        <v>3975</v>
      </c>
      <c r="H7" s="497">
        <v>43019</v>
      </c>
      <c r="I7" s="487" t="s">
        <v>2045</v>
      </c>
      <c r="J7" s="498">
        <v>43005</v>
      </c>
      <c r="K7" s="494">
        <f t="shared" si="0"/>
        <v>2017</v>
      </c>
      <c r="L7" s="494">
        <f t="shared" si="1"/>
        <v>9</v>
      </c>
      <c r="M7" s="498">
        <v>43020</v>
      </c>
      <c r="N7" s="499">
        <v>1.7</v>
      </c>
      <c r="O7" s="500">
        <v>38</v>
      </c>
      <c r="P7" s="179"/>
      <c r="Q7" s="179"/>
      <c r="R7" s="179"/>
      <c r="S7" s="179"/>
      <c r="T7" s="179"/>
      <c r="U7" s="179"/>
      <c r="V7" s="179"/>
      <c r="W7" s="179"/>
      <c r="X7" s="179"/>
      <c r="Y7" s="179"/>
      <c r="Z7" s="179"/>
      <c r="AA7" s="179"/>
      <c r="AB7" s="179"/>
      <c r="AC7" s="179"/>
      <c r="AD7" s="179"/>
      <c r="AE7" s="179"/>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9"/>
      <c r="BN7" s="179"/>
      <c r="BO7" s="179"/>
      <c r="BP7" s="179"/>
      <c r="BQ7" s="179"/>
      <c r="BR7" s="179"/>
      <c r="BS7" s="179"/>
      <c r="BT7" s="179"/>
      <c r="BU7" s="179"/>
      <c r="BV7" s="179"/>
      <c r="BW7" s="179"/>
      <c r="BX7" s="179"/>
      <c r="BY7" s="179"/>
      <c r="BZ7" s="179"/>
      <c r="CA7" s="179"/>
      <c r="CB7" s="179"/>
      <c r="CC7" s="179"/>
      <c r="CD7" s="179"/>
      <c r="CE7" s="179"/>
      <c r="CF7" s="179"/>
      <c r="CG7" s="179"/>
      <c r="CH7" s="179"/>
      <c r="CI7" s="179"/>
      <c r="CJ7" s="179"/>
      <c r="CK7" s="179"/>
      <c r="CL7" s="179"/>
      <c r="CM7" s="179"/>
      <c r="CN7" s="179"/>
      <c r="CO7" s="179"/>
      <c r="CP7" s="179"/>
      <c r="CQ7" s="179"/>
      <c r="CR7" s="179"/>
      <c r="CS7" s="179"/>
      <c r="CT7" s="179"/>
      <c r="CU7" s="179"/>
      <c r="CV7" s="179"/>
      <c r="CW7" s="179"/>
      <c r="CX7" s="179"/>
      <c r="CY7" s="179"/>
      <c r="CZ7" s="179"/>
      <c r="DA7" s="179"/>
      <c r="DB7" s="179"/>
      <c r="DC7" s="179"/>
      <c r="DD7" s="179"/>
      <c r="DE7" s="179"/>
      <c r="DF7" s="179"/>
      <c r="DG7" s="179"/>
      <c r="DH7" s="179"/>
      <c r="DI7" s="179"/>
      <c r="DJ7" s="179"/>
      <c r="DK7" s="179"/>
      <c r="DL7" s="179"/>
      <c r="DM7" s="179"/>
      <c r="DN7" s="179"/>
      <c r="DO7" s="179"/>
      <c r="DP7" s="179"/>
      <c r="DQ7" s="179"/>
      <c r="DR7" s="179"/>
      <c r="DS7" s="179"/>
      <c r="DT7" s="179"/>
      <c r="DU7" s="179"/>
      <c r="DV7" s="179"/>
      <c r="DW7" s="179"/>
      <c r="DX7" s="179"/>
      <c r="DY7" s="179"/>
      <c r="DZ7" s="179"/>
      <c r="EA7" s="179"/>
      <c r="EB7" s="179"/>
      <c r="EC7" s="179"/>
      <c r="ED7" s="179"/>
      <c r="EE7" s="179"/>
      <c r="EF7" s="179"/>
      <c r="EG7" s="179"/>
    </row>
    <row r="8" spans="1:137" ht="25.5">
      <c r="A8" s="178">
        <v>7</v>
      </c>
      <c r="B8" s="11" t="s">
        <v>2044</v>
      </c>
      <c r="C8" s="189" t="s">
        <v>1659</v>
      </c>
      <c r="D8" s="13" t="s">
        <v>4075</v>
      </c>
      <c r="E8" s="189" t="s">
        <v>3817</v>
      </c>
      <c r="F8" s="189" t="s">
        <v>3854</v>
      </c>
      <c r="G8" s="189" t="s">
        <v>3976</v>
      </c>
      <c r="H8" s="279">
        <v>42618</v>
      </c>
      <c r="I8" s="202" t="s">
        <v>5</v>
      </c>
      <c r="J8" s="193">
        <v>42613</v>
      </c>
      <c r="K8" s="178">
        <f t="shared" si="0"/>
        <v>2016</v>
      </c>
      <c r="L8" s="178">
        <f t="shared" si="1"/>
        <v>8</v>
      </c>
      <c r="M8" s="193">
        <v>42618</v>
      </c>
      <c r="N8" s="334" t="s">
        <v>4058</v>
      </c>
      <c r="O8" s="343">
        <v>12</v>
      </c>
    </row>
    <row r="9" spans="1:137" ht="25.5">
      <c r="A9" s="178">
        <v>8</v>
      </c>
      <c r="B9" s="11" t="s">
        <v>2044</v>
      </c>
      <c r="C9" s="189" t="s">
        <v>1660</v>
      </c>
      <c r="D9" s="13" t="s">
        <v>4063</v>
      </c>
      <c r="E9" s="189" t="s">
        <v>3818</v>
      </c>
      <c r="F9" s="189" t="s">
        <v>3855</v>
      </c>
      <c r="G9" s="189" t="s">
        <v>3977</v>
      </c>
      <c r="H9" s="279">
        <v>42566</v>
      </c>
      <c r="I9" s="202" t="s">
        <v>5</v>
      </c>
      <c r="J9" s="193">
        <v>42565</v>
      </c>
      <c r="K9" s="178">
        <f t="shared" si="0"/>
        <v>2016</v>
      </c>
      <c r="L9" s="178">
        <f t="shared" si="1"/>
        <v>7</v>
      </c>
      <c r="M9" s="193">
        <v>42566</v>
      </c>
      <c r="N9" s="334" t="s">
        <v>4058</v>
      </c>
      <c r="O9" s="343">
        <v>30</v>
      </c>
    </row>
    <row r="10" spans="1:137">
      <c r="A10" s="178">
        <v>9</v>
      </c>
      <c r="B10" s="11" t="s">
        <v>2044</v>
      </c>
      <c r="C10" s="189" t="s">
        <v>1661</v>
      </c>
      <c r="D10" s="13" t="s">
        <v>4063</v>
      </c>
      <c r="E10" s="189" t="s">
        <v>3819</v>
      </c>
      <c r="F10" s="189" t="s">
        <v>3856</v>
      </c>
      <c r="G10" s="189" t="s">
        <v>3819</v>
      </c>
      <c r="H10" s="279">
        <v>42900</v>
      </c>
      <c r="I10" s="178"/>
      <c r="J10" s="193">
        <v>42534</v>
      </c>
      <c r="K10" s="178">
        <f t="shared" si="0"/>
        <v>2016</v>
      </c>
      <c r="L10" s="178">
        <f t="shared" si="1"/>
        <v>6</v>
      </c>
      <c r="M10" s="193">
        <v>42536</v>
      </c>
      <c r="N10" s="333">
        <v>1.1499999999999999</v>
      </c>
      <c r="O10" s="343">
        <v>12</v>
      </c>
    </row>
    <row r="11" spans="1:137">
      <c r="A11" s="178">
        <v>10</v>
      </c>
      <c r="B11" s="11" t="s">
        <v>2044</v>
      </c>
      <c r="C11" s="189" t="s">
        <v>1665</v>
      </c>
      <c r="D11" s="13" t="s">
        <v>4063</v>
      </c>
      <c r="E11" s="189" t="s">
        <v>3820</v>
      </c>
      <c r="F11" s="189" t="s">
        <v>3857</v>
      </c>
      <c r="G11" s="189" t="s">
        <v>3978</v>
      </c>
      <c r="H11" s="279">
        <v>42516</v>
      </c>
      <c r="I11" s="202" t="s">
        <v>5</v>
      </c>
      <c r="J11" s="193">
        <v>42494</v>
      </c>
      <c r="K11" s="178">
        <f t="shared" si="0"/>
        <v>2016</v>
      </c>
      <c r="L11" s="178">
        <f t="shared" si="1"/>
        <v>5</v>
      </c>
      <c r="M11" s="193">
        <v>42516</v>
      </c>
      <c r="N11" s="334" t="s">
        <v>4058</v>
      </c>
      <c r="O11" s="343">
        <v>50</v>
      </c>
    </row>
    <row r="12" spans="1:137" s="78" customFormat="1" ht="25.5">
      <c r="A12" s="178">
        <v>11</v>
      </c>
      <c r="B12" s="11" t="s">
        <v>2044</v>
      </c>
      <c r="C12" s="236" t="s">
        <v>1668</v>
      </c>
      <c r="D12" s="385" t="s">
        <v>4064</v>
      </c>
      <c r="E12" s="13" t="s">
        <v>1621</v>
      </c>
      <c r="F12" s="236" t="s">
        <v>3858</v>
      </c>
      <c r="G12" s="236" t="s">
        <v>3979</v>
      </c>
      <c r="H12" s="238">
        <v>43042</v>
      </c>
      <c r="I12" s="235"/>
      <c r="J12" s="237">
        <v>43019</v>
      </c>
      <c r="K12" s="178">
        <f t="shared" si="0"/>
        <v>2017</v>
      </c>
      <c r="L12" s="178">
        <f t="shared" si="1"/>
        <v>10</v>
      </c>
      <c r="M12" s="238" t="s">
        <v>1734</v>
      </c>
      <c r="N12" s="448">
        <f>1.7*3</f>
        <v>5.0999999999999996</v>
      </c>
      <c r="O12" s="343">
        <v>30</v>
      </c>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9"/>
      <c r="BN12" s="179"/>
      <c r="BO12" s="179"/>
      <c r="BP12" s="179"/>
      <c r="BQ12" s="179"/>
      <c r="BR12" s="179"/>
      <c r="BS12" s="179"/>
      <c r="BT12" s="179"/>
      <c r="BU12" s="179"/>
      <c r="BV12" s="179"/>
      <c r="BW12" s="179"/>
      <c r="BX12" s="179"/>
      <c r="BY12" s="179"/>
      <c r="BZ12" s="179"/>
      <c r="CA12" s="179"/>
      <c r="CB12" s="179"/>
      <c r="CC12" s="179"/>
      <c r="CD12" s="179"/>
      <c r="CE12" s="179"/>
      <c r="CF12" s="179"/>
      <c r="CG12" s="179"/>
      <c r="CH12" s="179"/>
      <c r="CI12" s="179"/>
      <c r="CJ12" s="179"/>
      <c r="CK12" s="179"/>
      <c r="CL12" s="179"/>
      <c r="CM12" s="179"/>
      <c r="CN12" s="179"/>
      <c r="CO12" s="179"/>
      <c r="CP12" s="179"/>
      <c r="CQ12" s="179"/>
      <c r="CR12" s="179"/>
      <c r="CS12" s="179"/>
      <c r="CT12" s="179"/>
      <c r="CU12" s="179"/>
      <c r="CV12" s="179"/>
      <c r="CW12" s="179"/>
      <c r="CX12" s="179"/>
      <c r="CY12" s="179"/>
      <c r="CZ12" s="179"/>
      <c r="DA12" s="179"/>
      <c r="DB12" s="179"/>
      <c r="DC12" s="179"/>
      <c r="DD12" s="179"/>
      <c r="DE12" s="179"/>
      <c r="DF12" s="179"/>
      <c r="DG12" s="179"/>
      <c r="DH12" s="179"/>
      <c r="DI12" s="179"/>
      <c r="DJ12" s="179"/>
      <c r="DK12" s="179"/>
      <c r="DL12" s="179"/>
      <c r="DM12" s="179"/>
      <c r="DN12" s="179"/>
      <c r="DO12" s="179"/>
      <c r="DP12" s="179"/>
      <c r="DQ12" s="179"/>
      <c r="DR12" s="179"/>
      <c r="DS12" s="179"/>
      <c r="DT12" s="179"/>
      <c r="DU12" s="179"/>
      <c r="DV12" s="179"/>
      <c r="DW12" s="179"/>
      <c r="DX12" s="179"/>
      <c r="DY12" s="179"/>
      <c r="DZ12" s="179"/>
      <c r="EA12" s="179"/>
      <c r="EB12" s="179"/>
      <c r="EC12" s="179"/>
      <c r="ED12" s="179"/>
      <c r="EE12" s="179"/>
      <c r="EF12" s="179"/>
      <c r="EG12" s="179"/>
    </row>
    <row r="13" spans="1:137" s="78" customFormat="1" ht="25.5">
      <c r="A13" s="178">
        <v>12</v>
      </c>
      <c r="B13" s="11" t="s">
        <v>2044</v>
      </c>
      <c r="C13" s="236" t="s">
        <v>1668</v>
      </c>
      <c r="D13" s="13" t="s">
        <v>3971</v>
      </c>
      <c r="E13" s="189" t="s">
        <v>3816</v>
      </c>
      <c r="F13" s="236" t="s">
        <v>3858</v>
      </c>
      <c r="G13" s="236" t="s">
        <v>3980</v>
      </c>
      <c r="H13" s="238">
        <v>43042</v>
      </c>
      <c r="I13" s="235"/>
      <c r="J13" s="237">
        <v>43019</v>
      </c>
      <c r="K13" s="178">
        <f t="shared" si="0"/>
        <v>2017</v>
      </c>
      <c r="L13" s="178">
        <f t="shared" si="1"/>
        <v>10</v>
      </c>
      <c r="M13" s="238" t="s">
        <v>1734</v>
      </c>
      <c r="N13" s="449"/>
      <c r="O13" s="343">
        <v>53</v>
      </c>
      <c r="P13" s="179"/>
      <c r="Q13" s="179"/>
      <c r="R13" s="179"/>
      <c r="S13" s="179"/>
      <c r="T13" s="179"/>
      <c r="U13" s="179"/>
      <c r="V13" s="179"/>
      <c r="W13" s="179"/>
      <c r="X13" s="179"/>
      <c r="Y13" s="179"/>
      <c r="Z13" s="179"/>
      <c r="AA13" s="179"/>
      <c r="AB13" s="179"/>
      <c r="AC13" s="179"/>
      <c r="AD13" s="179"/>
      <c r="AE13" s="179"/>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9"/>
      <c r="BB13" s="179"/>
      <c r="BC13" s="179"/>
      <c r="BD13" s="179"/>
      <c r="BE13" s="179"/>
      <c r="BF13" s="179"/>
      <c r="BG13" s="179"/>
      <c r="BH13" s="179"/>
      <c r="BI13" s="179"/>
      <c r="BJ13" s="179"/>
      <c r="BK13" s="179"/>
      <c r="BL13" s="179"/>
      <c r="BM13" s="179"/>
      <c r="BN13" s="179"/>
      <c r="BO13" s="179"/>
      <c r="BP13" s="179"/>
      <c r="BQ13" s="179"/>
      <c r="BR13" s="179"/>
      <c r="BS13" s="179"/>
      <c r="BT13" s="179"/>
      <c r="BU13" s="179"/>
      <c r="BV13" s="179"/>
      <c r="BW13" s="179"/>
      <c r="BX13" s="179"/>
      <c r="BY13" s="179"/>
      <c r="BZ13" s="179"/>
      <c r="CA13" s="179"/>
      <c r="CB13" s="179"/>
      <c r="CC13" s="179"/>
      <c r="CD13" s="179"/>
      <c r="CE13" s="179"/>
      <c r="CF13" s="179"/>
      <c r="CG13" s="179"/>
      <c r="CH13" s="179"/>
      <c r="CI13" s="179"/>
      <c r="CJ13" s="179"/>
      <c r="CK13" s="179"/>
      <c r="CL13" s="179"/>
      <c r="CM13" s="179"/>
      <c r="CN13" s="179"/>
      <c r="CO13" s="179"/>
      <c r="CP13" s="179"/>
      <c r="CQ13" s="179"/>
      <c r="CR13" s="179"/>
      <c r="CS13" s="179"/>
      <c r="CT13" s="179"/>
      <c r="CU13" s="179"/>
      <c r="CV13" s="179"/>
      <c r="CW13" s="179"/>
      <c r="CX13" s="179"/>
      <c r="CY13" s="179"/>
      <c r="CZ13" s="179"/>
      <c r="DA13" s="179"/>
      <c r="DB13" s="179"/>
      <c r="DC13" s="179"/>
      <c r="DD13" s="179"/>
      <c r="DE13" s="179"/>
      <c r="DF13" s="179"/>
      <c r="DG13" s="179"/>
      <c r="DH13" s="179"/>
      <c r="DI13" s="179"/>
      <c r="DJ13" s="179"/>
      <c r="DK13" s="179"/>
      <c r="DL13" s="179"/>
      <c r="DM13" s="179"/>
      <c r="DN13" s="179"/>
      <c r="DO13" s="179"/>
      <c r="DP13" s="179"/>
      <c r="DQ13" s="179"/>
      <c r="DR13" s="179"/>
      <c r="DS13" s="179"/>
      <c r="DT13" s="179"/>
      <c r="DU13" s="179"/>
      <c r="DV13" s="179"/>
      <c r="DW13" s="179"/>
      <c r="DX13" s="179"/>
      <c r="DY13" s="179"/>
      <c r="DZ13" s="179"/>
      <c r="EA13" s="179"/>
      <c r="EB13" s="179"/>
      <c r="EC13" s="179"/>
      <c r="ED13" s="179"/>
      <c r="EE13" s="179"/>
      <c r="EF13" s="179"/>
      <c r="EG13" s="179"/>
    </row>
    <row r="14" spans="1:137" ht="25.5">
      <c r="A14" s="178">
        <v>13</v>
      </c>
      <c r="B14" s="11" t="s">
        <v>2044</v>
      </c>
      <c r="C14" s="13" t="s">
        <v>1733</v>
      </c>
      <c r="D14" s="13" t="s">
        <v>3971</v>
      </c>
      <c r="E14" s="189" t="s">
        <v>3821</v>
      </c>
      <c r="F14" s="13" t="s">
        <v>3859</v>
      </c>
      <c r="G14" s="13" t="s">
        <v>3981</v>
      </c>
      <c r="H14" s="280">
        <v>43041</v>
      </c>
      <c r="I14" s="202" t="s">
        <v>5</v>
      </c>
      <c r="J14" s="193"/>
      <c r="K14" s="178">
        <v>2017</v>
      </c>
      <c r="L14" s="178"/>
      <c r="M14" s="194">
        <v>43041</v>
      </c>
      <c r="N14" s="334" t="s">
        <v>4059</v>
      </c>
      <c r="O14" s="343">
        <v>42</v>
      </c>
    </row>
    <row r="15" spans="1:137" s="351" customFormat="1" ht="25.5">
      <c r="A15" s="178">
        <v>14</v>
      </c>
      <c r="B15" s="11" t="s">
        <v>2044</v>
      </c>
      <c r="C15" s="219" t="s">
        <v>1658</v>
      </c>
      <c r="D15" s="385" t="s">
        <v>4064</v>
      </c>
      <c r="E15" s="189" t="s">
        <v>1621</v>
      </c>
      <c r="F15" s="191" t="s">
        <v>3860</v>
      </c>
      <c r="G15" s="219" t="s">
        <v>3975</v>
      </c>
      <c r="H15" s="281">
        <v>43053</v>
      </c>
      <c r="I15" s="186"/>
      <c r="J15" s="195">
        <v>43047</v>
      </c>
      <c r="K15" s="178">
        <f t="shared" si="0"/>
        <v>2017</v>
      </c>
      <c r="L15" s="178">
        <f t="shared" si="1"/>
        <v>11</v>
      </c>
      <c r="M15" s="195">
        <v>43053</v>
      </c>
      <c r="N15" s="335">
        <v>3.94</v>
      </c>
      <c r="O15" s="343">
        <v>40</v>
      </c>
      <c r="P15" s="179"/>
      <c r="Q15" s="179"/>
      <c r="R15" s="179"/>
      <c r="S15" s="179"/>
      <c r="T15" s="179"/>
      <c r="U15" s="179"/>
      <c r="V15" s="179"/>
      <c r="W15" s="179"/>
      <c r="X15" s="179"/>
      <c r="Y15" s="179"/>
      <c r="Z15" s="179"/>
      <c r="AA15" s="179"/>
      <c r="AB15" s="179"/>
      <c r="AC15" s="179"/>
      <c r="AD15" s="179"/>
      <c r="AE15" s="179"/>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79"/>
      <c r="BF15" s="179"/>
      <c r="BG15" s="179"/>
      <c r="BH15" s="179"/>
      <c r="BI15" s="179"/>
      <c r="BJ15" s="179"/>
      <c r="BK15" s="179"/>
      <c r="BL15" s="179"/>
      <c r="BM15" s="179"/>
      <c r="BN15" s="179"/>
      <c r="BO15" s="179"/>
      <c r="BP15" s="179"/>
      <c r="BQ15" s="179"/>
      <c r="BR15" s="179"/>
      <c r="BS15" s="179"/>
      <c r="BT15" s="179"/>
      <c r="BU15" s="179"/>
      <c r="BV15" s="179"/>
      <c r="BW15" s="179"/>
      <c r="BX15" s="179"/>
      <c r="BY15" s="179"/>
      <c r="BZ15" s="179"/>
      <c r="CA15" s="179"/>
      <c r="CB15" s="179"/>
      <c r="CC15" s="179"/>
      <c r="CD15" s="179"/>
      <c r="CE15" s="179"/>
      <c r="CF15" s="179"/>
      <c r="CG15" s="179"/>
      <c r="CH15" s="179"/>
      <c r="CI15" s="179"/>
      <c r="CJ15" s="179"/>
      <c r="CK15" s="179"/>
      <c r="CL15" s="179"/>
      <c r="CM15" s="179"/>
      <c r="CN15" s="179"/>
      <c r="CO15" s="179"/>
      <c r="CP15" s="179"/>
      <c r="CQ15" s="179"/>
      <c r="CR15" s="179"/>
      <c r="CS15" s="179"/>
      <c r="CT15" s="179"/>
      <c r="CU15" s="179"/>
      <c r="CV15" s="179"/>
      <c r="CW15" s="179"/>
      <c r="CX15" s="179"/>
      <c r="CY15" s="179"/>
      <c r="CZ15" s="179"/>
      <c r="DA15" s="179"/>
      <c r="DB15" s="179"/>
      <c r="DC15" s="179"/>
      <c r="DD15" s="179"/>
      <c r="DE15" s="179"/>
      <c r="DF15" s="179"/>
      <c r="DG15" s="179"/>
      <c r="DH15" s="179"/>
      <c r="DI15" s="179"/>
      <c r="DJ15" s="179"/>
      <c r="DK15" s="179"/>
      <c r="DL15" s="179"/>
      <c r="DM15" s="179"/>
      <c r="DN15" s="179"/>
      <c r="DO15" s="179"/>
      <c r="DP15" s="179"/>
      <c r="DQ15" s="179"/>
      <c r="DR15" s="179"/>
      <c r="DS15" s="179"/>
      <c r="DT15" s="179"/>
      <c r="DU15" s="179"/>
      <c r="DV15" s="179"/>
      <c r="DW15" s="179"/>
      <c r="DX15" s="179"/>
      <c r="DY15" s="179"/>
      <c r="DZ15" s="179"/>
      <c r="EA15" s="179"/>
      <c r="EB15" s="179"/>
      <c r="EC15" s="179"/>
      <c r="ED15" s="179"/>
      <c r="EE15" s="179"/>
      <c r="EF15" s="179"/>
      <c r="EG15" s="179"/>
    </row>
    <row r="16" spans="1:137" ht="25.5">
      <c r="A16" s="178">
        <v>15</v>
      </c>
      <c r="B16" s="11" t="s">
        <v>2044</v>
      </c>
      <c r="C16" s="191" t="s">
        <v>1735</v>
      </c>
      <c r="D16" s="385" t="s">
        <v>4064</v>
      </c>
      <c r="E16" s="189" t="s">
        <v>1621</v>
      </c>
      <c r="F16" s="191" t="s">
        <v>3861</v>
      </c>
      <c r="G16" s="191" t="s">
        <v>3666</v>
      </c>
      <c r="H16" s="281">
        <v>43075</v>
      </c>
      <c r="I16" s="202" t="s">
        <v>5</v>
      </c>
      <c r="J16" s="195">
        <v>43047</v>
      </c>
      <c r="K16" s="178">
        <f t="shared" si="0"/>
        <v>2017</v>
      </c>
      <c r="L16" s="178">
        <f t="shared" si="1"/>
        <v>11</v>
      </c>
      <c r="M16" s="195">
        <v>43075</v>
      </c>
      <c r="N16" s="334" t="s">
        <v>4058</v>
      </c>
      <c r="O16" s="343">
        <v>37</v>
      </c>
    </row>
    <row r="17" spans="1:137" ht="25.5">
      <c r="A17" s="178">
        <v>16</v>
      </c>
      <c r="B17" s="11" t="s">
        <v>2044</v>
      </c>
      <c r="C17" s="191" t="s">
        <v>1735</v>
      </c>
      <c r="D17" s="191" t="s">
        <v>4064</v>
      </c>
      <c r="E17" s="189" t="s">
        <v>1736</v>
      </c>
      <c r="F17" s="191" t="s">
        <v>3861</v>
      </c>
      <c r="G17" s="191" t="s">
        <v>1736</v>
      </c>
      <c r="H17" s="281">
        <v>43075</v>
      </c>
      <c r="I17" s="202" t="s">
        <v>5</v>
      </c>
      <c r="J17" s="195">
        <v>43047</v>
      </c>
      <c r="K17" s="178">
        <f t="shared" si="0"/>
        <v>2017</v>
      </c>
      <c r="L17" s="178">
        <f t="shared" si="1"/>
        <v>11</v>
      </c>
      <c r="M17" s="195">
        <v>43075</v>
      </c>
      <c r="N17" s="334" t="s">
        <v>4058</v>
      </c>
      <c r="O17" s="343">
        <v>32</v>
      </c>
    </row>
    <row r="18" spans="1:137" ht="25.5">
      <c r="A18" s="178">
        <v>17</v>
      </c>
      <c r="B18" s="11" t="s">
        <v>2044</v>
      </c>
      <c r="C18" s="191" t="s">
        <v>1735</v>
      </c>
      <c r="D18" s="191" t="s">
        <v>4065</v>
      </c>
      <c r="E18" s="189" t="s">
        <v>3822</v>
      </c>
      <c r="F18" s="191" t="s">
        <v>3861</v>
      </c>
      <c r="G18" s="191" t="s">
        <v>3822</v>
      </c>
      <c r="H18" s="281">
        <v>43075</v>
      </c>
      <c r="I18" s="202" t="s">
        <v>5</v>
      </c>
      <c r="J18" s="195">
        <v>43047</v>
      </c>
      <c r="K18" s="178">
        <f t="shared" si="0"/>
        <v>2017</v>
      </c>
      <c r="L18" s="178">
        <f t="shared" si="1"/>
        <v>11</v>
      </c>
      <c r="M18" s="195">
        <v>43075</v>
      </c>
      <c r="N18" s="334" t="s">
        <v>4058</v>
      </c>
      <c r="O18" s="343">
        <v>26</v>
      </c>
    </row>
    <row r="19" spans="1:137" ht="25.5">
      <c r="A19" s="178">
        <v>18</v>
      </c>
      <c r="B19" s="11" t="s">
        <v>2044</v>
      </c>
      <c r="C19" s="203" t="s">
        <v>1738</v>
      </c>
      <c r="D19" s="385" t="s">
        <v>4064</v>
      </c>
      <c r="E19" s="13" t="s">
        <v>1621</v>
      </c>
      <c r="F19" s="203" t="s">
        <v>3862</v>
      </c>
      <c r="G19" s="203" t="s">
        <v>3982</v>
      </c>
      <c r="H19" s="240">
        <v>43061</v>
      </c>
      <c r="I19" s="202"/>
      <c r="J19" s="204">
        <v>43049</v>
      </c>
      <c r="K19" s="178">
        <f t="shared" si="0"/>
        <v>2017</v>
      </c>
      <c r="L19" s="178">
        <f t="shared" si="1"/>
        <v>11</v>
      </c>
      <c r="M19" s="204">
        <v>43061</v>
      </c>
      <c r="N19" s="336">
        <v>1.7</v>
      </c>
      <c r="O19" s="343">
        <v>40</v>
      </c>
    </row>
    <row r="20" spans="1:137" ht="63.75">
      <c r="A20" s="178">
        <v>19</v>
      </c>
      <c r="B20" s="11" t="s">
        <v>2044</v>
      </c>
      <c r="C20" s="191" t="s">
        <v>1740</v>
      </c>
      <c r="D20" s="385" t="s">
        <v>4064</v>
      </c>
      <c r="E20" s="13" t="s">
        <v>1621</v>
      </c>
      <c r="F20" s="191" t="s">
        <v>3863</v>
      </c>
      <c r="G20" s="191" t="s">
        <v>3983</v>
      </c>
      <c r="H20" s="281">
        <v>43111</v>
      </c>
      <c r="I20" s="185"/>
      <c r="J20" s="195">
        <v>43056</v>
      </c>
      <c r="K20" s="178">
        <f t="shared" si="0"/>
        <v>2017</v>
      </c>
      <c r="L20" s="178">
        <f t="shared" si="1"/>
        <v>11</v>
      </c>
      <c r="M20" s="195">
        <v>43112</v>
      </c>
      <c r="N20" s="335">
        <v>3.94</v>
      </c>
      <c r="O20" s="343">
        <v>40</v>
      </c>
    </row>
    <row r="21" spans="1:137" s="351" customFormat="1" ht="38.25">
      <c r="A21" s="178">
        <v>20</v>
      </c>
      <c r="B21" s="11" t="s">
        <v>2044</v>
      </c>
      <c r="C21" s="13" t="s">
        <v>1741</v>
      </c>
      <c r="D21" s="13" t="s">
        <v>4064</v>
      </c>
      <c r="E21" s="13" t="s">
        <v>1745</v>
      </c>
      <c r="F21" s="13" t="s">
        <v>3864</v>
      </c>
      <c r="G21" s="13" t="s">
        <v>3984</v>
      </c>
      <c r="H21" s="279">
        <v>43097</v>
      </c>
      <c r="I21" s="202" t="s">
        <v>5</v>
      </c>
      <c r="J21" s="193">
        <v>43057</v>
      </c>
      <c r="K21" s="178">
        <f t="shared" si="0"/>
        <v>2017</v>
      </c>
      <c r="L21" s="178">
        <f t="shared" si="1"/>
        <v>11</v>
      </c>
      <c r="M21" s="193">
        <v>43097</v>
      </c>
      <c r="N21" s="334" t="s">
        <v>4058</v>
      </c>
      <c r="O21" s="343">
        <v>45</v>
      </c>
      <c r="P21" s="179"/>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9"/>
      <c r="BN21" s="179"/>
      <c r="BO21" s="179"/>
      <c r="BP21" s="179"/>
      <c r="BQ21" s="179"/>
      <c r="BR21" s="179"/>
      <c r="BS21" s="179"/>
      <c r="BT21" s="179"/>
      <c r="BU21" s="179"/>
      <c r="BV21" s="179"/>
      <c r="BW21" s="179"/>
      <c r="BX21" s="179"/>
      <c r="BY21" s="179"/>
      <c r="BZ21" s="179"/>
      <c r="CA21" s="179"/>
      <c r="CB21" s="179"/>
      <c r="CC21" s="179"/>
      <c r="CD21" s="179"/>
      <c r="CE21" s="179"/>
      <c r="CF21" s="179"/>
      <c r="CG21" s="179"/>
      <c r="CH21" s="179"/>
      <c r="CI21" s="179"/>
      <c r="CJ21" s="179"/>
      <c r="CK21" s="179"/>
      <c r="CL21" s="179"/>
      <c r="CM21" s="179"/>
      <c r="CN21" s="179"/>
      <c r="CO21" s="179"/>
      <c r="CP21" s="179"/>
      <c r="CQ21" s="179"/>
      <c r="CR21" s="179"/>
      <c r="CS21" s="179"/>
      <c r="CT21" s="179"/>
      <c r="CU21" s="179"/>
      <c r="CV21" s="179"/>
      <c r="CW21" s="179"/>
      <c r="CX21" s="179"/>
      <c r="CY21" s="179"/>
      <c r="CZ21" s="179"/>
      <c r="DA21" s="179"/>
      <c r="DB21" s="179"/>
      <c r="DC21" s="179"/>
      <c r="DD21" s="179"/>
      <c r="DE21" s="179"/>
      <c r="DF21" s="179"/>
      <c r="DG21" s="179"/>
      <c r="DH21" s="179"/>
      <c r="DI21" s="179"/>
      <c r="DJ21" s="179"/>
      <c r="DK21" s="179"/>
      <c r="DL21" s="179"/>
      <c r="DM21" s="179"/>
      <c r="DN21" s="179"/>
      <c r="DO21" s="179"/>
      <c r="DP21" s="179"/>
      <c r="DQ21" s="179"/>
      <c r="DR21" s="179"/>
      <c r="DS21" s="179"/>
      <c r="DT21" s="179"/>
      <c r="DU21" s="179"/>
      <c r="DV21" s="179"/>
      <c r="DW21" s="179"/>
      <c r="DX21" s="179"/>
      <c r="DY21" s="179"/>
      <c r="DZ21" s="179"/>
      <c r="EA21" s="179"/>
      <c r="EB21" s="179"/>
      <c r="EC21" s="179"/>
      <c r="ED21" s="179"/>
      <c r="EE21" s="179"/>
      <c r="EF21" s="179"/>
      <c r="EG21" s="179"/>
    </row>
    <row r="22" spans="1:137" s="351" customFormat="1" ht="38.25">
      <c r="A22" s="178">
        <v>21</v>
      </c>
      <c r="B22" s="11" t="s">
        <v>2044</v>
      </c>
      <c r="C22" s="191" t="s">
        <v>1750</v>
      </c>
      <c r="D22" s="385" t="s">
        <v>4064</v>
      </c>
      <c r="E22" s="13" t="s">
        <v>1621</v>
      </c>
      <c r="F22" s="191" t="s">
        <v>3865</v>
      </c>
      <c r="G22" s="191" t="s">
        <v>3985</v>
      </c>
      <c r="H22" s="281">
        <v>43114</v>
      </c>
      <c r="I22" s="187" t="s">
        <v>1755</v>
      </c>
      <c r="J22" s="195">
        <v>43064</v>
      </c>
      <c r="K22" s="178">
        <f t="shared" si="0"/>
        <v>2017</v>
      </c>
      <c r="L22" s="178">
        <f t="shared" si="1"/>
        <v>11</v>
      </c>
      <c r="M22" s="195">
        <v>43115</v>
      </c>
      <c r="N22" s="452">
        <v>3.9</v>
      </c>
      <c r="O22" s="343">
        <v>40</v>
      </c>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9"/>
      <c r="BN22" s="179"/>
      <c r="BO22" s="179"/>
      <c r="BP22" s="179"/>
      <c r="BQ22" s="179"/>
      <c r="BR22" s="179"/>
      <c r="BS22" s="179"/>
      <c r="BT22" s="179"/>
      <c r="BU22" s="179"/>
      <c r="BV22" s="179"/>
      <c r="BW22" s="179"/>
      <c r="BX22" s="179"/>
      <c r="BY22" s="179"/>
      <c r="BZ22" s="179"/>
      <c r="CA22" s="179"/>
      <c r="CB22" s="179"/>
      <c r="CC22" s="179"/>
      <c r="CD22" s="179"/>
      <c r="CE22" s="179"/>
      <c r="CF22" s="179"/>
      <c r="CG22" s="179"/>
      <c r="CH22" s="179"/>
      <c r="CI22" s="179"/>
      <c r="CJ22" s="179"/>
      <c r="CK22" s="179"/>
      <c r="CL22" s="179"/>
      <c r="CM22" s="179"/>
      <c r="CN22" s="179"/>
      <c r="CO22" s="179"/>
      <c r="CP22" s="179"/>
      <c r="CQ22" s="179"/>
      <c r="CR22" s="179"/>
      <c r="CS22" s="179"/>
      <c r="CT22" s="179"/>
      <c r="CU22" s="179"/>
      <c r="CV22" s="179"/>
      <c r="CW22" s="179"/>
      <c r="CX22" s="179"/>
      <c r="CY22" s="179"/>
      <c r="CZ22" s="179"/>
      <c r="DA22" s="179"/>
      <c r="DB22" s="179"/>
      <c r="DC22" s="179"/>
      <c r="DD22" s="179"/>
      <c r="DE22" s="179"/>
      <c r="DF22" s="179"/>
      <c r="DG22" s="179"/>
      <c r="DH22" s="179"/>
      <c r="DI22" s="179"/>
      <c r="DJ22" s="179"/>
      <c r="DK22" s="179"/>
      <c r="DL22" s="179"/>
      <c r="DM22" s="179"/>
      <c r="DN22" s="179"/>
      <c r="DO22" s="179"/>
      <c r="DP22" s="179"/>
      <c r="DQ22" s="179"/>
      <c r="DR22" s="179"/>
      <c r="DS22" s="179"/>
      <c r="DT22" s="179"/>
      <c r="DU22" s="179"/>
      <c r="DV22" s="179"/>
      <c r="DW22" s="179"/>
      <c r="DX22" s="179"/>
      <c r="DY22" s="179"/>
      <c r="DZ22" s="179"/>
      <c r="EA22" s="179"/>
      <c r="EB22" s="179"/>
      <c r="EC22" s="179"/>
      <c r="ED22" s="179"/>
      <c r="EE22" s="179"/>
      <c r="EF22" s="179"/>
      <c r="EG22" s="179"/>
    </row>
    <row r="23" spans="1:137" s="351" customFormat="1" ht="25.5">
      <c r="A23" s="178">
        <v>22</v>
      </c>
      <c r="B23" s="11" t="s">
        <v>2044</v>
      </c>
      <c r="C23" s="191" t="s">
        <v>1750</v>
      </c>
      <c r="D23" s="385" t="s">
        <v>4064</v>
      </c>
      <c r="E23" s="13" t="s">
        <v>1621</v>
      </c>
      <c r="F23" s="191" t="s">
        <v>3866</v>
      </c>
      <c r="G23" s="191" t="s">
        <v>3985</v>
      </c>
      <c r="H23" s="281">
        <v>43114</v>
      </c>
      <c r="I23" s="191" t="s">
        <v>1756</v>
      </c>
      <c r="J23" s="195">
        <v>43064</v>
      </c>
      <c r="K23" s="178">
        <f t="shared" si="0"/>
        <v>2017</v>
      </c>
      <c r="L23" s="178">
        <f t="shared" si="1"/>
        <v>11</v>
      </c>
      <c r="M23" s="195">
        <v>43115</v>
      </c>
      <c r="N23" s="453"/>
      <c r="O23" s="343">
        <v>45</v>
      </c>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9"/>
      <c r="BN23" s="179"/>
      <c r="BO23" s="179"/>
      <c r="BP23" s="179"/>
      <c r="BQ23" s="179"/>
      <c r="BR23" s="179"/>
      <c r="BS23" s="179"/>
      <c r="BT23" s="179"/>
      <c r="BU23" s="179"/>
      <c r="BV23" s="179"/>
      <c r="BW23" s="179"/>
      <c r="BX23" s="179"/>
      <c r="BY23" s="179"/>
      <c r="BZ23" s="179"/>
      <c r="CA23" s="179"/>
      <c r="CB23" s="179"/>
      <c r="CC23" s="179"/>
      <c r="CD23" s="179"/>
      <c r="CE23" s="179"/>
      <c r="CF23" s="179"/>
      <c r="CG23" s="179"/>
      <c r="CH23" s="179"/>
      <c r="CI23" s="179"/>
      <c r="CJ23" s="179"/>
      <c r="CK23" s="179"/>
      <c r="CL23" s="179"/>
      <c r="CM23" s="179"/>
      <c r="CN23" s="179"/>
      <c r="CO23" s="179"/>
      <c r="CP23" s="179"/>
      <c r="CQ23" s="179"/>
      <c r="CR23" s="179"/>
      <c r="CS23" s="179"/>
      <c r="CT23" s="179"/>
      <c r="CU23" s="179"/>
      <c r="CV23" s="179"/>
      <c r="CW23" s="179"/>
      <c r="CX23" s="179"/>
      <c r="CY23" s="179"/>
      <c r="CZ23" s="179"/>
      <c r="DA23" s="179"/>
      <c r="DB23" s="179"/>
      <c r="DC23" s="179"/>
      <c r="DD23" s="179"/>
      <c r="DE23" s="179"/>
      <c r="DF23" s="179"/>
      <c r="DG23" s="179"/>
      <c r="DH23" s="179"/>
      <c r="DI23" s="179"/>
      <c r="DJ23" s="179"/>
      <c r="DK23" s="179"/>
      <c r="DL23" s="179"/>
      <c r="DM23" s="179"/>
      <c r="DN23" s="179"/>
      <c r="DO23" s="179"/>
      <c r="DP23" s="179"/>
      <c r="DQ23" s="179"/>
      <c r="DR23" s="179"/>
      <c r="DS23" s="179"/>
      <c r="DT23" s="179"/>
      <c r="DU23" s="179"/>
      <c r="DV23" s="179"/>
      <c r="DW23" s="179"/>
      <c r="DX23" s="179"/>
      <c r="DY23" s="179"/>
      <c r="DZ23" s="179"/>
      <c r="EA23" s="179"/>
      <c r="EB23" s="179"/>
      <c r="EC23" s="179"/>
      <c r="ED23" s="179"/>
      <c r="EE23" s="179"/>
      <c r="EF23" s="179"/>
      <c r="EG23" s="179"/>
    </row>
    <row r="24" spans="1:137" s="352" customFormat="1">
      <c r="A24" s="487">
        <v>23</v>
      </c>
      <c r="B24" s="487" t="s">
        <v>2046</v>
      </c>
      <c r="C24" s="489" t="s">
        <v>1763</v>
      </c>
      <c r="D24" s="489"/>
      <c r="E24" s="489" t="e">
        <v>#N/A</v>
      </c>
      <c r="F24" s="489" t="s">
        <v>3867</v>
      </c>
      <c r="G24" s="489"/>
      <c r="H24" s="490" t="s">
        <v>1773</v>
      </c>
      <c r="I24" s="487"/>
      <c r="J24" s="491">
        <v>43068</v>
      </c>
      <c r="K24" s="487">
        <f t="shared" si="0"/>
        <v>2017</v>
      </c>
      <c r="L24" s="487">
        <f t="shared" si="1"/>
        <v>11</v>
      </c>
      <c r="M24" s="491"/>
      <c r="N24" s="492"/>
      <c r="O24" s="493"/>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9"/>
      <c r="BN24" s="179"/>
      <c r="BO24" s="179"/>
      <c r="BP24" s="179"/>
      <c r="BQ24" s="179"/>
      <c r="BR24" s="179"/>
      <c r="BS24" s="179"/>
      <c r="BT24" s="179"/>
      <c r="BU24" s="179"/>
      <c r="BV24" s="179"/>
      <c r="BW24" s="179"/>
      <c r="BX24" s="179"/>
      <c r="BY24" s="179"/>
      <c r="BZ24" s="179"/>
      <c r="CA24" s="179"/>
      <c r="CB24" s="179"/>
      <c r="CC24" s="179"/>
      <c r="CD24" s="179"/>
      <c r="CE24" s="179"/>
      <c r="CF24" s="179"/>
      <c r="CG24" s="179"/>
      <c r="CH24" s="179"/>
      <c r="CI24" s="179"/>
      <c r="CJ24" s="179"/>
      <c r="CK24" s="179"/>
      <c r="CL24" s="179"/>
      <c r="CM24" s="179"/>
      <c r="CN24" s="179"/>
      <c r="CO24" s="179"/>
      <c r="CP24" s="179"/>
      <c r="CQ24" s="179"/>
      <c r="CR24" s="179"/>
      <c r="CS24" s="179"/>
      <c r="CT24" s="179"/>
      <c r="CU24" s="179"/>
      <c r="CV24" s="179"/>
      <c r="CW24" s="179"/>
      <c r="CX24" s="179"/>
      <c r="CY24" s="179"/>
      <c r="CZ24" s="179"/>
      <c r="DA24" s="179"/>
      <c r="DB24" s="179"/>
      <c r="DC24" s="179"/>
      <c r="DD24" s="179"/>
      <c r="DE24" s="179"/>
      <c r="DF24" s="179"/>
      <c r="DG24" s="179"/>
      <c r="DH24" s="179"/>
      <c r="DI24" s="179"/>
      <c r="DJ24" s="179"/>
      <c r="DK24" s="179"/>
      <c r="DL24" s="179"/>
      <c r="DM24" s="179"/>
      <c r="DN24" s="179"/>
      <c r="DO24" s="179"/>
      <c r="DP24" s="179"/>
      <c r="DQ24" s="179"/>
      <c r="DR24" s="179"/>
      <c r="DS24" s="179"/>
      <c r="DT24" s="179"/>
      <c r="DU24" s="179"/>
      <c r="DV24" s="179"/>
      <c r="DW24" s="179"/>
      <c r="DX24" s="179"/>
      <c r="DY24" s="179"/>
      <c r="DZ24" s="179"/>
      <c r="EA24" s="179"/>
      <c r="EB24" s="179"/>
      <c r="EC24" s="179"/>
      <c r="ED24" s="179"/>
      <c r="EE24" s="179"/>
      <c r="EF24" s="179"/>
      <c r="EG24" s="179"/>
    </row>
    <row r="25" spans="1:137" s="351" customFormat="1" ht="25.5">
      <c r="A25" s="178">
        <v>24</v>
      </c>
      <c r="B25" s="11" t="s">
        <v>2044</v>
      </c>
      <c r="C25" s="191" t="s">
        <v>1772</v>
      </c>
      <c r="D25" s="385" t="s">
        <v>4064</v>
      </c>
      <c r="E25" s="13" t="s">
        <v>1621</v>
      </c>
      <c r="F25" s="191" t="s">
        <v>3868</v>
      </c>
      <c r="G25" s="454" t="s">
        <v>3986</v>
      </c>
      <c r="H25" s="272">
        <v>43133</v>
      </c>
      <c r="I25" s="185"/>
      <c r="J25" s="195">
        <v>43068</v>
      </c>
      <c r="K25" s="178">
        <f t="shared" si="0"/>
        <v>2017</v>
      </c>
      <c r="L25" s="178">
        <f t="shared" si="1"/>
        <v>11</v>
      </c>
      <c r="M25" s="195">
        <v>43134</v>
      </c>
      <c r="N25" s="337">
        <v>3.9</v>
      </c>
      <c r="O25" s="343">
        <v>45</v>
      </c>
      <c r="P25" s="1"/>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9"/>
      <c r="BN25" s="179"/>
      <c r="BO25" s="179"/>
      <c r="BP25" s="179"/>
      <c r="BQ25" s="179"/>
      <c r="BR25" s="179"/>
      <c r="BS25" s="179"/>
      <c r="BT25" s="179"/>
      <c r="BU25" s="179"/>
      <c r="BV25" s="179"/>
      <c r="BW25" s="179"/>
      <c r="BX25" s="179"/>
      <c r="BY25" s="179"/>
      <c r="BZ25" s="179"/>
      <c r="CA25" s="179"/>
      <c r="CB25" s="179"/>
      <c r="CC25" s="179"/>
      <c r="CD25" s="179"/>
      <c r="CE25" s="179"/>
      <c r="CF25" s="179"/>
      <c r="CG25" s="179"/>
      <c r="CH25" s="179"/>
      <c r="CI25" s="179"/>
      <c r="CJ25" s="179"/>
      <c r="CK25" s="179"/>
      <c r="CL25" s="179"/>
      <c r="CM25" s="179"/>
      <c r="CN25" s="179"/>
      <c r="CO25" s="179"/>
      <c r="CP25" s="179"/>
      <c r="CQ25" s="179"/>
      <c r="CR25" s="179"/>
      <c r="CS25" s="179"/>
      <c r="CT25" s="179"/>
      <c r="CU25" s="179"/>
      <c r="CV25" s="179"/>
      <c r="CW25" s="179"/>
      <c r="CX25" s="179"/>
      <c r="CY25" s="179"/>
      <c r="CZ25" s="179"/>
      <c r="DA25" s="179"/>
      <c r="DB25" s="179"/>
      <c r="DC25" s="179"/>
      <c r="DD25" s="179"/>
      <c r="DE25" s="179"/>
      <c r="DF25" s="179"/>
      <c r="DG25" s="179"/>
      <c r="DH25" s="179"/>
      <c r="DI25" s="179"/>
      <c r="DJ25" s="179"/>
      <c r="DK25" s="179"/>
      <c r="DL25" s="179"/>
      <c r="DM25" s="179"/>
      <c r="DN25" s="179"/>
      <c r="DO25" s="179"/>
      <c r="DP25" s="179"/>
      <c r="DQ25" s="179"/>
      <c r="DR25" s="179"/>
      <c r="DS25" s="179"/>
      <c r="DT25" s="179"/>
      <c r="DU25" s="179"/>
      <c r="DV25" s="179"/>
      <c r="DW25" s="179"/>
      <c r="DX25" s="179"/>
      <c r="DY25" s="179"/>
      <c r="DZ25" s="179"/>
      <c r="EA25" s="179"/>
      <c r="EB25" s="179"/>
      <c r="EC25" s="179"/>
      <c r="ED25" s="179"/>
      <c r="EE25" s="179"/>
      <c r="EF25" s="179"/>
      <c r="EG25" s="179"/>
    </row>
    <row r="26" spans="1:137" s="351" customFormat="1" ht="51">
      <c r="A26" s="178">
        <v>25</v>
      </c>
      <c r="B26" s="11" t="s">
        <v>2044</v>
      </c>
      <c r="C26" s="191" t="s">
        <v>1772</v>
      </c>
      <c r="D26" s="385" t="s">
        <v>4064</v>
      </c>
      <c r="E26" s="189" t="s">
        <v>1621</v>
      </c>
      <c r="F26" s="191" t="s">
        <v>3869</v>
      </c>
      <c r="G26" s="455"/>
      <c r="H26" s="272">
        <v>43139</v>
      </c>
      <c r="I26" s="185"/>
      <c r="J26" s="195">
        <v>43068</v>
      </c>
      <c r="K26" s="178">
        <f t="shared" si="0"/>
        <v>2017</v>
      </c>
      <c r="L26" s="178">
        <f t="shared" si="1"/>
        <v>11</v>
      </c>
      <c r="M26" s="195">
        <v>43140</v>
      </c>
      <c r="N26" s="338">
        <v>4.8</v>
      </c>
      <c r="O26" s="343">
        <v>45</v>
      </c>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9"/>
      <c r="BN26" s="179"/>
      <c r="BO26" s="179"/>
      <c r="BP26" s="179"/>
      <c r="BQ26" s="179"/>
      <c r="BR26" s="179"/>
      <c r="BS26" s="179"/>
      <c r="BT26" s="179"/>
      <c r="BU26" s="179"/>
      <c r="BV26" s="179"/>
      <c r="BW26" s="179"/>
      <c r="BX26" s="179"/>
      <c r="BY26" s="179"/>
      <c r="BZ26" s="179"/>
      <c r="CA26" s="179"/>
      <c r="CB26" s="179"/>
      <c r="CC26" s="179"/>
      <c r="CD26" s="179"/>
      <c r="CE26" s="179"/>
      <c r="CF26" s="179"/>
      <c r="CG26" s="179"/>
      <c r="CH26" s="179"/>
      <c r="CI26" s="179"/>
      <c r="CJ26" s="179"/>
      <c r="CK26" s="179"/>
      <c r="CL26" s="179"/>
      <c r="CM26" s="179"/>
      <c r="CN26" s="179"/>
      <c r="CO26" s="179"/>
      <c r="CP26" s="179"/>
      <c r="CQ26" s="179"/>
      <c r="CR26" s="179"/>
      <c r="CS26" s="179"/>
      <c r="CT26" s="179"/>
      <c r="CU26" s="179"/>
      <c r="CV26" s="179"/>
      <c r="CW26" s="179"/>
      <c r="CX26" s="179"/>
      <c r="CY26" s="179"/>
      <c r="CZ26" s="179"/>
      <c r="DA26" s="179"/>
      <c r="DB26" s="179"/>
      <c r="DC26" s="179"/>
      <c r="DD26" s="179"/>
      <c r="DE26" s="179"/>
      <c r="DF26" s="179"/>
      <c r="DG26" s="179"/>
      <c r="DH26" s="179"/>
      <c r="DI26" s="179"/>
      <c r="DJ26" s="179"/>
      <c r="DK26" s="179"/>
      <c r="DL26" s="179"/>
      <c r="DM26" s="179"/>
      <c r="DN26" s="179"/>
      <c r="DO26" s="179"/>
      <c r="DP26" s="179"/>
      <c r="DQ26" s="179"/>
      <c r="DR26" s="179"/>
      <c r="DS26" s="179"/>
      <c r="DT26" s="179"/>
      <c r="DU26" s="179"/>
      <c r="DV26" s="179"/>
      <c r="DW26" s="179"/>
      <c r="DX26" s="179"/>
      <c r="DY26" s="179"/>
      <c r="DZ26" s="179"/>
      <c r="EA26" s="179"/>
      <c r="EB26" s="179"/>
      <c r="EC26" s="179"/>
      <c r="ED26" s="179"/>
      <c r="EE26" s="179"/>
      <c r="EF26" s="179"/>
      <c r="EG26" s="179"/>
    </row>
    <row r="27" spans="1:137" ht="25.5">
      <c r="A27" s="487">
        <v>26</v>
      </c>
      <c r="B27" s="487" t="s">
        <v>2047</v>
      </c>
      <c r="C27" s="489" t="s">
        <v>1774</v>
      </c>
      <c r="D27" s="13" t="s">
        <v>4075</v>
      </c>
      <c r="E27" s="489" t="s">
        <v>3817</v>
      </c>
      <c r="F27" s="489" t="s">
        <v>3870</v>
      </c>
      <c r="G27" s="489" t="s">
        <v>3987</v>
      </c>
      <c r="H27" s="490" t="s">
        <v>1775</v>
      </c>
      <c r="I27" s="487"/>
      <c r="J27" s="491">
        <v>43071</v>
      </c>
      <c r="K27" s="487">
        <f t="shared" si="0"/>
        <v>2017</v>
      </c>
      <c r="L27" s="487">
        <f t="shared" si="1"/>
        <v>12</v>
      </c>
      <c r="M27" s="491"/>
      <c r="N27" s="492"/>
      <c r="O27" s="493"/>
    </row>
    <row r="28" spans="1:137" s="352" customFormat="1">
      <c r="A28" s="487">
        <v>27</v>
      </c>
      <c r="B28" s="487" t="s">
        <v>2046</v>
      </c>
      <c r="C28" s="489" t="s">
        <v>1784</v>
      </c>
      <c r="D28" s="13" t="s">
        <v>4064</v>
      </c>
      <c r="E28" s="489" t="s">
        <v>1745</v>
      </c>
      <c r="F28" s="489" t="s">
        <v>3871</v>
      </c>
      <c r="G28" s="489" t="s">
        <v>3988</v>
      </c>
      <c r="H28" s="490" t="s">
        <v>1773</v>
      </c>
      <c r="I28" s="487"/>
      <c r="J28" s="491">
        <v>43077</v>
      </c>
      <c r="K28" s="487">
        <f t="shared" si="0"/>
        <v>2017</v>
      </c>
      <c r="L28" s="487">
        <f t="shared" si="1"/>
        <v>12</v>
      </c>
      <c r="M28" s="491"/>
      <c r="N28" s="492"/>
      <c r="O28" s="493"/>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9"/>
      <c r="BN28" s="179"/>
      <c r="BO28" s="179"/>
      <c r="BP28" s="179"/>
      <c r="BQ28" s="179"/>
      <c r="BR28" s="179"/>
      <c r="BS28" s="179"/>
      <c r="BT28" s="179"/>
      <c r="BU28" s="179"/>
      <c r="BV28" s="179"/>
      <c r="BW28" s="179"/>
      <c r="BX28" s="179"/>
      <c r="BY28" s="179"/>
      <c r="BZ28" s="179"/>
      <c r="CA28" s="179"/>
      <c r="CB28" s="179"/>
      <c r="CC28" s="179"/>
      <c r="CD28" s="179"/>
      <c r="CE28" s="179"/>
      <c r="CF28" s="179"/>
      <c r="CG28" s="179"/>
      <c r="CH28" s="179"/>
      <c r="CI28" s="179"/>
      <c r="CJ28" s="179"/>
      <c r="CK28" s="179"/>
      <c r="CL28" s="179"/>
      <c r="CM28" s="179"/>
      <c r="CN28" s="179"/>
      <c r="CO28" s="179"/>
      <c r="CP28" s="179"/>
      <c r="CQ28" s="179"/>
      <c r="CR28" s="179"/>
      <c r="CS28" s="179"/>
      <c r="CT28" s="179"/>
      <c r="CU28" s="179"/>
      <c r="CV28" s="179"/>
      <c r="CW28" s="179"/>
      <c r="CX28" s="179"/>
      <c r="CY28" s="179"/>
      <c r="CZ28" s="179"/>
      <c r="DA28" s="179"/>
      <c r="DB28" s="179"/>
      <c r="DC28" s="179"/>
      <c r="DD28" s="179"/>
      <c r="DE28" s="179"/>
      <c r="DF28" s="179"/>
      <c r="DG28" s="179"/>
      <c r="DH28" s="179"/>
      <c r="DI28" s="179"/>
      <c r="DJ28" s="179"/>
      <c r="DK28" s="179"/>
      <c r="DL28" s="179"/>
      <c r="DM28" s="179"/>
      <c r="DN28" s="179"/>
      <c r="DO28" s="179"/>
      <c r="DP28" s="179"/>
      <c r="DQ28" s="179"/>
      <c r="DR28" s="179"/>
      <c r="DS28" s="179"/>
      <c r="DT28" s="179"/>
      <c r="DU28" s="179"/>
      <c r="DV28" s="179"/>
      <c r="DW28" s="179"/>
      <c r="DX28" s="179"/>
      <c r="DY28" s="179"/>
      <c r="DZ28" s="179"/>
      <c r="EA28" s="179"/>
      <c r="EB28" s="179"/>
      <c r="EC28" s="179"/>
      <c r="ED28" s="179"/>
      <c r="EE28" s="179"/>
      <c r="EF28" s="179"/>
      <c r="EG28" s="179"/>
    </row>
    <row r="29" spans="1:137" s="352" customFormat="1">
      <c r="A29" s="487">
        <v>28</v>
      </c>
      <c r="B29" s="487" t="s">
        <v>2046</v>
      </c>
      <c r="C29" s="489" t="s">
        <v>1784</v>
      </c>
      <c r="D29" s="13" t="s">
        <v>4064</v>
      </c>
      <c r="E29" s="489" t="s">
        <v>1745</v>
      </c>
      <c r="F29" s="489" t="s">
        <v>3871</v>
      </c>
      <c r="G29" s="489" t="s">
        <v>3537</v>
      </c>
      <c r="H29" s="490" t="s">
        <v>1773</v>
      </c>
      <c r="I29" s="487"/>
      <c r="J29" s="491">
        <v>43077</v>
      </c>
      <c r="K29" s="487">
        <f t="shared" si="0"/>
        <v>2017</v>
      </c>
      <c r="L29" s="487">
        <f t="shared" si="1"/>
        <v>12</v>
      </c>
      <c r="M29" s="491"/>
      <c r="N29" s="492"/>
      <c r="O29" s="493"/>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c r="BC29" s="179"/>
      <c r="BD29" s="179"/>
      <c r="BE29" s="179"/>
      <c r="BF29" s="179"/>
      <c r="BG29" s="179"/>
      <c r="BH29" s="179"/>
      <c r="BI29" s="179"/>
      <c r="BJ29" s="179"/>
      <c r="BK29" s="179"/>
      <c r="BL29" s="179"/>
      <c r="BM29" s="179"/>
      <c r="BN29" s="179"/>
      <c r="BO29" s="179"/>
      <c r="BP29" s="179"/>
      <c r="BQ29" s="179"/>
      <c r="BR29" s="179"/>
      <c r="BS29" s="179"/>
      <c r="BT29" s="179"/>
      <c r="BU29" s="179"/>
      <c r="BV29" s="179"/>
      <c r="BW29" s="179"/>
      <c r="BX29" s="179"/>
      <c r="BY29" s="179"/>
      <c r="BZ29" s="179"/>
      <c r="CA29" s="179"/>
      <c r="CB29" s="179"/>
      <c r="CC29" s="179"/>
      <c r="CD29" s="179"/>
      <c r="CE29" s="179"/>
      <c r="CF29" s="179"/>
      <c r="CG29" s="179"/>
      <c r="CH29" s="179"/>
      <c r="CI29" s="179"/>
      <c r="CJ29" s="179"/>
      <c r="CK29" s="179"/>
      <c r="CL29" s="179"/>
      <c r="CM29" s="179"/>
      <c r="CN29" s="179"/>
      <c r="CO29" s="179"/>
      <c r="CP29" s="179"/>
      <c r="CQ29" s="179"/>
      <c r="CR29" s="179"/>
      <c r="CS29" s="179"/>
      <c r="CT29" s="179"/>
      <c r="CU29" s="179"/>
      <c r="CV29" s="179"/>
      <c r="CW29" s="179"/>
      <c r="CX29" s="179"/>
      <c r="CY29" s="179"/>
      <c r="CZ29" s="179"/>
      <c r="DA29" s="179"/>
      <c r="DB29" s="179"/>
      <c r="DC29" s="179"/>
      <c r="DD29" s="179"/>
      <c r="DE29" s="179"/>
      <c r="DF29" s="179"/>
      <c r="DG29" s="179"/>
      <c r="DH29" s="179"/>
      <c r="DI29" s="179"/>
      <c r="DJ29" s="179"/>
      <c r="DK29" s="179"/>
      <c r="DL29" s="179"/>
      <c r="DM29" s="179"/>
      <c r="DN29" s="179"/>
      <c r="DO29" s="179"/>
      <c r="DP29" s="179"/>
      <c r="DQ29" s="179"/>
      <c r="DR29" s="179"/>
      <c r="DS29" s="179"/>
      <c r="DT29" s="179"/>
      <c r="DU29" s="179"/>
      <c r="DV29" s="179"/>
      <c r="DW29" s="179"/>
      <c r="DX29" s="179"/>
      <c r="DY29" s="179"/>
      <c r="DZ29" s="179"/>
      <c r="EA29" s="179"/>
      <c r="EB29" s="179"/>
      <c r="EC29" s="179"/>
      <c r="ED29" s="179"/>
      <c r="EE29" s="179"/>
      <c r="EF29" s="179"/>
      <c r="EG29" s="179"/>
    </row>
    <row r="30" spans="1:137" s="351" customFormat="1">
      <c r="A30" s="178">
        <v>29</v>
      </c>
      <c r="B30" s="11" t="s">
        <v>2044</v>
      </c>
      <c r="C30" s="191" t="s">
        <v>1735</v>
      </c>
      <c r="D30" s="191" t="s">
        <v>4064</v>
      </c>
      <c r="E30" s="189" t="s">
        <v>3823</v>
      </c>
      <c r="F30" s="191" t="s">
        <v>3872</v>
      </c>
      <c r="G30" s="191" t="s">
        <v>3823</v>
      </c>
      <c r="H30" s="281">
        <v>43145</v>
      </c>
      <c r="I30" s="202" t="s">
        <v>5</v>
      </c>
      <c r="J30" s="195">
        <v>43106</v>
      </c>
      <c r="K30" s="178">
        <f t="shared" si="0"/>
        <v>2018</v>
      </c>
      <c r="L30" s="178">
        <f t="shared" si="1"/>
        <v>1</v>
      </c>
      <c r="M30" s="195">
        <v>43145</v>
      </c>
      <c r="N30" s="456" t="s">
        <v>4058</v>
      </c>
      <c r="O30" s="343">
        <v>25</v>
      </c>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c r="BC30" s="179"/>
      <c r="BD30" s="179"/>
      <c r="BE30" s="179"/>
      <c r="BF30" s="179"/>
      <c r="BG30" s="179"/>
      <c r="BH30" s="179"/>
      <c r="BI30" s="179"/>
      <c r="BJ30" s="179"/>
      <c r="BK30" s="179"/>
      <c r="BL30" s="179"/>
      <c r="BM30" s="179"/>
      <c r="BN30" s="179"/>
      <c r="BO30" s="179"/>
      <c r="BP30" s="179"/>
      <c r="BQ30" s="179"/>
      <c r="BR30" s="179"/>
      <c r="BS30" s="179"/>
      <c r="BT30" s="179"/>
      <c r="BU30" s="179"/>
      <c r="BV30" s="179"/>
      <c r="BW30" s="179"/>
      <c r="BX30" s="179"/>
      <c r="BY30" s="179"/>
      <c r="BZ30" s="179"/>
      <c r="CA30" s="179"/>
      <c r="CB30" s="179"/>
      <c r="CC30" s="179"/>
      <c r="CD30" s="179"/>
      <c r="CE30" s="179"/>
      <c r="CF30" s="179"/>
      <c r="CG30" s="179"/>
      <c r="CH30" s="179"/>
      <c r="CI30" s="179"/>
      <c r="CJ30" s="179"/>
      <c r="CK30" s="179"/>
      <c r="CL30" s="179"/>
      <c r="CM30" s="179"/>
      <c r="CN30" s="179"/>
      <c r="CO30" s="179"/>
      <c r="CP30" s="179"/>
      <c r="CQ30" s="179"/>
      <c r="CR30" s="179"/>
      <c r="CS30" s="179"/>
      <c r="CT30" s="179"/>
      <c r="CU30" s="179"/>
      <c r="CV30" s="179"/>
      <c r="CW30" s="179"/>
      <c r="CX30" s="179"/>
      <c r="CY30" s="179"/>
      <c r="CZ30" s="179"/>
      <c r="DA30" s="179"/>
      <c r="DB30" s="179"/>
      <c r="DC30" s="179"/>
      <c r="DD30" s="179"/>
      <c r="DE30" s="179"/>
      <c r="DF30" s="179"/>
      <c r="DG30" s="179"/>
      <c r="DH30" s="179"/>
      <c r="DI30" s="179"/>
      <c r="DJ30" s="179"/>
      <c r="DK30" s="179"/>
      <c r="DL30" s="179"/>
      <c r="DM30" s="179"/>
      <c r="DN30" s="179"/>
      <c r="DO30" s="179"/>
      <c r="DP30" s="179"/>
      <c r="DQ30" s="179"/>
      <c r="DR30" s="179"/>
      <c r="DS30" s="179"/>
      <c r="DT30" s="179"/>
      <c r="DU30" s="179"/>
      <c r="DV30" s="179"/>
      <c r="DW30" s="179"/>
      <c r="DX30" s="179"/>
      <c r="DY30" s="179"/>
      <c r="DZ30" s="179"/>
      <c r="EA30" s="179"/>
      <c r="EB30" s="179"/>
      <c r="EC30" s="179"/>
      <c r="ED30" s="179"/>
      <c r="EE30" s="179"/>
      <c r="EF30" s="179"/>
      <c r="EG30" s="179"/>
    </row>
    <row r="31" spans="1:137" s="351" customFormat="1" ht="38.25">
      <c r="A31" s="178">
        <v>30</v>
      </c>
      <c r="B31" s="11" t="s">
        <v>2044</v>
      </c>
      <c r="C31" s="191" t="s">
        <v>1735</v>
      </c>
      <c r="D31" s="385" t="s">
        <v>4064</v>
      </c>
      <c r="E31" s="13" t="s">
        <v>1621</v>
      </c>
      <c r="F31" s="191" t="s">
        <v>3873</v>
      </c>
      <c r="G31" s="191" t="s">
        <v>3989</v>
      </c>
      <c r="H31" s="281">
        <v>43145</v>
      </c>
      <c r="I31" s="185"/>
      <c r="J31" s="195">
        <v>43106</v>
      </c>
      <c r="K31" s="178">
        <f t="shared" si="0"/>
        <v>2018</v>
      </c>
      <c r="L31" s="178">
        <f t="shared" si="1"/>
        <v>1</v>
      </c>
      <c r="M31" s="195">
        <v>43145</v>
      </c>
      <c r="N31" s="458"/>
      <c r="O31" s="343">
        <v>40</v>
      </c>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9"/>
      <c r="BN31" s="179"/>
      <c r="BO31" s="179"/>
      <c r="BP31" s="179"/>
      <c r="BQ31" s="179"/>
      <c r="BR31" s="179"/>
      <c r="BS31" s="179"/>
      <c r="BT31" s="179"/>
      <c r="BU31" s="179"/>
      <c r="BV31" s="179"/>
      <c r="BW31" s="179"/>
      <c r="BX31" s="179"/>
      <c r="BY31" s="179"/>
      <c r="BZ31" s="179"/>
      <c r="CA31" s="179"/>
      <c r="CB31" s="179"/>
      <c r="CC31" s="179"/>
      <c r="CD31" s="179"/>
      <c r="CE31" s="179"/>
      <c r="CF31" s="179"/>
      <c r="CG31" s="179"/>
      <c r="CH31" s="179"/>
      <c r="CI31" s="179"/>
      <c r="CJ31" s="179"/>
      <c r="CK31" s="179"/>
      <c r="CL31" s="179"/>
      <c r="CM31" s="179"/>
      <c r="CN31" s="179"/>
      <c r="CO31" s="179"/>
      <c r="CP31" s="179"/>
      <c r="CQ31" s="179"/>
      <c r="CR31" s="179"/>
      <c r="CS31" s="179"/>
      <c r="CT31" s="179"/>
      <c r="CU31" s="179"/>
      <c r="CV31" s="179"/>
      <c r="CW31" s="179"/>
      <c r="CX31" s="179"/>
      <c r="CY31" s="179"/>
      <c r="CZ31" s="179"/>
      <c r="DA31" s="179"/>
      <c r="DB31" s="179"/>
      <c r="DC31" s="179"/>
      <c r="DD31" s="179"/>
      <c r="DE31" s="179"/>
      <c r="DF31" s="179"/>
      <c r="DG31" s="179"/>
      <c r="DH31" s="179"/>
      <c r="DI31" s="179"/>
      <c r="DJ31" s="179"/>
      <c r="DK31" s="179"/>
      <c r="DL31" s="179"/>
      <c r="DM31" s="179"/>
      <c r="DN31" s="179"/>
      <c r="DO31" s="179"/>
      <c r="DP31" s="179"/>
      <c r="DQ31" s="179"/>
      <c r="DR31" s="179"/>
      <c r="DS31" s="179"/>
      <c r="DT31" s="179"/>
      <c r="DU31" s="179"/>
      <c r="DV31" s="179"/>
      <c r="DW31" s="179"/>
      <c r="DX31" s="179"/>
      <c r="DY31" s="179"/>
      <c r="DZ31" s="179"/>
      <c r="EA31" s="179"/>
      <c r="EB31" s="179"/>
      <c r="EC31" s="179"/>
      <c r="ED31" s="179"/>
      <c r="EE31" s="179"/>
      <c r="EF31" s="179"/>
      <c r="EG31" s="179"/>
    </row>
    <row r="32" spans="1:137" s="351" customFormat="1" ht="25.5">
      <c r="A32" s="178">
        <v>31</v>
      </c>
      <c r="B32" s="11" t="s">
        <v>2044</v>
      </c>
      <c r="C32" s="191" t="s">
        <v>1820</v>
      </c>
      <c r="D32" s="385" t="s">
        <v>4064</v>
      </c>
      <c r="E32" s="191" t="s">
        <v>1823</v>
      </c>
      <c r="F32" s="191" t="s">
        <v>3874</v>
      </c>
      <c r="G32" s="191" t="s">
        <v>1823</v>
      </c>
      <c r="H32" s="281">
        <v>43162</v>
      </c>
      <c r="I32" s="185"/>
      <c r="J32" s="195">
        <v>43111</v>
      </c>
      <c r="K32" s="178">
        <f t="shared" si="0"/>
        <v>2018</v>
      </c>
      <c r="L32" s="178">
        <f t="shared" si="1"/>
        <v>1</v>
      </c>
      <c r="M32" s="195">
        <v>43162</v>
      </c>
      <c r="N32" s="452">
        <v>3</v>
      </c>
      <c r="O32" s="343">
        <v>50</v>
      </c>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79"/>
      <c r="CF32" s="179"/>
      <c r="CG32" s="179"/>
      <c r="CH32" s="179"/>
      <c r="CI32" s="179"/>
      <c r="CJ32" s="179"/>
      <c r="CK32" s="179"/>
      <c r="CL32" s="179"/>
      <c r="CM32" s="179"/>
      <c r="CN32" s="179"/>
      <c r="CO32" s="179"/>
      <c r="CP32" s="179"/>
      <c r="CQ32" s="179"/>
      <c r="CR32" s="179"/>
      <c r="CS32" s="179"/>
      <c r="CT32" s="179"/>
      <c r="CU32" s="179"/>
      <c r="CV32" s="179"/>
      <c r="CW32" s="179"/>
      <c r="CX32" s="179"/>
      <c r="CY32" s="179"/>
      <c r="CZ32" s="179"/>
      <c r="DA32" s="179"/>
      <c r="DB32" s="179"/>
      <c r="DC32" s="179"/>
      <c r="DD32" s="179"/>
      <c r="DE32" s="179"/>
      <c r="DF32" s="179"/>
      <c r="DG32" s="179"/>
      <c r="DH32" s="179"/>
      <c r="DI32" s="179"/>
      <c r="DJ32" s="179"/>
      <c r="DK32" s="179"/>
      <c r="DL32" s="179"/>
      <c r="DM32" s="179"/>
      <c r="DN32" s="179"/>
      <c r="DO32" s="179"/>
      <c r="DP32" s="179"/>
      <c r="DQ32" s="179"/>
      <c r="DR32" s="179"/>
      <c r="DS32" s="179"/>
      <c r="DT32" s="179"/>
      <c r="DU32" s="179"/>
      <c r="DV32" s="179"/>
      <c r="DW32" s="179"/>
      <c r="DX32" s="179"/>
      <c r="DY32" s="179"/>
      <c r="DZ32" s="179"/>
      <c r="EA32" s="179"/>
      <c r="EB32" s="179"/>
      <c r="EC32" s="179"/>
      <c r="ED32" s="179"/>
      <c r="EE32" s="179"/>
      <c r="EF32" s="179"/>
      <c r="EG32" s="179"/>
    </row>
    <row r="33" spans="1:137" s="351" customFormat="1" ht="25.5">
      <c r="A33" s="178">
        <v>32</v>
      </c>
      <c r="B33" s="11" t="s">
        <v>2044</v>
      </c>
      <c r="C33" s="191" t="s">
        <v>1820</v>
      </c>
      <c r="D33" s="13" t="s">
        <v>4075</v>
      </c>
      <c r="E33" s="189" t="s">
        <v>3817</v>
      </c>
      <c r="F33" s="191" t="s">
        <v>3875</v>
      </c>
      <c r="G33" s="191" t="s">
        <v>3990</v>
      </c>
      <c r="H33" s="281">
        <v>43162</v>
      </c>
      <c r="I33" s="185"/>
      <c r="J33" s="195">
        <v>43111</v>
      </c>
      <c r="K33" s="178">
        <f t="shared" si="0"/>
        <v>2018</v>
      </c>
      <c r="L33" s="178">
        <f t="shared" si="1"/>
        <v>1</v>
      </c>
      <c r="M33" s="195">
        <v>43162</v>
      </c>
      <c r="N33" s="453"/>
      <c r="O33" s="343">
        <v>30</v>
      </c>
      <c r="P33" s="179"/>
      <c r="Q33" s="179"/>
      <c r="R33" s="179"/>
      <c r="S33" s="179"/>
      <c r="T33" s="179"/>
      <c r="U33" s="179"/>
      <c r="V33" s="179"/>
      <c r="W33" s="179"/>
      <c r="X33" s="179"/>
      <c r="Y33" s="179"/>
      <c r="Z33" s="179"/>
      <c r="AA33" s="179"/>
      <c r="AB33" s="179"/>
      <c r="AC33" s="179"/>
      <c r="AD33" s="179"/>
      <c r="AE33" s="179"/>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79"/>
      <c r="CF33" s="179"/>
      <c r="CG33" s="179"/>
      <c r="CH33" s="179"/>
      <c r="CI33" s="179"/>
      <c r="CJ33" s="179"/>
      <c r="CK33" s="179"/>
      <c r="CL33" s="179"/>
      <c r="CM33" s="179"/>
      <c r="CN33" s="179"/>
      <c r="CO33" s="179"/>
      <c r="CP33" s="179"/>
      <c r="CQ33" s="179"/>
      <c r="CR33" s="179"/>
      <c r="CS33" s="179"/>
      <c r="CT33" s="179"/>
      <c r="CU33" s="179"/>
      <c r="CV33" s="179"/>
      <c r="CW33" s="179"/>
      <c r="CX33" s="179"/>
      <c r="CY33" s="179"/>
      <c r="CZ33" s="179"/>
      <c r="DA33" s="179"/>
      <c r="DB33" s="179"/>
      <c r="DC33" s="179"/>
      <c r="DD33" s="179"/>
      <c r="DE33" s="179"/>
      <c r="DF33" s="179"/>
      <c r="DG33" s="179"/>
      <c r="DH33" s="179"/>
      <c r="DI33" s="179"/>
      <c r="DJ33" s="179"/>
      <c r="DK33" s="179"/>
      <c r="DL33" s="179"/>
      <c r="DM33" s="179"/>
      <c r="DN33" s="179"/>
      <c r="DO33" s="179"/>
      <c r="DP33" s="179"/>
      <c r="DQ33" s="179"/>
      <c r="DR33" s="179"/>
      <c r="DS33" s="179"/>
      <c r="DT33" s="179"/>
      <c r="DU33" s="179"/>
      <c r="DV33" s="179"/>
      <c r="DW33" s="179"/>
      <c r="DX33" s="179"/>
      <c r="DY33" s="179"/>
      <c r="DZ33" s="179"/>
      <c r="EA33" s="179"/>
      <c r="EB33" s="179"/>
      <c r="EC33" s="179"/>
      <c r="ED33" s="179"/>
      <c r="EE33" s="179"/>
      <c r="EF33" s="179"/>
      <c r="EG33" s="179"/>
    </row>
    <row r="34" spans="1:137" s="352" customFormat="1">
      <c r="A34" s="487">
        <v>33</v>
      </c>
      <c r="B34" s="487" t="s">
        <v>2046</v>
      </c>
      <c r="C34" s="489" t="s">
        <v>1855</v>
      </c>
      <c r="D34" s="489"/>
      <c r="E34" s="489" t="e">
        <v>#N/A</v>
      </c>
      <c r="F34" s="489" t="s">
        <v>3871</v>
      </c>
      <c r="G34" s="489" t="s">
        <v>3991</v>
      </c>
      <c r="H34" s="490"/>
      <c r="I34" s="487"/>
      <c r="J34" s="491">
        <v>43109</v>
      </c>
      <c r="K34" s="487">
        <f t="shared" si="0"/>
        <v>2018</v>
      </c>
      <c r="L34" s="487">
        <f t="shared" si="1"/>
        <v>1</v>
      </c>
      <c r="M34" s="491"/>
      <c r="N34" s="492"/>
      <c r="O34" s="493"/>
      <c r="P34" s="179"/>
      <c r="Q34" s="179"/>
      <c r="R34" s="179"/>
      <c r="S34" s="179"/>
      <c r="T34" s="179"/>
      <c r="U34" s="179"/>
      <c r="V34" s="179"/>
      <c r="W34" s="179"/>
      <c r="X34" s="179"/>
      <c r="Y34" s="179"/>
      <c r="Z34" s="179"/>
      <c r="AA34" s="179"/>
      <c r="AB34" s="179"/>
      <c r="AC34" s="179"/>
      <c r="AD34" s="179"/>
      <c r="AE34" s="179"/>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79"/>
      <c r="CF34" s="179"/>
      <c r="CG34" s="179"/>
      <c r="CH34" s="179"/>
      <c r="CI34" s="179"/>
      <c r="CJ34" s="179"/>
      <c r="CK34" s="179"/>
      <c r="CL34" s="179"/>
      <c r="CM34" s="179"/>
      <c r="CN34" s="179"/>
      <c r="CO34" s="179"/>
      <c r="CP34" s="179"/>
      <c r="CQ34" s="179"/>
      <c r="CR34" s="179"/>
      <c r="CS34" s="179"/>
      <c r="CT34" s="179"/>
      <c r="CU34" s="179"/>
      <c r="CV34" s="179"/>
      <c r="CW34" s="179"/>
      <c r="CX34" s="179"/>
      <c r="CY34" s="179"/>
      <c r="CZ34" s="179"/>
      <c r="DA34" s="179"/>
      <c r="DB34" s="179"/>
      <c r="DC34" s="179"/>
      <c r="DD34" s="179"/>
      <c r="DE34" s="179"/>
      <c r="DF34" s="179"/>
      <c r="DG34" s="179"/>
      <c r="DH34" s="179"/>
      <c r="DI34" s="179"/>
      <c r="DJ34" s="179"/>
      <c r="DK34" s="179"/>
      <c r="DL34" s="179"/>
      <c r="DM34" s="179"/>
      <c r="DN34" s="179"/>
      <c r="DO34" s="179"/>
      <c r="DP34" s="179"/>
      <c r="DQ34" s="179"/>
      <c r="DR34" s="179"/>
      <c r="DS34" s="179"/>
      <c r="DT34" s="179"/>
      <c r="DU34" s="179"/>
      <c r="DV34" s="179"/>
      <c r="DW34" s="179"/>
      <c r="DX34" s="179"/>
      <c r="DY34" s="179"/>
      <c r="DZ34" s="179"/>
      <c r="EA34" s="179"/>
      <c r="EB34" s="179"/>
      <c r="EC34" s="179"/>
      <c r="ED34" s="179"/>
      <c r="EE34" s="179"/>
      <c r="EF34" s="179"/>
      <c r="EG34" s="179"/>
    </row>
    <row r="35" spans="1:137" s="352" customFormat="1" ht="25.5">
      <c r="A35" s="487">
        <v>34</v>
      </c>
      <c r="B35" s="487" t="s">
        <v>2046</v>
      </c>
      <c r="C35" s="489" t="s">
        <v>1856</v>
      </c>
      <c r="D35" s="489"/>
      <c r="E35" s="489" t="e">
        <v>#N/A</v>
      </c>
      <c r="F35" s="489" t="s">
        <v>3876</v>
      </c>
      <c r="G35" s="489" t="s">
        <v>3992</v>
      </c>
      <c r="H35" s="490"/>
      <c r="I35" s="487"/>
      <c r="J35" s="491">
        <v>43106</v>
      </c>
      <c r="K35" s="487">
        <f t="shared" si="0"/>
        <v>2018</v>
      </c>
      <c r="L35" s="487">
        <f t="shared" si="1"/>
        <v>1</v>
      </c>
      <c r="M35" s="491"/>
      <c r="N35" s="492"/>
      <c r="O35" s="493"/>
      <c r="P35" s="179"/>
      <c r="Q35" s="179"/>
      <c r="R35" s="179"/>
      <c r="S35" s="179"/>
      <c r="T35" s="179"/>
      <c r="U35" s="179"/>
      <c r="V35" s="179"/>
      <c r="W35" s="179"/>
      <c r="X35" s="179"/>
      <c r="Y35" s="179"/>
      <c r="Z35" s="179"/>
      <c r="AA35" s="179"/>
      <c r="AB35" s="179"/>
      <c r="AC35" s="179"/>
      <c r="AD35" s="179"/>
      <c r="AE35" s="179"/>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79"/>
      <c r="CF35" s="179"/>
      <c r="CG35" s="179"/>
      <c r="CH35" s="179"/>
      <c r="CI35" s="179"/>
      <c r="CJ35" s="179"/>
      <c r="CK35" s="179"/>
      <c r="CL35" s="179"/>
      <c r="CM35" s="179"/>
      <c r="CN35" s="179"/>
      <c r="CO35" s="179"/>
      <c r="CP35" s="179"/>
      <c r="CQ35" s="179"/>
      <c r="CR35" s="179"/>
      <c r="CS35" s="179"/>
      <c r="CT35" s="179"/>
      <c r="CU35" s="179"/>
      <c r="CV35" s="179"/>
      <c r="CW35" s="179"/>
      <c r="CX35" s="179"/>
      <c r="CY35" s="179"/>
      <c r="CZ35" s="179"/>
      <c r="DA35" s="179"/>
      <c r="DB35" s="179"/>
      <c r="DC35" s="179"/>
      <c r="DD35" s="179"/>
      <c r="DE35" s="179"/>
      <c r="DF35" s="179"/>
      <c r="DG35" s="179"/>
      <c r="DH35" s="179"/>
      <c r="DI35" s="179"/>
      <c r="DJ35" s="179"/>
      <c r="DK35" s="179"/>
      <c r="DL35" s="179"/>
      <c r="DM35" s="179"/>
      <c r="DN35" s="179"/>
      <c r="DO35" s="179"/>
      <c r="DP35" s="179"/>
      <c r="DQ35" s="179"/>
      <c r="DR35" s="179"/>
      <c r="DS35" s="179"/>
      <c r="DT35" s="179"/>
      <c r="DU35" s="179"/>
      <c r="DV35" s="179"/>
      <c r="DW35" s="179"/>
      <c r="DX35" s="179"/>
      <c r="DY35" s="179"/>
      <c r="DZ35" s="179"/>
      <c r="EA35" s="179"/>
      <c r="EB35" s="179"/>
      <c r="EC35" s="179"/>
      <c r="ED35" s="179"/>
      <c r="EE35" s="179"/>
      <c r="EF35" s="179"/>
      <c r="EG35" s="179"/>
    </row>
    <row r="36" spans="1:137" s="352" customFormat="1" ht="25.5">
      <c r="A36" s="487">
        <v>35</v>
      </c>
      <c r="B36" s="487" t="s">
        <v>2046</v>
      </c>
      <c r="C36" s="489" t="s">
        <v>1857</v>
      </c>
      <c r="D36" s="385" t="s">
        <v>4064</v>
      </c>
      <c r="E36" s="489" t="s">
        <v>3824</v>
      </c>
      <c r="F36" s="489" t="s">
        <v>3877</v>
      </c>
      <c r="G36" s="489" t="s">
        <v>3824</v>
      </c>
      <c r="H36" s="490"/>
      <c r="I36" s="487"/>
      <c r="J36" s="491">
        <v>43089</v>
      </c>
      <c r="K36" s="487">
        <f t="shared" si="0"/>
        <v>2017</v>
      </c>
      <c r="L36" s="487">
        <f t="shared" si="1"/>
        <v>12</v>
      </c>
      <c r="M36" s="491"/>
      <c r="N36" s="492"/>
      <c r="O36" s="493"/>
      <c r="P36" s="179"/>
      <c r="Q36" s="179"/>
      <c r="R36" s="179"/>
      <c r="S36" s="179"/>
      <c r="T36" s="179"/>
      <c r="U36" s="179"/>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9"/>
      <c r="BN36" s="179"/>
      <c r="BO36" s="179"/>
      <c r="BP36" s="179"/>
      <c r="BQ36" s="179"/>
      <c r="BR36" s="179"/>
      <c r="BS36" s="179"/>
      <c r="BT36" s="179"/>
      <c r="BU36" s="179"/>
      <c r="BV36" s="179"/>
      <c r="BW36" s="179"/>
      <c r="BX36" s="179"/>
      <c r="BY36" s="179"/>
      <c r="BZ36" s="179"/>
      <c r="CA36" s="179"/>
      <c r="CB36" s="179"/>
      <c r="CC36" s="179"/>
      <c r="CD36" s="179"/>
      <c r="CE36" s="179"/>
      <c r="CF36" s="179"/>
      <c r="CG36" s="179"/>
      <c r="CH36" s="179"/>
      <c r="CI36" s="179"/>
      <c r="CJ36" s="179"/>
      <c r="CK36" s="179"/>
      <c r="CL36" s="179"/>
      <c r="CM36" s="179"/>
      <c r="CN36" s="179"/>
      <c r="CO36" s="179"/>
      <c r="CP36" s="179"/>
      <c r="CQ36" s="179"/>
      <c r="CR36" s="179"/>
      <c r="CS36" s="179"/>
      <c r="CT36" s="179"/>
      <c r="CU36" s="179"/>
      <c r="CV36" s="179"/>
      <c r="CW36" s="179"/>
      <c r="CX36" s="179"/>
      <c r="CY36" s="179"/>
      <c r="CZ36" s="179"/>
      <c r="DA36" s="179"/>
      <c r="DB36" s="179"/>
      <c r="DC36" s="179"/>
      <c r="DD36" s="179"/>
      <c r="DE36" s="179"/>
      <c r="DF36" s="179"/>
      <c r="DG36" s="179"/>
      <c r="DH36" s="179"/>
      <c r="DI36" s="179"/>
      <c r="DJ36" s="179"/>
      <c r="DK36" s="179"/>
      <c r="DL36" s="179"/>
      <c r="DM36" s="179"/>
      <c r="DN36" s="179"/>
      <c r="DO36" s="179"/>
      <c r="DP36" s="179"/>
      <c r="DQ36" s="179"/>
      <c r="DR36" s="179"/>
      <c r="DS36" s="179"/>
      <c r="DT36" s="179"/>
      <c r="DU36" s="179"/>
      <c r="DV36" s="179"/>
      <c r="DW36" s="179"/>
      <c r="DX36" s="179"/>
      <c r="DY36" s="179"/>
      <c r="DZ36" s="179"/>
      <c r="EA36" s="179"/>
      <c r="EB36" s="179"/>
      <c r="EC36" s="179"/>
      <c r="ED36" s="179"/>
      <c r="EE36" s="179"/>
      <c r="EF36" s="179"/>
      <c r="EG36" s="179"/>
    </row>
    <row r="37" spans="1:137" ht="38.25">
      <c r="A37" s="178">
        <v>36</v>
      </c>
      <c r="B37" s="11" t="s">
        <v>2044</v>
      </c>
      <c r="C37" s="191" t="s">
        <v>1862</v>
      </c>
      <c r="D37" s="385" t="s">
        <v>4064</v>
      </c>
      <c r="E37" s="13" t="s">
        <v>1621</v>
      </c>
      <c r="F37" s="191" t="s">
        <v>3878</v>
      </c>
      <c r="G37" s="191" t="s">
        <v>3993</v>
      </c>
      <c r="H37" s="272">
        <v>43151</v>
      </c>
      <c r="I37" s="185"/>
      <c r="J37" s="218">
        <v>43123</v>
      </c>
      <c r="K37" s="178">
        <f t="shared" si="0"/>
        <v>2018</v>
      </c>
      <c r="L37" s="178">
        <f t="shared" si="1"/>
        <v>1</v>
      </c>
      <c r="M37" s="195">
        <v>43151</v>
      </c>
      <c r="N37" s="335">
        <v>3.9</v>
      </c>
      <c r="O37" s="343">
        <v>55</v>
      </c>
    </row>
    <row r="38" spans="1:137" ht="25.5">
      <c r="A38" s="178">
        <v>37</v>
      </c>
      <c r="B38" s="11" t="s">
        <v>2044</v>
      </c>
      <c r="C38" s="191" t="s">
        <v>1875</v>
      </c>
      <c r="D38" s="385" t="s">
        <v>4064</v>
      </c>
      <c r="E38" s="13" t="s">
        <v>1621</v>
      </c>
      <c r="F38" s="13" t="s">
        <v>3879</v>
      </c>
      <c r="G38" s="13" t="s">
        <v>3994</v>
      </c>
      <c r="H38" s="279">
        <v>43150</v>
      </c>
      <c r="I38" s="202" t="s">
        <v>5</v>
      </c>
      <c r="J38" s="193">
        <v>43144</v>
      </c>
      <c r="K38" s="178">
        <f t="shared" si="0"/>
        <v>2018</v>
      </c>
      <c r="L38" s="178">
        <f t="shared" si="1"/>
        <v>2</v>
      </c>
      <c r="M38" s="193">
        <v>43150</v>
      </c>
      <c r="N38" s="334" t="s">
        <v>4058</v>
      </c>
      <c r="O38" s="343">
        <v>40</v>
      </c>
    </row>
    <row r="39" spans="1:137" s="351" customFormat="1">
      <c r="A39" s="178">
        <v>38</v>
      </c>
      <c r="B39" s="11" t="s">
        <v>2044</v>
      </c>
      <c r="C39" s="191" t="s">
        <v>1877</v>
      </c>
      <c r="D39" s="385" t="s">
        <v>4064</v>
      </c>
      <c r="E39" s="191" t="s">
        <v>1884</v>
      </c>
      <c r="F39" s="191" t="s">
        <v>3880</v>
      </c>
      <c r="G39" s="191" t="s">
        <v>1884</v>
      </c>
      <c r="H39" s="272">
        <v>43193</v>
      </c>
      <c r="I39" s="185"/>
      <c r="J39" s="195">
        <v>43144</v>
      </c>
      <c r="K39" s="178">
        <f t="shared" si="0"/>
        <v>2018</v>
      </c>
      <c r="L39" s="178">
        <f t="shared" si="1"/>
        <v>2</v>
      </c>
      <c r="M39" s="195">
        <v>43179</v>
      </c>
      <c r="N39" s="339" t="s">
        <v>4056</v>
      </c>
      <c r="O39" s="343">
        <v>40</v>
      </c>
      <c r="P39" s="179"/>
      <c r="Q39" s="179"/>
      <c r="R39" s="179"/>
      <c r="S39" s="179"/>
      <c r="T39" s="179"/>
      <c r="U39" s="179"/>
      <c r="V39" s="179"/>
      <c r="W39" s="179"/>
      <c r="X39" s="179"/>
      <c r="Y39" s="179"/>
      <c r="Z39" s="179"/>
      <c r="AA39" s="179"/>
      <c r="AB39" s="179"/>
      <c r="AC39" s="179"/>
      <c r="AD39" s="179"/>
      <c r="AE39" s="179"/>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9"/>
      <c r="BN39" s="179"/>
      <c r="BO39" s="179"/>
      <c r="BP39" s="179"/>
      <c r="BQ39" s="179"/>
      <c r="BR39" s="179"/>
      <c r="BS39" s="179"/>
      <c r="BT39" s="179"/>
      <c r="BU39" s="179"/>
      <c r="BV39" s="179"/>
      <c r="BW39" s="179"/>
      <c r="BX39" s="179"/>
      <c r="BY39" s="179"/>
      <c r="BZ39" s="179"/>
      <c r="CA39" s="179"/>
      <c r="CB39" s="179"/>
      <c r="CC39" s="179"/>
      <c r="CD39" s="179"/>
      <c r="CE39" s="179"/>
      <c r="CF39" s="179"/>
      <c r="CG39" s="179"/>
      <c r="CH39" s="179"/>
      <c r="CI39" s="179"/>
      <c r="CJ39" s="179"/>
      <c r="CK39" s="179"/>
      <c r="CL39" s="179"/>
      <c r="CM39" s="179"/>
      <c r="CN39" s="179"/>
      <c r="CO39" s="179"/>
      <c r="CP39" s="179"/>
      <c r="CQ39" s="179"/>
      <c r="CR39" s="179"/>
      <c r="CS39" s="179"/>
      <c r="CT39" s="179"/>
      <c r="CU39" s="179"/>
      <c r="CV39" s="179"/>
      <c r="CW39" s="179"/>
      <c r="CX39" s="179"/>
      <c r="CY39" s="179"/>
      <c r="CZ39" s="179"/>
      <c r="DA39" s="179"/>
      <c r="DB39" s="179"/>
      <c r="DC39" s="179"/>
      <c r="DD39" s="179"/>
      <c r="DE39" s="179"/>
      <c r="DF39" s="179"/>
      <c r="DG39" s="179"/>
      <c r="DH39" s="179"/>
      <c r="DI39" s="179"/>
      <c r="DJ39" s="179"/>
      <c r="DK39" s="179"/>
      <c r="DL39" s="179"/>
      <c r="DM39" s="179"/>
      <c r="DN39" s="179"/>
      <c r="DO39" s="179"/>
      <c r="DP39" s="179"/>
      <c r="DQ39" s="179"/>
      <c r="DR39" s="179"/>
      <c r="DS39" s="179"/>
      <c r="DT39" s="179"/>
      <c r="DU39" s="179"/>
      <c r="DV39" s="179"/>
      <c r="DW39" s="179"/>
      <c r="DX39" s="179"/>
      <c r="DY39" s="179"/>
      <c r="DZ39" s="179"/>
      <c r="EA39" s="179"/>
      <c r="EB39" s="179"/>
      <c r="EC39" s="179"/>
      <c r="ED39" s="179"/>
      <c r="EE39" s="179"/>
      <c r="EF39" s="179"/>
      <c r="EG39" s="179"/>
    </row>
    <row r="40" spans="1:137" s="351" customFormat="1" ht="38.25">
      <c r="A40" s="178">
        <v>39</v>
      </c>
      <c r="B40" s="11" t="s">
        <v>2044</v>
      </c>
      <c r="C40" s="191" t="s">
        <v>1877</v>
      </c>
      <c r="D40" s="17" t="s">
        <v>4067</v>
      </c>
      <c r="E40" s="189" t="s">
        <v>2004</v>
      </c>
      <c r="F40" s="191" t="s">
        <v>3880</v>
      </c>
      <c r="G40" s="191" t="s">
        <v>3995</v>
      </c>
      <c r="H40" s="272">
        <v>43193</v>
      </c>
      <c r="I40" s="185"/>
      <c r="J40" s="195">
        <v>43144</v>
      </c>
      <c r="K40" s="178">
        <f t="shared" si="0"/>
        <v>2018</v>
      </c>
      <c r="L40" s="178">
        <f t="shared" si="1"/>
        <v>2</v>
      </c>
      <c r="M40" s="195">
        <v>43179</v>
      </c>
      <c r="N40" s="339" t="s">
        <v>4056</v>
      </c>
      <c r="O40" s="343">
        <v>50</v>
      </c>
      <c r="P40" s="179"/>
      <c r="Q40" s="179"/>
      <c r="R40" s="179"/>
      <c r="S40" s="179"/>
      <c r="T40" s="179"/>
      <c r="U40" s="179"/>
      <c r="V40" s="179"/>
      <c r="W40" s="179"/>
      <c r="X40" s="179"/>
      <c r="Y40" s="179"/>
      <c r="Z40" s="179"/>
      <c r="AA40" s="179"/>
      <c r="AB40" s="179"/>
      <c r="AC40" s="179"/>
      <c r="AD40" s="179"/>
      <c r="AE40" s="179"/>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9"/>
      <c r="BN40" s="179"/>
      <c r="BO40" s="179"/>
      <c r="BP40" s="179"/>
      <c r="BQ40" s="179"/>
      <c r="BR40" s="179"/>
      <c r="BS40" s="179"/>
      <c r="BT40" s="179"/>
      <c r="BU40" s="179"/>
      <c r="BV40" s="179"/>
      <c r="BW40" s="179"/>
      <c r="BX40" s="179"/>
      <c r="BY40" s="179"/>
      <c r="BZ40" s="179"/>
      <c r="CA40" s="179"/>
      <c r="CB40" s="179"/>
      <c r="CC40" s="179"/>
      <c r="CD40" s="179"/>
      <c r="CE40" s="179"/>
      <c r="CF40" s="179"/>
      <c r="CG40" s="179"/>
      <c r="CH40" s="179"/>
      <c r="CI40" s="179"/>
      <c r="CJ40" s="179"/>
      <c r="CK40" s="179"/>
      <c r="CL40" s="179"/>
      <c r="CM40" s="179"/>
      <c r="CN40" s="179"/>
      <c r="CO40" s="179"/>
      <c r="CP40" s="179"/>
      <c r="CQ40" s="179"/>
      <c r="CR40" s="179"/>
      <c r="CS40" s="179"/>
      <c r="CT40" s="179"/>
      <c r="CU40" s="179"/>
      <c r="CV40" s="179"/>
      <c r="CW40" s="179"/>
      <c r="CX40" s="179"/>
      <c r="CY40" s="179"/>
      <c r="CZ40" s="179"/>
      <c r="DA40" s="179"/>
      <c r="DB40" s="179"/>
      <c r="DC40" s="179"/>
      <c r="DD40" s="179"/>
      <c r="DE40" s="179"/>
      <c r="DF40" s="179"/>
      <c r="DG40" s="179"/>
      <c r="DH40" s="179"/>
      <c r="DI40" s="179"/>
      <c r="DJ40" s="179"/>
      <c r="DK40" s="179"/>
      <c r="DL40" s="179"/>
      <c r="DM40" s="179"/>
      <c r="DN40" s="179"/>
      <c r="DO40" s="179"/>
      <c r="DP40" s="179"/>
      <c r="DQ40" s="179"/>
      <c r="DR40" s="179"/>
      <c r="DS40" s="179"/>
      <c r="DT40" s="179"/>
      <c r="DU40" s="179"/>
      <c r="DV40" s="179"/>
      <c r="DW40" s="179"/>
      <c r="DX40" s="179"/>
      <c r="DY40" s="179"/>
      <c r="DZ40" s="179"/>
      <c r="EA40" s="179"/>
      <c r="EB40" s="179"/>
      <c r="EC40" s="179"/>
      <c r="ED40" s="179"/>
      <c r="EE40" s="179"/>
      <c r="EF40" s="179"/>
      <c r="EG40" s="179"/>
    </row>
    <row r="41" spans="1:137" s="353" customFormat="1" ht="25.5">
      <c r="A41" s="235">
        <v>40</v>
      </c>
      <c r="B41" s="235" t="s">
        <v>2048</v>
      </c>
      <c r="C41" s="203" t="s">
        <v>1877</v>
      </c>
      <c r="D41" s="203" t="s">
        <v>4066</v>
      </c>
      <c r="E41" s="236" t="s">
        <v>3825</v>
      </c>
      <c r="F41" s="203" t="s">
        <v>3880</v>
      </c>
      <c r="G41" s="203" t="s">
        <v>3996</v>
      </c>
      <c r="H41" s="506" t="s">
        <v>1948</v>
      </c>
      <c r="I41" s="202"/>
      <c r="J41" s="204">
        <v>43144</v>
      </c>
      <c r="K41" s="235">
        <f t="shared" si="0"/>
        <v>2018</v>
      </c>
      <c r="L41" s="235">
        <f t="shared" si="1"/>
        <v>2</v>
      </c>
      <c r="M41" s="204"/>
      <c r="N41" s="336"/>
      <c r="O41" s="488"/>
      <c r="P41" s="179"/>
      <c r="Q41" s="179"/>
      <c r="R41" s="179"/>
      <c r="S41" s="179"/>
      <c r="T41" s="179"/>
      <c r="U41" s="179"/>
      <c r="V41" s="179"/>
      <c r="W41" s="179"/>
      <c r="X41" s="179"/>
      <c r="Y41" s="179"/>
      <c r="Z41" s="179"/>
      <c r="AA41" s="179"/>
      <c r="AB41" s="179"/>
      <c r="AC41" s="179"/>
      <c r="AD41" s="179"/>
      <c r="AE41" s="179"/>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9"/>
      <c r="BN41" s="179"/>
      <c r="BO41" s="179"/>
      <c r="BP41" s="179"/>
      <c r="BQ41" s="179"/>
      <c r="BR41" s="179"/>
      <c r="BS41" s="179"/>
      <c r="BT41" s="179"/>
      <c r="BU41" s="179"/>
      <c r="BV41" s="179"/>
      <c r="BW41" s="179"/>
      <c r="BX41" s="179"/>
      <c r="BY41" s="179"/>
      <c r="BZ41" s="179"/>
      <c r="CA41" s="179"/>
      <c r="CB41" s="179"/>
      <c r="CC41" s="179"/>
      <c r="CD41" s="179"/>
      <c r="CE41" s="179"/>
      <c r="CF41" s="179"/>
      <c r="CG41" s="179"/>
      <c r="CH41" s="179"/>
      <c r="CI41" s="179"/>
      <c r="CJ41" s="179"/>
      <c r="CK41" s="179"/>
      <c r="CL41" s="179"/>
      <c r="CM41" s="179"/>
      <c r="CN41" s="179"/>
      <c r="CO41" s="179"/>
      <c r="CP41" s="179"/>
      <c r="CQ41" s="179"/>
      <c r="CR41" s="179"/>
      <c r="CS41" s="179"/>
      <c r="CT41" s="179"/>
      <c r="CU41" s="179"/>
      <c r="CV41" s="179"/>
      <c r="CW41" s="179"/>
      <c r="CX41" s="179"/>
      <c r="CY41" s="179"/>
      <c r="CZ41" s="179"/>
      <c r="DA41" s="179"/>
      <c r="DB41" s="179"/>
      <c r="DC41" s="179"/>
      <c r="DD41" s="179"/>
      <c r="DE41" s="179"/>
      <c r="DF41" s="179"/>
      <c r="DG41" s="179"/>
      <c r="DH41" s="179"/>
      <c r="DI41" s="179"/>
      <c r="DJ41" s="179"/>
      <c r="DK41" s="179"/>
      <c r="DL41" s="179"/>
      <c r="DM41" s="179"/>
      <c r="DN41" s="179"/>
      <c r="DO41" s="179"/>
      <c r="DP41" s="179"/>
      <c r="DQ41" s="179"/>
      <c r="DR41" s="179"/>
      <c r="DS41" s="179"/>
      <c r="DT41" s="179"/>
      <c r="DU41" s="179"/>
      <c r="DV41" s="179"/>
      <c r="DW41" s="179"/>
      <c r="DX41" s="179"/>
      <c r="DY41" s="179"/>
      <c r="DZ41" s="179"/>
      <c r="EA41" s="179"/>
      <c r="EB41" s="179"/>
      <c r="EC41" s="179"/>
      <c r="ED41" s="179"/>
      <c r="EE41" s="179"/>
      <c r="EF41" s="179"/>
      <c r="EG41" s="179"/>
    </row>
    <row r="42" spans="1:137" s="353" customFormat="1" ht="25.5">
      <c r="A42" s="235">
        <v>41</v>
      </c>
      <c r="B42" s="235" t="s">
        <v>2048</v>
      </c>
      <c r="C42" s="203" t="s">
        <v>1879</v>
      </c>
      <c r="D42" s="203" t="s">
        <v>4066</v>
      </c>
      <c r="E42" s="236" t="s">
        <v>3825</v>
      </c>
      <c r="F42" s="203" t="s">
        <v>3881</v>
      </c>
      <c r="G42" s="203" t="s">
        <v>3997</v>
      </c>
      <c r="H42" s="240" t="s">
        <v>2030</v>
      </c>
      <c r="I42" s="202"/>
      <c r="J42" s="204">
        <v>43144</v>
      </c>
      <c r="K42" s="235">
        <f t="shared" si="0"/>
        <v>2018</v>
      </c>
      <c r="L42" s="235">
        <f t="shared" si="1"/>
        <v>2</v>
      </c>
      <c r="M42" s="204">
        <v>43225</v>
      </c>
      <c r="N42" s="460" t="s">
        <v>4058</v>
      </c>
      <c r="O42" s="488">
        <v>60</v>
      </c>
      <c r="P42" s="179"/>
      <c r="Q42" s="179"/>
      <c r="R42" s="179"/>
      <c r="S42" s="179"/>
      <c r="T42" s="179"/>
      <c r="U42" s="179"/>
      <c r="V42" s="179"/>
      <c r="W42" s="179"/>
      <c r="X42" s="179"/>
      <c r="Y42" s="179"/>
      <c r="Z42" s="179"/>
      <c r="AA42" s="179"/>
      <c r="AB42" s="179"/>
      <c r="AC42" s="179"/>
      <c r="AD42" s="179"/>
      <c r="AE42" s="179"/>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9"/>
      <c r="BN42" s="179"/>
      <c r="BO42" s="179"/>
      <c r="BP42" s="179"/>
      <c r="BQ42" s="179"/>
      <c r="BR42" s="179"/>
      <c r="BS42" s="179"/>
      <c r="BT42" s="179"/>
      <c r="BU42" s="179"/>
      <c r="BV42" s="179"/>
      <c r="BW42" s="179"/>
      <c r="BX42" s="179"/>
      <c r="BY42" s="179"/>
      <c r="BZ42" s="179"/>
      <c r="CA42" s="179"/>
      <c r="CB42" s="179"/>
      <c r="CC42" s="179"/>
      <c r="CD42" s="179"/>
      <c r="CE42" s="179"/>
      <c r="CF42" s="179"/>
      <c r="CG42" s="179"/>
      <c r="CH42" s="179"/>
      <c r="CI42" s="179"/>
      <c r="CJ42" s="179"/>
      <c r="CK42" s="179"/>
      <c r="CL42" s="179"/>
      <c r="CM42" s="179"/>
      <c r="CN42" s="179"/>
      <c r="CO42" s="179"/>
      <c r="CP42" s="179"/>
      <c r="CQ42" s="179"/>
      <c r="CR42" s="179"/>
      <c r="CS42" s="179"/>
      <c r="CT42" s="179"/>
      <c r="CU42" s="179"/>
      <c r="CV42" s="179"/>
      <c r="CW42" s="179"/>
      <c r="CX42" s="179"/>
      <c r="CY42" s="179"/>
      <c r="CZ42" s="179"/>
      <c r="DA42" s="179"/>
      <c r="DB42" s="179"/>
      <c r="DC42" s="179"/>
      <c r="DD42" s="179"/>
      <c r="DE42" s="179"/>
      <c r="DF42" s="179"/>
      <c r="DG42" s="179"/>
      <c r="DH42" s="179"/>
      <c r="DI42" s="179"/>
      <c r="DJ42" s="179"/>
      <c r="DK42" s="179"/>
      <c r="DL42" s="179"/>
      <c r="DM42" s="179"/>
      <c r="DN42" s="179"/>
      <c r="DO42" s="179"/>
      <c r="DP42" s="179"/>
      <c r="DQ42" s="179"/>
      <c r="DR42" s="179"/>
      <c r="DS42" s="179"/>
      <c r="DT42" s="179"/>
      <c r="DU42" s="179"/>
      <c r="DV42" s="179"/>
      <c r="DW42" s="179"/>
      <c r="DX42" s="179"/>
      <c r="DY42" s="179"/>
      <c r="DZ42" s="179"/>
      <c r="EA42" s="179"/>
      <c r="EB42" s="179"/>
      <c r="EC42" s="179"/>
      <c r="ED42" s="179"/>
      <c r="EE42" s="179"/>
      <c r="EF42" s="179"/>
      <c r="EG42" s="179"/>
    </row>
    <row r="43" spans="1:137" s="351" customFormat="1" ht="25.5">
      <c r="A43" s="178">
        <v>42</v>
      </c>
      <c r="B43" s="11" t="s">
        <v>2044</v>
      </c>
      <c r="C43" s="191" t="s">
        <v>1879</v>
      </c>
      <c r="D43" s="203" t="s">
        <v>4066</v>
      </c>
      <c r="E43" s="189" t="s">
        <v>3825</v>
      </c>
      <c r="F43" s="191" t="s">
        <v>3882</v>
      </c>
      <c r="G43" s="191" t="s">
        <v>3998</v>
      </c>
      <c r="H43" s="281">
        <v>43225</v>
      </c>
      <c r="I43" s="185"/>
      <c r="J43" s="195">
        <v>43144</v>
      </c>
      <c r="K43" s="178">
        <f t="shared" si="0"/>
        <v>2018</v>
      </c>
      <c r="L43" s="178">
        <f t="shared" si="1"/>
        <v>2</v>
      </c>
      <c r="M43" s="195">
        <v>43225</v>
      </c>
      <c r="N43" s="457"/>
      <c r="O43" s="343">
        <v>38</v>
      </c>
      <c r="P43" s="179"/>
      <c r="Q43" s="179"/>
      <c r="R43" s="179"/>
      <c r="S43" s="179"/>
      <c r="T43" s="179"/>
      <c r="U43" s="179"/>
      <c r="V43" s="179"/>
      <c r="W43" s="179"/>
      <c r="X43" s="179"/>
      <c r="Y43" s="179"/>
      <c r="Z43" s="179"/>
      <c r="AA43" s="179"/>
      <c r="AB43" s="179"/>
      <c r="AC43" s="179"/>
      <c r="AD43" s="179"/>
      <c r="AE43" s="179"/>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9"/>
      <c r="BN43" s="179"/>
      <c r="BO43" s="179"/>
      <c r="BP43" s="179"/>
      <c r="BQ43" s="179"/>
      <c r="BR43" s="179"/>
      <c r="BS43" s="179"/>
      <c r="BT43" s="179"/>
      <c r="BU43" s="179"/>
      <c r="BV43" s="179"/>
      <c r="BW43" s="179"/>
      <c r="BX43" s="179"/>
      <c r="BY43" s="179"/>
      <c r="BZ43" s="179"/>
      <c r="CA43" s="179"/>
      <c r="CB43" s="179"/>
      <c r="CC43" s="179"/>
      <c r="CD43" s="179"/>
      <c r="CE43" s="179"/>
      <c r="CF43" s="179"/>
      <c r="CG43" s="179"/>
      <c r="CH43" s="179"/>
      <c r="CI43" s="179"/>
      <c r="CJ43" s="179"/>
      <c r="CK43" s="179"/>
      <c r="CL43" s="179"/>
      <c r="CM43" s="179"/>
      <c r="CN43" s="179"/>
      <c r="CO43" s="179"/>
      <c r="CP43" s="179"/>
      <c r="CQ43" s="179"/>
      <c r="CR43" s="179"/>
      <c r="CS43" s="179"/>
      <c r="CT43" s="179"/>
      <c r="CU43" s="179"/>
      <c r="CV43" s="179"/>
      <c r="CW43" s="179"/>
      <c r="CX43" s="179"/>
      <c r="CY43" s="179"/>
      <c r="CZ43" s="179"/>
      <c r="DA43" s="179"/>
      <c r="DB43" s="179"/>
      <c r="DC43" s="179"/>
      <c r="DD43" s="179"/>
      <c r="DE43" s="179"/>
      <c r="DF43" s="179"/>
      <c r="DG43" s="179"/>
      <c r="DH43" s="179"/>
      <c r="DI43" s="179"/>
      <c r="DJ43" s="179"/>
      <c r="DK43" s="179"/>
      <c r="DL43" s="179"/>
      <c r="DM43" s="179"/>
      <c r="DN43" s="179"/>
      <c r="DO43" s="179"/>
      <c r="DP43" s="179"/>
      <c r="DQ43" s="179"/>
      <c r="DR43" s="179"/>
      <c r="DS43" s="179"/>
      <c r="DT43" s="179"/>
      <c r="DU43" s="179"/>
      <c r="DV43" s="179"/>
      <c r="DW43" s="179"/>
      <c r="DX43" s="179"/>
      <c r="DY43" s="179"/>
      <c r="DZ43" s="179"/>
      <c r="EA43" s="179"/>
      <c r="EB43" s="179"/>
      <c r="EC43" s="179"/>
      <c r="ED43" s="179"/>
      <c r="EE43" s="179"/>
      <c r="EF43" s="179"/>
      <c r="EG43" s="179"/>
    </row>
    <row r="44" spans="1:137" s="353" customFormat="1">
      <c r="A44" s="235">
        <v>43</v>
      </c>
      <c r="B44" s="235" t="s">
        <v>2048</v>
      </c>
      <c r="C44" s="203" t="s">
        <v>1879</v>
      </c>
      <c r="D44" s="191" t="s">
        <v>4064</v>
      </c>
      <c r="E44" s="236" t="s">
        <v>3826</v>
      </c>
      <c r="F44" s="203" t="s">
        <v>3882</v>
      </c>
      <c r="G44" s="203" t="s">
        <v>1880</v>
      </c>
      <c r="H44" s="506" t="s">
        <v>1948</v>
      </c>
      <c r="I44" s="202"/>
      <c r="J44" s="204">
        <v>43144</v>
      </c>
      <c r="K44" s="235">
        <f t="shared" si="0"/>
        <v>2018</v>
      </c>
      <c r="L44" s="235">
        <f t="shared" si="1"/>
        <v>2</v>
      </c>
      <c r="M44" s="204"/>
      <c r="N44" s="461"/>
      <c r="O44" s="488"/>
      <c r="P44" s="179"/>
      <c r="Q44" s="179"/>
      <c r="R44" s="179"/>
      <c r="S44" s="179"/>
      <c r="T44" s="179"/>
      <c r="U44" s="179"/>
      <c r="V44" s="179"/>
      <c r="W44" s="179"/>
      <c r="X44" s="179"/>
      <c r="Y44" s="179"/>
      <c r="Z44" s="179"/>
      <c r="AA44" s="179"/>
      <c r="AB44" s="179"/>
      <c r="AC44" s="179"/>
      <c r="AD44" s="179"/>
      <c r="AE44" s="179"/>
      <c r="AF44" s="179"/>
      <c r="AG44" s="179"/>
      <c r="AH44" s="179"/>
      <c r="AI44" s="179"/>
      <c r="AJ44" s="179"/>
      <c r="AK44" s="179"/>
      <c r="AL44" s="179"/>
      <c r="AM44" s="179"/>
      <c r="AN44" s="179"/>
      <c r="AO44" s="179"/>
      <c r="AP44" s="179"/>
      <c r="AQ44" s="179"/>
      <c r="AR44" s="179"/>
      <c r="AS44" s="179"/>
      <c r="AT44" s="179"/>
      <c r="AU44" s="179"/>
      <c r="AV44" s="179"/>
      <c r="AW44" s="179"/>
      <c r="AX44" s="179"/>
      <c r="AY44" s="179"/>
      <c r="AZ44" s="179"/>
      <c r="BA44" s="179"/>
      <c r="BB44" s="179"/>
      <c r="BC44" s="179"/>
      <c r="BD44" s="179"/>
      <c r="BE44" s="179"/>
      <c r="BF44" s="179"/>
      <c r="BG44" s="179"/>
      <c r="BH44" s="179"/>
      <c r="BI44" s="179"/>
      <c r="BJ44" s="179"/>
      <c r="BK44" s="179"/>
      <c r="BL44" s="179"/>
      <c r="BM44" s="179"/>
      <c r="BN44" s="179"/>
      <c r="BO44" s="179"/>
      <c r="BP44" s="179"/>
      <c r="BQ44" s="179"/>
      <c r="BR44" s="179"/>
      <c r="BS44" s="179"/>
      <c r="BT44" s="179"/>
      <c r="BU44" s="179"/>
      <c r="BV44" s="179"/>
      <c r="BW44" s="179"/>
      <c r="BX44" s="179"/>
      <c r="BY44" s="179"/>
      <c r="BZ44" s="179"/>
      <c r="CA44" s="179"/>
      <c r="CB44" s="179"/>
      <c r="CC44" s="179"/>
      <c r="CD44" s="179"/>
      <c r="CE44" s="179"/>
      <c r="CF44" s="179"/>
      <c r="CG44" s="179"/>
      <c r="CH44" s="179"/>
      <c r="CI44" s="179"/>
      <c r="CJ44" s="179"/>
      <c r="CK44" s="179"/>
      <c r="CL44" s="179"/>
      <c r="CM44" s="179"/>
      <c r="CN44" s="179"/>
      <c r="CO44" s="179"/>
      <c r="CP44" s="179"/>
      <c r="CQ44" s="179"/>
      <c r="CR44" s="179"/>
      <c r="CS44" s="179"/>
      <c r="CT44" s="179"/>
      <c r="CU44" s="179"/>
      <c r="CV44" s="179"/>
      <c r="CW44" s="179"/>
      <c r="CX44" s="179"/>
      <c r="CY44" s="179"/>
      <c r="CZ44" s="179"/>
      <c r="DA44" s="179"/>
      <c r="DB44" s="179"/>
      <c r="DC44" s="179"/>
      <c r="DD44" s="179"/>
      <c r="DE44" s="179"/>
      <c r="DF44" s="179"/>
      <c r="DG44" s="179"/>
      <c r="DH44" s="179"/>
      <c r="DI44" s="179"/>
      <c r="DJ44" s="179"/>
      <c r="DK44" s="179"/>
      <c r="DL44" s="179"/>
      <c r="DM44" s="179"/>
      <c r="DN44" s="179"/>
      <c r="DO44" s="179"/>
      <c r="DP44" s="179"/>
      <c r="DQ44" s="179"/>
      <c r="DR44" s="179"/>
      <c r="DS44" s="179"/>
      <c r="DT44" s="179"/>
      <c r="DU44" s="179"/>
      <c r="DV44" s="179"/>
      <c r="DW44" s="179"/>
      <c r="DX44" s="179"/>
      <c r="DY44" s="179"/>
      <c r="DZ44" s="179"/>
      <c r="EA44" s="179"/>
      <c r="EB44" s="179"/>
      <c r="EC44" s="179"/>
      <c r="ED44" s="179"/>
      <c r="EE44" s="179"/>
      <c r="EF44" s="179"/>
      <c r="EG44" s="179"/>
    </row>
    <row r="45" spans="1:137" s="351" customFormat="1" ht="25.5">
      <c r="A45" s="178">
        <v>44</v>
      </c>
      <c r="B45" s="11" t="s">
        <v>2044</v>
      </c>
      <c r="C45" s="191" t="s">
        <v>1879</v>
      </c>
      <c r="D45" s="203" t="s">
        <v>4066</v>
      </c>
      <c r="E45" s="189" t="s">
        <v>3825</v>
      </c>
      <c r="F45" s="191" t="s">
        <v>3882</v>
      </c>
      <c r="G45" s="191" t="s">
        <v>1881</v>
      </c>
      <c r="H45" s="281">
        <v>43225</v>
      </c>
      <c r="I45" s="185"/>
      <c r="J45" s="195">
        <v>43144</v>
      </c>
      <c r="K45" s="178">
        <f t="shared" si="0"/>
        <v>2018</v>
      </c>
      <c r="L45" s="178">
        <f t="shared" si="1"/>
        <v>2</v>
      </c>
      <c r="M45" s="195">
        <v>43225</v>
      </c>
      <c r="N45" s="457"/>
      <c r="O45" s="343">
        <v>37</v>
      </c>
      <c r="P45" s="179"/>
      <c r="Q45" s="179"/>
      <c r="R45" s="179"/>
      <c r="S45" s="179"/>
      <c r="T45" s="179"/>
      <c r="U45" s="179"/>
      <c r="V45" s="179"/>
      <c r="W45" s="179"/>
      <c r="X45" s="179"/>
      <c r="Y45" s="179"/>
      <c r="Z45" s="179"/>
      <c r="AA45" s="179"/>
      <c r="AB45" s="179"/>
      <c r="AC45" s="179"/>
      <c r="AD45" s="179"/>
      <c r="AE45" s="179"/>
      <c r="AF45" s="179"/>
      <c r="AG45" s="179"/>
      <c r="AH45" s="179"/>
      <c r="AI45" s="179"/>
      <c r="AJ45" s="179"/>
      <c r="AK45" s="179"/>
      <c r="AL45" s="179"/>
      <c r="AM45" s="179"/>
      <c r="AN45" s="179"/>
      <c r="AO45" s="179"/>
      <c r="AP45" s="179"/>
      <c r="AQ45" s="179"/>
      <c r="AR45" s="179"/>
      <c r="AS45" s="179"/>
      <c r="AT45" s="179"/>
      <c r="AU45" s="179"/>
      <c r="AV45" s="179"/>
      <c r="AW45" s="179"/>
      <c r="AX45" s="179"/>
      <c r="AY45" s="179"/>
      <c r="AZ45" s="179"/>
      <c r="BA45" s="179"/>
      <c r="BB45" s="179"/>
      <c r="BC45" s="179"/>
      <c r="BD45" s="179"/>
      <c r="BE45" s="179"/>
      <c r="BF45" s="179"/>
      <c r="BG45" s="179"/>
      <c r="BH45" s="179"/>
      <c r="BI45" s="179"/>
      <c r="BJ45" s="179"/>
      <c r="BK45" s="179"/>
      <c r="BL45" s="179"/>
      <c r="BM45" s="179"/>
      <c r="BN45" s="179"/>
      <c r="BO45" s="179"/>
      <c r="BP45" s="179"/>
      <c r="BQ45" s="179"/>
      <c r="BR45" s="179"/>
      <c r="BS45" s="179"/>
      <c r="BT45" s="179"/>
      <c r="BU45" s="179"/>
      <c r="BV45" s="179"/>
      <c r="BW45" s="179"/>
      <c r="BX45" s="179"/>
      <c r="BY45" s="179"/>
      <c r="BZ45" s="179"/>
      <c r="CA45" s="179"/>
      <c r="CB45" s="179"/>
      <c r="CC45" s="179"/>
      <c r="CD45" s="179"/>
      <c r="CE45" s="179"/>
      <c r="CF45" s="179"/>
      <c r="CG45" s="179"/>
      <c r="CH45" s="179"/>
      <c r="CI45" s="179"/>
      <c r="CJ45" s="179"/>
      <c r="CK45" s="179"/>
      <c r="CL45" s="179"/>
      <c r="CM45" s="179"/>
      <c r="CN45" s="179"/>
      <c r="CO45" s="179"/>
      <c r="CP45" s="179"/>
      <c r="CQ45" s="179"/>
      <c r="CR45" s="179"/>
      <c r="CS45" s="179"/>
      <c r="CT45" s="179"/>
      <c r="CU45" s="179"/>
      <c r="CV45" s="179"/>
      <c r="CW45" s="179"/>
      <c r="CX45" s="179"/>
      <c r="CY45" s="179"/>
      <c r="CZ45" s="179"/>
      <c r="DA45" s="179"/>
      <c r="DB45" s="179"/>
      <c r="DC45" s="179"/>
      <c r="DD45" s="179"/>
      <c r="DE45" s="179"/>
      <c r="DF45" s="179"/>
      <c r="DG45" s="179"/>
      <c r="DH45" s="179"/>
      <c r="DI45" s="179"/>
      <c r="DJ45" s="179"/>
      <c r="DK45" s="179"/>
      <c r="DL45" s="179"/>
      <c r="DM45" s="179"/>
      <c r="DN45" s="179"/>
      <c r="DO45" s="179"/>
      <c r="DP45" s="179"/>
      <c r="DQ45" s="179"/>
      <c r="DR45" s="179"/>
      <c r="DS45" s="179"/>
      <c r="DT45" s="179"/>
      <c r="DU45" s="179"/>
      <c r="DV45" s="179"/>
      <c r="DW45" s="179"/>
      <c r="DX45" s="179"/>
      <c r="DY45" s="179"/>
      <c r="DZ45" s="179"/>
      <c r="EA45" s="179"/>
      <c r="EB45" s="179"/>
      <c r="EC45" s="179"/>
      <c r="ED45" s="179"/>
      <c r="EE45" s="179"/>
      <c r="EF45" s="179"/>
      <c r="EG45" s="179"/>
    </row>
    <row r="46" spans="1:137" s="351" customFormat="1" ht="25.5">
      <c r="A46" s="178">
        <v>45</v>
      </c>
      <c r="B46" s="11" t="s">
        <v>2044</v>
      </c>
      <c r="C46" s="191" t="s">
        <v>1879</v>
      </c>
      <c r="D46" s="203" t="s">
        <v>4066</v>
      </c>
      <c r="E46" s="189" t="s">
        <v>3825</v>
      </c>
      <c r="F46" s="191" t="s">
        <v>3882</v>
      </c>
      <c r="G46" s="191" t="s">
        <v>1882</v>
      </c>
      <c r="H46" s="281">
        <v>43225</v>
      </c>
      <c r="I46" s="185"/>
      <c r="J46" s="195">
        <v>43144</v>
      </c>
      <c r="K46" s="178">
        <f t="shared" si="0"/>
        <v>2018</v>
      </c>
      <c r="L46" s="178">
        <f t="shared" si="1"/>
        <v>2</v>
      </c>
      <c r="M46" s="195">
        <v>43225</v>
      </c>
      <c r="N46" s="458"/>
      <c r="O46" s="343">
        <v>35</v>
      </c>
      <c r="P46" s="179"/>
      <c r="Q46" s="179"/>
      <c r="R46" s="179"/>
      <c r="S46" s="179"/>
      <c r="T46" s="179"/>
      <c r="U46" s="179"/>
      <c r="V46" s="179"/>
      <c r="W46" s="179"/>
      <c r="X46" s="179"/>
      <c r="Y46" s="179"/>
      <c r="Z46" s="179"/>
      <c r="AA46" s="179"/>
      <c r="AB46" s="179"/>
      <c r="AC46" s="179"/>
      <c r="AD46" s="179"/>
      <c r="AE46" s="179"/>
      <c r="AF46" s="179"/>
      <c r="AG46" s="179"/>
      <c r="AH46" s="179"/>
      <c r="AI46" s="179"/>
      <c r="AJ46" s="179"/>
      <c r="AK46" s="179"/>
      <c r="AL46" s="179"/>
      <c r="AM46" s="179"/>
      <c r="AN46" s="179"/>
      <c r="AO46" s="179"/>
      <c r="AP46" s="179"/>
      <c r="AQ46" s="179"/>
      <c r="AR46" s="179"/>
      <c r="AS46" s="179"/>
      <c r="AT46" s="179"/>
      <c r="AU46" s="179"/>
      <c r="AV46" s="179"/>
      <c r="AW46" s="179"/>
      <c r="AX46" s="179"/>
      <c r="AY46" s="179"/>
      <c r="AZ46" s="179"/>
      <c r="BA46" s="179"/>
      <c r="BB46" s="179"/>
      <c r="BC46" s="179"/>
      <c r="BD46" s="179"/>
      <c r="BE46" s="179"/>
      <c r="BF46" s="179"/>
      <c r="BG46" s="179"/>
      <c r="BH46" s="179"/>
      <c r="BI46" s="179"/>
      <c r="BJ46" s="179"/>
      <c r="BK46" s="179"/>
      <c r="BL46" s="179"/>
      <c r="BM46" s="179"/>
      <c r="BN46" s="179"/>
      <c r="BO46" s="179"/>
      <c r="BP46" s="179"/>
      <c r="BQ46" s="179"/>
      <c r="BR46" s="179"/>
      <c r="BS46" s="179"/>
      <c r="BT46" s="179"/>
      <c r="BU46" s="179"/>
      <c r="BV46" s="179"/>
      <c r="BW46" s="179"/>
      <c r="BX46" s="179"/>
      <c r="BY46" s="179"/>
      <c r="BZ46" s="179"/>
      <c r="CA46" s="179"/>
      <c r="CB46" s="179"/>
      <c r="CC46" s="179"/>
      <c r="CD46" s="179"/>
      <c r="CE46" s="179"/>
      <c r="CF46" s="179"/>
      <c r="CG46" s="179"/>
      <c r="CH46" s="179"/>
      <c r="CI46" s="179"/>
      <c r="CJ46" s="179"/>
      <c r="CK46" s="179"/>
      <c r="CL46" s="179"/>
      <c r="CM46" s="179"/>
      <c r="CN46" s="179"/>
      <c r="CO46" s="179"/>
      <c r="CP46" s="179"/>
      <c r="CQ46" s="179"/>
      <c r="CR46" s="179"/>
      <c r="CS46" s="179"/>
      <c r="CT46" s="179"/>
      <c r="CU46" s="179"/>
      <c r="CV46" s="179"/>
      <c r="CW46" s="179"/>
      <c r="CX46" s="179"/>
      <c r="CY46" s="179"/>
      <c r="CZ46" s="179"/>
      <c r="DA46" s="179"/>
      <c r="DB46" s="179"/>
      <c r="DC46" s="179"/>
      <c r="DD46" s="179"/>
      <c r="DE46" s="179"/>
      <c r="DF46" s="179"/>
      <c r="DG46" s="179"/>
      <c r="DH46" s="179"/>
      <c r="DI46" s="179"/>
      <c r="DJ46" s="179"/>
      <c r="DK46" s="179"/>
      <c r="DL46" s="179"/>
      <c r="DM46" s="179"/>
      <c r="DN46" s="179"/>
      <c r="DO46" s="179"/>
      <c r="DP46" s="179"/>
      <c r="DQ46" s="179"/>
      <c r="DR46" s="179"/>
      <c r="DS46" s="179"/>
      <c r="DT46" s="179"/>
      <c r="DU46" s="179"/>
      <c r="DV46" s="179"/>
      <c r="DW46" s="179"/>
      <c r="DX46" s="179"/>
      <c r="DY46" s="179"/>
      <c r="DZ46" s="179"/>
      <c r="EA46" s="179"/>
      <c r="EB46" s="179"/>
      <c r="EC46" s="179"/>
      <c r="ED46" s="179"/>
      <c r="EE46" s="179"/>
      <c r="EF46" s="179"/>
      <c r="EG46" s="179"/>
    </row>
    <row r="47" spans="1:137" s="351" customFormat="1" ht="25.5">
      <c r="A47" s="178">
        <v>46</v>
      </c>
      <c r="B47" s="11" t="s">
        <v>2044</v>
      </c>
      <c r="C47" s="191" t="s">
        <v>1872</v>
      </c>
      <c r="D47" s="385" t="s">
        <v>4064</v>
      </c>
      <c r="E47" s="13" t="s">
        <v>1621</v>
      </c>
      <c r="F47" s="191" t="s">
        <v>3883</v>
      </c>
      <c r="G47" s="191" t="s">
        <v>3999</v>
      </c>
      <c r="H47" s="281">
        <v>43179</v>
      </c>
      <c r="I47" s="202" t="s">
        <v>5</v>
      </c>
      <c r="J47" s="195">
        <v>43145</v>
      </c>
      <c r="K47" s="178">
        <f t="shared" si="0"/>
        <v>2018</v>
      </c>
      <c r="L47" s="178">
        <f t="shared" si="1"/>
        <v>2</v>
      </c>
      <c r="M47" s="195">
        <v>43179</v>
      </c>
      <c r="N47" s="456" t="s">
        <v>4058</v>
      </c>
      <c r="O47" s="343">
        <v>40</v>
      </c>
      <c r="P47" s="179"/>
      <c r="Q47" s="179"/>
      <c r="R47" s="179"/>
      <c r="S47" s="179"/>
      <c r="T47" s="179"/>
      <c r="U47" s="179"/>
      <c r="V47" s="179"/>
      <c r="W47" s="179"/>
      <c r="X47" s="179"/>
      <c r="Y47" s="179"/>
      <c r="Z47" s="179"/>
      <c r="AA47" s="179"/>
      <c r="AB47" s="179"/>
      <c r="AC47" s="179"/>
      <c r="AD47" s="179"/>
      <c r="AE47" s="179"/>
      <c r="AF47" s="179"/>
      <c r="AG47" s="179"/>
      <c r="AH47" s="179"/>
      <c r="AI47" s="179"/>
      <c r="AJ47" s="179"/>
      <c r="AK47" s="179"/>
      <c r="AL47" s="179"/>
      <c r="AM47" s="179"/>
      <c r="AN47" s="179"/>
      <c r="AO47" s="179"/>
      <c r="AP47" s="179"/>
      <c r="AQ47" s="179"/>
      <c r="AR47" s="179"/>
      <c r="AS47" s="179"/>
      <c r="AT47" s="179"/>
      <c r="AU47" s="179"/>
      <c r="AV47" s="179"/>
      <c r="AW47" s="179"/>
      <c r="AX47" s="179"/>
      <c r="AY47" s="179"/>
      <c r="AZ47" s="179"/>
      <c r="BA47" s="179"/>
      <c r="BB47" s="179"/>
      <c r="BC47" s="179"/>
      <c r="BD47" s="179"/>
      <c r="BE47" s="179"/>
      <c r="BF47" s="179"/>
      <c r="BG47" s="179"/>
      <c r="BH47" s="179"/>
      <c r="BI47" s="179"/>
      <c r="BJ47" s="179"/>
      <c r="BK47" s="179"/>
      <c r="BL47" s="179"/>
      <c r="BM47" s="179"/>
      <c r="BN47" s="179"/>
      <c r="BO47" s="179"/>
      <c r="BP47" s="179"/>
      <c r="BQ47" s="179"/>
      <c r="BR47" s="179"/>
      <c r="BS47" s="179"/>
      <c r="BT47" s="179"/>
      <c r="BU47" s="179"/>
      <c r="BV47" s="179"/>
      <c r="BW47" s="179"/>
      <c r="BX47" s="179"/>
      <c r="BY47" s="179"/>
      <c r="BZ47" s="179"/>
      <c r="CA47" s="179"/>
      <c r="CB47" s="179"/>
      <c r="CC47" s="179"/>
      <c r="CD47" s="179"/>
      <c r="CE47" s="179"/>
      <c r="CF47" s="179"/>
      <c r="CG47" s="179"/>
      <c r="CH47" s="179"/>
      <c r="CI47" s="179"/>
      <c r="CJ47" s="179"/>
      <c r="CK47" s="179"/>
      <c r="CL47" s="179"/>
      <c r="CM47" s="179"/>
      <c r="CN47" s="179"/>
      <c r="CO47" s="179"/>
      <c r="CP47" s="179"/>
      <c r="CQ47" s="179"/>
      <c r="CR47" s="179"/>
      <c r="CS47" s="179"/>
      <c r="CT47" s="179"/>
      <c r="CU47" s="179"/>
      <c r="CV47" s="179"/>
      <c r="CW47" s="179"/>
      <c r="CX47" s="179"/>
      <c r="CY47" s="179"/>
      <c r="CZ47" s="179"/>
      <c r="DA47" s="179"/>
      <c r="DB47" s="179"/>
      <c r="DC47" s="179"/>
      <c r="DD47" s="179"/>
      <c r="DE47" s="179"/>
      <c r="DF47" s="179"/>
      <c r="DG47" s="179"/>
      <c r="DH47" s="179"/>
      <c r="DI47" s="179"/>
      <c r="DJ47" s="179"/>
      <c r="DK47" s="179"/>
      <c r="DL47" s="179"/>
      <c r="DM47" s="179"/>
      <c r="DN47" s="179"/>
      <c r="DO47" s="179"/>
      <c r="DP47" s="179"/>
      <c r="DQ47" s="179"/>
      <c r="DR47" s="179"/>
      <c r="DS47" s="179"/>
      <c r="DT47" s="179"/>
      <c r="DU47" s="179"/>
      <c r="DV47" s="179"/>
      <c r="DW47" s="179"/>
      <c r="DX47" s="179"/>
      <c r="DY47" s="179"/>
      <c r="DZ47" s="179"/>
      <c r="EA47" s="179"/>
      <c r="EB47" s="179"/>
      <c r="EC47" s="179"/>
      <c r="ED47" s="179"/>
      <c r="EE47" s="179"/>
      <c r="EF47" s="179"/>
      <c r="EG47" s="179"/>
    </row>
    <row r="48" spans="1:137" s="351" customFormat="1" ht="25.5">
      <c r="A48" s="178">
        <v>47</v>
      </c>
      <c r="B48" s="11" t="s">
        <v>2044</v>
      </c>
      <c r="C48" s="191" t="s">
        <v>1872</v>
      </c>
      <c r="D48" s="191" t="s">
        <v>4064</v>
      </c>
      <c r="E48" s="189" t="s">
        <v>3827</v>
      </c>
      <c r="F48" s="191" t="s">
        <v>3883</v>
      </c>
      <c r="G48" s="191" t="s">
        <v>3827</v>
      </c>
      <c r="H48" s="281">
        <v>43179</v>
      </c>
      <c r="I48" s="185"/>
      <c r="J48" s="195">
        <v>43161</v>
      </c>
      <c r="K48" s="178">
        <f t="shared" si="0"/>
        <v>2018</v>
      </c>
      <c r="L48" s="178">
        <f t="shared" si="1"/>
        <v>3</v>
      </c>
      <c r="M48" s="195">
        <v>43179</v>
      </c>
      <c r="N48" s="458"/>
      <c r="O48" s="343">
        <v>40</v>
      </c>
      <c r="P48" s="179"/>
      <c r="Q48" s="179"/>
      <c r="R48" s="179"/>
      <c r="S48" s="179"/>
      <c r="T48" s="179"/>
      <c r="U48" s="179"/>
      <c r="V48" s="179"/>
      <c r="W48" s="179"/>
      <c r="X48" s="179"/>
      <c r="Y48" s="179"/>
      <c r="Z48" s="179"/>
      <c r="AA48" s="179"/>
      <c r="AB48" s="179"/>
      <c r="AC48" s="179"/>
      <c r="AD48" s="179"/>
      <c r="AE48" s="179"/>
      <c r="AF48" s="179"/>
      <c r="AG48" s="179"/>
      <c r="AH48" s="179"/>
      <c r="AI48" s="179"/>
      <c r="AJ48" s="179"/>
      <c r="AK48" s="179"/>
      <c r="AL48" s="179"/>
      <c r="AM48" s="179"/>
      <c r="AN48" s="179"/>
      <c r="AO48" s="179"/>
      <c r="AP48" s="179"/>
      <c r="AQ48" s="179"/>
      <c r="AR48" s="179"/>
      <c r="AS48" s="179"/>
      <c r="AT48" s="179"/>
      <c r="AU48" s="179"/>
      <c r="AV48" s="179"/>
      <c r="AW48" s="179"/>
      <c r="AX48" s="179"/>
      <c r="AY48" s="179"/>
      <c r="AZ48" s="179"/>
      <c r="BA48" s="179"/>
      <c r="BB48" s="179"/>
      <c r="BC48" s="179"/>
      <c r="BD48" s="179"/>
      <c r="BE48" s="179"/>
      <c r="BF48" s="179"/>
      <c r="BG48" s="179"/>
      <c r="BH48" s="179"/>
      <c r="BI48" s="179"/>
      <c r="BJ48" s="179"/>
      <c r="BK48" s="179"/>
      <c r="BL48" s="179"/>
      <c r="BM48" s="179"/>
      <c r="BN48" s="179"/>
      <c r="BO48" s="179"/>
      <c r="BP48" s="179"/>
      <c r="BQ48" s="179"/>
      <c r="BR48" s="179"/>
      <c r="BS48" s="179"/>
      <c r="BT48" s="179"/>
      <c r="BU48" s="179"/>
      <c r="BV48" s="179"/>
      <c r="BW48" s="179"/>
      <c r="BX48" s="179"/>
      <c r="BY48" s="179"/>
      <c r="BZ48" s="179"/>
      <c r="CA48" s="179"/>
      <c r="CB48" s="179"/>
      <c r="CC48" s="179"/>
      <c r="CD48" s="179"/>
      <c r="CE48" s="179"/>
      <c r="CF48" s="179"/>
      <c r="CG48" s="179"/>
      <c r="CH48" s="179"/>
      <c r="CI48" s="179"/>
      <c r="CJ48" s="179"/>
      <c r="CK48" s="179"/>
      <c r="CL48" s="179"/>
      <c r="CM48" s="179"/>
      <c r="CN48" s="179"/>
      <c r="CO48" s="179"/>
      <c r="CP48" s="179"/>
      <c r="CQ48" s="179"/>
      <c r="CR48" s="179"/>
      <c r="CS48" s="179"/>
      <c r="CT48" s="179"/>
      <c r="CU48" s="179"/>
      <c r="CV48" s="179"/>
      <c r="CW48" s="179"/>
      <c r="CX48" s="179"/>
      <c r="CY48" s="179"/>
      <c r="CZ48" s="179"/>
      <c r="DA48" s="179"/>
      <c r="DB48" s="179"/>
      <c r="DC48" s="179"/>
      <c r="DD48" s="179"/>
      <c r="DE48" s="179"/>
      <c r="DF48" s="179"/>
      <c r="DG48" s="179"/>
      <c r="DH48" s="179"/>
      <c r="DI48" s="179"/>
      <c r="DJ48" s="179"/>
      <c r="DK48" s="179"/>
      <c r="DL48" s="179"/>
      <c r="DM48" s="179"/>
      <c r="DN48" s="179"/>
      <c r="DO48" s="179"/>
      <c r="DP48" s="179"/>
      <c r="DQ48" s="179"/>
      <c r="DR48" s="179"/>
      <c r="DS48" s="179"/>
      <c r="DT48" s="179"/>
      <c r="DU48" s="179"/>
      <c r="DV48" s="179"/>
      <c r="DW48" s="179"/>
      <c r="DX48" s="179"/>
      <c r="DY48" s="179"/>
      <c r="DZ48" s="179"/>
      <c r="EA48" s="179"/>
      <c r="EB48" s="179"/>
      <c r="EC48" s="179"/>
      <c r="ED48" s="179"/>
      <c r="EE48" s="179"/>
      <c r="EF48" s="179"/>
      <c r="EG48" s="179"/>
    </row>
    <row r="49" spans="1:137" s="352" customFormat="1" ht="38.25">
      <c r="A49" s="487">
        <v>48</v>
      </c>
      <c r="B49" s="487" t="s">
        <v>2046</v>
      </c>
      <c r="C49" s="489" t="s">
        <v>1874</v>
      </c>
      <c r="D49" s="489" t="s">
        <v>4068</v>
      </c>
      <c r="E49" s="489" t="s">
        <v>3828</v>
      </c>
      <c r="F49" s="489" t="s">
        <v>3884</v>
      </c>
      <c r="G49" s="489" t="s">
        <v>3828</v>
      </c>
      <c r="H49" s="490" t="s">
        <v>2025</v>
      </c>
      <c r="I49" s="487"/>
      <c r="J49" s="491">
        <v>43148</v>
      </c>
      <c r="K49" s="487">
        <f t="shared" si="0"/>
        <v>2018</v>
      </c>
      <c r="L49" s="487">
        <f t="shared" si="1"/>
        <v>2</v>
      </c>
      <c r="M49" s="491">
        <v>43189</v>
      </c>
      <c r="N49" s="492"/>
      <c r="O49" s="493"/>
      <c r="P49" s="179"/>
      <c r="Q49" s="179"/>
      <c r="R49" s="179"/>
      <c r="S49" s="179"/>
      <c r="T49" s="179"/>
      <c r="U49" s="179"/>
      <c r="V49" s="179"/>
      <c r="W49" s="179"/>
      <c r="X49" s="179"/>
      <c r="Y49" s="179"/>
      <c r="Z49" s="179"/>
      <c r="AA49" s="179"/>
      <c r="AB49" s="179"/>
      <c r="AC49" s="179"/>
      <c r="AD49" s="179"/>
      <c r="AE49" s="179"/>
      <c r="AF49" s="179"/>
      <c r="AG49" s="179"/>
      <c r="AH49" s="179"/>
      <c r="AI49" s="179"/>
      <c r="AJ49" s="179"/>
      <c r="AK49" s="179"/>
      <c r="AL49" s="179"/>
      <c r="AM49" s="179"/>
      <c r="AN49" s="179"/>
      <c r="AO49" s="179"/>
      <c r="AP49" s="179"/>
      <c r="AQ49" s="179"/>
      <c r="AR49" s="179"/>
      <c r="AS49" s="179"/>
      <c r="AT49" s="179"/>
      <c r="AU49" s="179"/>
      <c r="AV49" s="179"/>
      <c r="AW49" s="179"/>
      <c r="AX49" s="179"/>
      <c r="AY49" s="179"/>
      <c r="AZ49" s="179"/>
      <c r="BA49" s="179"/>
      <c r="BB49" s="179"/>
      <c r="BC49" s="179"/>
      <c r="BD49" s="179"/>
      <c r="BE49" s="179"/>
      <c r="BF49" s="179"/>
      <c r="BG49" s="179"/>
      <c r="BH49" s="179"/>
      <c r="BI49" s="179"/>
      <c r="BJ49" s="179"/>
      <c r="BK49" s="179"/>
      <c r="BL49" s="179"/>
      <c r="BM49" s="179"/>
      <c r="BN49" s="179"/>
      <c r="BO49" s="179"/>
      <c r="BP49" s="179"/>
      <c r="BQ49" s="179"/>
      <c r="BR49" s="179"/>
      <c r="BS49" s="179"/>
      <c r="BT49" s="179"/>
      <c r="BU49" s="179"/>
      <c r="BV49" s="179"/>
      <c r="BW49" s="179"/>
      <c r="BX49" s="179"/>
      <c r="BY49" s="179"/>
      <c r="BZ49" s="179"/>
      <c r="CA49" s="179"/>
      <c r="CB49" s="179"/>
      <c r="CC49" s="179"/>
      <c r="CD49" s="179"/>
      <c r="CE49" s="179"/>
      <c r="CF49" s="179"/>
      <c r="CG49" s="179"/>
      <c r="CH49" s="179"/>
      <c r="CI49" s="179"/>
      <c r="CJ49" s="179"/>
      <c r="CK49" s="179"/>
      <c r="CL49" s="179"/>
      <c r="CM49" s="179"/>
      <c r="CN49" s="179"/>
      <c r="CO49" s="179"/>
      <c r="CP49" s="179"/>
      <c r="CQ49" s="179"/>
      <c r="CR49" s="179"/>
      <c r="CS49" s="179"/>
      <c r="CT49" s="179"/>
      <c r="CU49" s="179"/>
      <c r="CV49" s="179"/>
      <c r="CW49" s="179"/>
      <c r="CX49" s="179"/>
      <c r="CY49" s="179"/>
      <c r="CZ49" s="179"/>
      <c r="DA49" s="179"/>
      <c r="DB49" s="179"/>
      <c r="DC49" s="179"/>
      <c r="DD49" s="179"/>
      <c r="DE49" s="179"/>
      <c r="DF49" s="179"/>
      <c r="DG49" s="179"/>
      <c r="DH49" s="179"/>
      <c r="DI49" s="179"/>
      <c r="DJ49" s="179"/>
      <c r="DK49" s="179"/>
      <c r="DL49" s="179"/>
      <c r="DM49" s="179"/>
      <c r="DN49" s="179"/>
      <c r="DO49" s="179"/>
      <c r="DP49" s="179"/>
      <c r="DQ49" s="179"/>
      <c r="DR49" s="179"/>
      <c r="DS49" s="179"/>
      <c r="DT49" s="179"/>
      <c r="DU49" s="179"/>
      <c r="DV49" s="179"/>
      <c r="DW49" s="179"/>
      <c r="DX49" s="179"/>
      <c r="DY49" s="179"/>
      <c r="DZ49" s="179"/>
      <c r="EA49" s="179"/>
      <c r="EB49" s="179"/>
      <c r="EC49" s="179"/>
      <c r="ED49" s="179"/>
      <c r="EE49" s="179"/>
      <c r="EF49" s="179"/>
      <c r="EG49" s="179"/>
    </row>
    <row r="50" spans="1:137" s="352" customFormat="1" ht="38.25">
      <c r="A50" s="487">
        <v>49</v>
      </c>
      <c r="B50" s="487" t="s">
        <v>2046</v>
      </c>
      <c r="C50" s="489" t="s">
        <v>1876</v>
      </c>
      <c r="D50" s="13" t="s">
        <v>4064</v>
      </c>
      <c r="E50" s="489" t="s">
        <v>1745</v>
      </c>
      <c r="F50" s="489" t="s">
        <v>3885</v>
      </c>
      <c r="G50" s="489" t="s">
        <v>4000</v>
      </c>
      <c r="H50" s="490" t="s">
        <v>2015</v>
      </c>
      <c r="I50" s="487"/>
      <c r="J50" s="491">
        <v>43149</v>
      </c>
      <c r="K50" s="487">
        <f t="shared" si="0"/>
        <v>2018</v>
      </c>
      <c r="L50" s="487">
        <f t="shared" si="1"/>
        <v>2</v>
      </c>
      <c r="M50" s="491">
        <v>43189</v>
      </c>
      <c r="N50" s="492"/>
      <c r="O50" s="493"/>
      <c r="P50" s="179"/>
      <c r="Q50" s="179"/>
      <c r="R50" s="179"/>
      <c r="S50" s="179"/>
      <c r="T50" s="179"/>
      <c r="U50" s="179"/>
      <c r="V50" s="179"/>
      <c r="W50" s="179"/>
      <c r="X50" s="179"/>
      <c r="Y50" s="179"/>
      <c r="Z50" s="179"/>
      <c r="AA50" s="179"/>
      <c r="AB50" s="179"/>
      <c r="AC50" s="179"/>
      <c r="AD50" s="179"/>
      <c r="AE50" s="179"/>
      <c r="AF50" s="179"/>
      <c r="AG50" s="179"/>
      <c r="AH50" s="179"/>
      <c r="AI50" s="179"/>
      <c r="AJ50" s="179"/>
      <c r="AK50" s="179"/>
      <c r="AL50" s="179"/>
      <c r="AM50" s="179"/>
      <c r="AN50" s="179"/>
      <c r="AO50" s="179"/>
      <c r="AP50" s="179"/>
      <c r="AQ50" s="179"/>
      <c r="AR50" s="179"/>
      <c r="AS50" s="179"/>
      <c r="AT50" s="179"/>
      <c r="AU50" s="179"/>
      <c r="AV50" s="179"/>
      <c r="AW50" s="179"/>
      <c r="AX50" s="179"/>
      <c r="AY50" s="179"/>
      <c r="AZ50" s="179"/>
      <c r="BA50" s="179"/>
      <c r="BB50" s="179"/>
      <c r="BC50" s="179"/>
      <c r="BD50" s="179"/>
      <c r="BE50" s="179"/>
      <c r="BF50" s="179"/>
      <c r="BG50" s="179"/>
      <c r="BH50" s="179"/>
      <c r="BI50" s="179"/>
      <c r="BJ50" s="179"/>
      <c r="BK50" s="179"/>
      <c r="BL50" s="179"/>
      <c r="BM50" s="179"/>
      <c r="BN50" s="179"/>
      <c r="BO50" s="179"/>
      <c r="BP50" s="179"/>
      <c r="BQ50" s="179"/>
      <c r="BR50" s="179"/>
      <c r="BS50" s="179"/>
      <c r="BT50" s="179"/>
      <c r="BU50" s="179"/>
      <c r="BV50" s="179"/>
      <c r="BW50" s="179"/>
      <c r="BX50" s="179"/>
      <c r="BY50" s="179"/>
      <c r="BZ50" s="179"/>
      <c r="CA50" s="179"/>
      <c r="CB50" s="179"/>
      <c r="CC50" s="179"/>
      <c r="CD50" s="179"/>
      <c r="CE50" s="179"/>
      <c r="CF50" s="179"/>
      <c r="CG50" s="179"/>
      <c r="CH50" s="179"/>
      <c r="CI50" s="179"/>
      <c r="CJ50" s="179"/>
      <c r="CK50" s="179"/>
      <c r="CL50" s="179"/>
      <c r="CM50" s="179"/>
      <c r="CN50" s="179"/>
      <c r="CO50" s="179"/>
      <c r="CP50" s="179"/>
      <c r="CQ50" s="179"/>
      <c r="CR50" s="179"/>
      <c r="CS50" s="179"/>
      <c r="CT50" s="179"/>
      <c r="CU50" s="179"/>
      <c r="CV50" s="179"/>
      <c r="CW50" s="179"/>
      <c r="CX50" s="179"/>
      <c r="CY50" s="179"/>
      <c r="CZ50" s="179"/>
      <c r="DA50" s="179"/>
      <c r="DB50" s="179"/>
      <c r="DC50" s="179"/>
      <c r="DD50" s="179"/>
      <c r="DE50" s="179"/>
      <c r="DF50" s="179"/>
      <c r="DG50" s="179"/>
      <c r="DH50" s="179"/>
      <c r="DI50" s="179"/>
      <c r="DJ50" s="179"/>
      <c r="DK50" s="179"/>
      <c r="DL50" s="179"/>
      <c r="DM50" s="179"/>
      <c r="DN50" s="179"/>
      <c r="DO50" s="179"/>
      <c r="DP50" s="179"/>
      <c r="DQ50" s="179"/>
      <c r="DR50" s="179"/>
      <c r="DS50" s="179"/>
      <c r="DT50" s="179"/>
      <c r="DU50" s="179"/>
      <c r="DV50" s="179"/>
      <c r="DW50" s="179"/>
      <c r="DX50" s="179"/>
      <c r="DY50" s="179"/>
      <c r="DZ50" s="179"/>
      <c r="EA50" s="179"/>
      <c r="EB50" s="179"/>
      <c r="EC50" s="179"/>
      <c r="ED50" s="179"/>
      <c r="EE50" s="179"/>
      <c r="EF50" s="179"/>
      <c r="EG50" s="179"/>
    </row>
    <row r="51" spans="1:137" s="351" customFormat="1" ht="25.5">
      <c r="A51" s="178">
        <v>50</v>
      </c>
      <c r="B51" s="11" t="s">
        <v>2044</v>
      </c>
      <c r="C51" s="191" t="s">
        <v>1900</v>
      </c>
      <c r="D51" s="385" t="s">
        <v>4064</v>
      </c>
      <c r="E51" s="13" t="s">
        <v>1621</v>
      </c>
      <c r="F51" s="191" t="s">
        <v>3886</v>
      </c>
      <c r="G51" s="191" t="s">
        <v>4001</v>
      </c>
      <c r="H51" s="281">
        <v>43253</v>
      </c>
      <c r="I51" s="185"/>
      <c r="J51" s="195">
        <v>43165</v>
      </c>
      <c r="K51" s="178">
        <f t="shared" si="0"/>
        <v>2018</v>
      </c>
      <c r="L51" s="178">
        <f t="shared" si="1"/>
        <v>3</v>
      </c>
      <c r="M51" s="195">
        <v>43255</v>
      </c>
      <c r="N51" s="335">
        <v>3.94</v>
      </c>
      <c r="O51" s="343">
        <v>41</v>
      </c>
      <c r="P51" s="179"/>
      <c r="Q51" s="179"/>
      <c r="R51" s="179"/>
      <c r="S51" s="179"/>
      <c r="T51" s="179"/>
      <c r="U51" s="179"/>
      <c r="V51" s="179"/>
      <c r="W51" s="179"/>
      <c r="X51" s="179"/>
      <c r="Y51" s="179"/>
      <c r="Z51" s="179"/>
      <c r="AA51" s="179"/>
      <c r="AB51" s="179"/>
      <c r="AC51" s="179"/>
      <c r="AD51" s="179"/>
      <c r="AE51" s="179"/>
      <c r="AF51" s="179"/>
      <c r="AG51" s="179"/>
      <c r="AH51" s="179"/>
      <c r="AI51" s="179"/>
      <c r="AJ51" s="179"/>
      <c r="AK51" s="179"/>
      <c r="AL51" s="179"/>
      <c r="AM51" s="179"/>
      <c r="AN51" s="179"/>
      <c r="AO51" s="179"/>
      <c r="AP51" s="179"/>
      <c r="AQ51" s="179"/>
      <c r="AR51" s="179"/>
      <c r="AS51" s="179"/>
      <c r="AT51" s="179"/>
      <c r="AU51" s="179"/>
      <c r="AV51" s="179"/>
      <c r="AW51" s="179"/>
      <c r="AX51" s="179"/>
      <c r="AY51" s="179"/>
      <c r="AZ51" s="179"/>
      <c r="BA51" s="179"/>
      <c r="BB51" s="179"/>
      <c r="BC51" s="179"/>
      <c r="BD51" s="179"/>
      <c r="BE51" s="179"/>
      <c r="BF51" s="179"/>
      <c r="BG51" s="179"/>
      <c r="BH51" s="179"/>
      <c r="BI51" s="179"/>
      <c r="BJ51" s="179"/>
      <c r="BK51" s="179"/>
      <c r="BL51" s="179"/>
      <c r="BM51" s="179"/>
      <c r="BN51" s="179"/>
      <c r="BO51" s="179"/>
      <c r="BP51" s="179"/>
      <c r="BQ51" s="179"/>
      <c r="BR51" s="179"/>
      <c r="BS51" s="179"/>
      <c r="BT51" s="179"/>
      <c r="BU51" s="179"/>
      <c r="BV51" s="179"/>
      <c r="BW51" s="179"/>
      <c r="BX51" s="179"/>
      <c r="BY51" s="179"/>
      <c r="BZ51" s="179"/>
      <c r="CA51" s="179"/>
      <c r="CB51" s="179"/>
      <c r="CC51" s="179"/>
      <c r="CD51" s="179"/>
      <c r="CE51" s="179"/>
      <c r="CF51" s="179"/>
      <c r="CG51" s="179"/>
      <c r="CH51" s="179"/>
      <c r="CI51" s="179"/>
      <c r="CJ51" s="179"/>
      <c r="CK51" s="179"/>
      <c r="CL51" s="179"/>
      <c r="CM51" s="179"/>
      <c r="CN51" s="179"/>
      <c r="CO51" s="179"/>
      <c r="CP51" s="179"/>
      <c r="CQ51" s="179"/>
      <c r="CR51" s="179"/>
      <c r="CS51" s="179"/>
      <c r="CT51" s="179"/>
      <c r="CU51" s="179"/>
      <c r="CV51" s="179"/>
      <c r="CW51" s="179"/>
      <c r="CX51" s="179"/>
      <c r="CY51" s="179"/>
      <c r="CZ51" s="179"/>
      <c r="DA51" s="179"/>
      <c r="DB51" s="179"/>
      <c r="DC51" s="179"/>
      <c r="DD51" s="179"/>
      <c r="DE51" s="179"/>
      <c r="DF51" s="179"/>
      <c r="DG51" s="179"/>
      <c r="DH51" s="179"/>
      <c r="DI51" s="179"/>
      <c r="DJ51" s="179"/>
      <c r="DK51" s="179"/>
      <c r="DL51" s="179"/>
      <c r="DM51" s="179"/>
      <c r="DN51" s="179"/>
      <c r="DO51" s="179"/>
      <c r="DP51" s="179"/>
      <c r="DQ51" s="179"/>
      <c r="DR51" s="179"/>
      <c r="DS51" s="179"/>
      <c r="DT51" s="179"/>
      <c r="DU51" s="179"/>
      <c r="DV51" s="179"/>
      <c r="DW51" s="179"/>
      <c r="DX51" s="179"/>
      <c r="DY51" s="179"/>
      <c r="DZ51" s="179"/>
      <c r="EA51" s="179"/>
      <c r="EB51" s="179"/>
      <c r="EC51" s="179"/>
      <c r="ED51" s="179"/>
      <c r="EE51" s="179"/>
      <c r="EF51" s="179"/>
      <c r="EG51" s="179"/>
    </row>
    <row r="52" spans="1:137" s="351" customFormat="1" ht="25.5">
      <c r="A52" s="178">
        <v>51</v>
      </c>
      <c r="B52" s="11" t="s">
        <v>2044</v>
      </c>
      <c r="C52" s="191" t="s">
        <v>1933</v>
      </c>
      <c r="D52" s="191" t="s">
        <v>4064</v>
      </c>
      <c r="E52" s="191" t="s">
        <v>3829</v>
      </c>
      <c r="F52" s="191" t="s">
        <v>3887</v>
      </c>
      <c r="G52" s="191" t="s">
        <v>3829</v>
      </c>
      <c r="H52" s="281">
        <v>43259</v>
      </c>
      <c r="I52" s="202" t="s">
        <v>5</v>
      </c>
      <c r="J52" s="195">
        <v>43169</v>
      </c>
      <c r="K52" s="178">
        <f t="shared" si="0"/>
        <v>2018</v>
      </c>
      <c r="L52" s="178">
        <f t="shared" si="1"/>
        <v>3</v>
      </c>
      <c r="M52" s="195">
        <v>43259</v>
      </c>
      <c r="N52" s="456" t="s">
        <v>4058</v>
      </c>
      <c r="O52" s="343">
        <v>40</v>
      </c>
      <c r="P52" s="179"/>
      <c r="Q52" s="179"/>
      <c r="R52" s="179"/>
      <c r="S52" s="179"/>
      <c r="T52" s="179"/>
      <c r="U52" s="179"/>
      <c r="V52" s="179"/>
      <c r="W52" s="179"/>
      <c r="X52" s="179"/>
      <c r="Y52" s="179"/>
      <c r="Z52" s="179"/>
      <c r="AA52" s="179"/>
      <c r="AB52" s="179"/>
      <c r="AC52" s="179"/>
      <c r="AD52" s="179"/>
      <c r="AE52" s="179"/>
      <c r="AF52" s="179"/>
      <c r="AG52" s="179"/>
      <c r="AH52" s="179"/>
      <c r="AI52" s="179"/>
      <c r="AJ52" s="179"/>
      <c r="AK52" s="179"/>
      <c r="AL52" s="179"/>
      <c r="AM52" s="179"/>
      <c r="AN52" s="179"/>
      <c r="AO52" s="179"/>
      <c r="AP52" s="179"/>
      <c r="AQ52" s="179"/>
      <c r="AR52" s="179"/>
      <c r="AS52" s="179"/>
      <c r="AT52" s="179"/>
      <c r="AU52" s="179"/>
      <c r="AV52" s="179"/>
      <c r="AW52" s="179"/>
      <c r="AX52" s="179"/>
      <c r="AY52" s="179"/>
      <c r="AZ52" s="179"/>
      <c r="BA52" s="179"/>
      <c r="BB52" s="179"/>
      <c r="BC52" s="179"/>
      <c r="BD52" s="179"/>
      <c r="BE52" s="179"/>
      <c r="BF52" s="179"/>
      <c r="BG52" s="179"/>
      <c r="BH52" s="179"/>
      <c r="BI52" s="179"/>
      <c r="BJ52" s="179"/>
      <c r="BK52" s="179"/>
      <c r="BL52" s="179"/>
      <c r="BM52" s="179"/>
      <c r="BN52" s="179"/>
      <c r="BO52" s="179"/>
      <c r="BP52" s="179"/>
      <c r="BQ52" s="179"/>
      <c r="BR52" s="179"/>
      <c r="BS52" s="179"/>
      <c r="BT52" s="179"/>
      <c r="BU52" s="179"/>
      <c r="BV52" s="179"/>
      <c r="BW52" s="179"/>
      <c r="BX52" s="179"/>
      <c r="BY52" s="179"/>
      <c r="BZ52" s="179"/>
      <c r="CA52" s="179"/>
      <c r="CB52" s="179"/>
      <c r="CC52" s="179"/>
      <c r="CD52" s="179"/>
      <c r="CE52" s="179"/>
      <c r="CF52" s="179"/>
      <c r="CG52" s="179"/>
      <c r="CH52" s="179"/>
      <c r="CI52" s="179"/>
      <c r="CJ52" s="179"/>
      <c r="CK52" s="179"/>
      <c r="CL52" s="179"/>
      <c r="CM52" s="179"/>
      <c r="CN52" s="179"/>
      <c r="CO52" s="179"/>
      <c r="CP52" s="179"/>
      <c r="CQ52" s="179"/>
      <c r="CR52" s="179"/>
      <c r="CS52" s="179"/>
      <c r="CT52" s="179"/>
      <c r="CU52" s="179"/>
      <c r="CV52" s="179"/>
      <c r="CW52" s="179"/>
      <c r="CX52" s="179"/>
      <c r="CY52" s="179"/>
      <c r="CZ52" s="179"/>
      <c r="DA52" s="179"/>
      <c r="DB52" s="179"/>
      <c r="DC52" s="179"/>
      <c r="DD52" s="179"/>
      <c r="DE52" s="179"/>
      <c r="DF52" s="179"/>
      <c r="DG52" s="179"/>
      <c r="DH52" s="179"/>
      <c r="DI52" s="179"/>
      <c r="DJ52" s="179"/>
      <c r="DK52" s="179"/>
      <c r="DL52" s="179"/>
      <c r="DM52" s="179"/>
      <c r="DN52" s="179"/>
      <c r="DO52" s="179"/>
      <c r="DP52" s="179"/>
      <c r="DQ52" s="179"/>
      <c r="DR52" s="179"/>
      <c r="DS52" s="179"/>
      <c r="DT52" s="179"/>
      <c r="DU52" s="179"/>
      <c r="DV52" s="179"/>
      <c r="DW52" s="179"/>
      <c r="DX52" s="179"/>
      <c r="DY52" s="179"/>
      <c r="DZ52" s="179"/>
      <c r="EA52" s="179"/>
      <c r="EB52" s="179"/>
      <c r="EC52" s="179"/>
      <c r="ED52" s="179"/>
      <c r="EE52" s="179"/>
      <c r="EF52" s="179"/>
      <c r="EG52" s="179"/>
    </row>
    <row r="53" spans="1:137" s="351" customFormat="1" ht="25.5">
      <c r="A53" s="178">
        <v>52</v>
      </c>
      <c r="B53" s="11" t="s">
        <v>2044</v>
      </c>
      <c r="C53" s="191" t="s">
        <v>1933</v>
      </c>
      <c r="D53" s="385" t="s">
        <v>4064</v>
      </c>
      <c r="E53" s="189" t="s">
        <v>3830</v>
      </c>
      <c r="F53" s="191" t="s">
        <v>3887</v>
      </c>
      <c r="G53" s="191" t="s">
        <v>4002</v>
      </c>
      <c r="H53" s="281">
        <v>43259</v>
      </c>
      <c r="I53" s="185"/>
      <c r="J53" s="195">
        <v>43171</v>
      </c>
      <c r="K53" s="178">
        <f t="shared" si="0"/>
        <v>2018</v>
      </c>
      <c r="L53" s="178">
        <f t="shared" si="1"/>
        <v>3</v>
      </c>
      <c r="M53" s="195">
        <v>43259</v>
      </c>
      <c r="N53" s="458"/>
      <c r="O53" s="343">
        <v>40</v>
      </c>
      <c r="P53" s="179"/>
      <c r="Q53" s="179"/>
      <c r="R53" s="179"/>
      <c r="S53" s="179"/>
      <c r="T53" s="179"/>
      <c r="U53" s="179"/>
      <c r="V53" s="179"/>
      <c r="W53" s="179"/>
      <c r="X53" s="179"/>
      <c r="Y53" s="179"/>
      <c r="Z53" s="179"/>
      <c r="AA53" s="179"/>
      <c r="AB53" s="179"/>
      <c r="AC53" s="179"/>
      <c r="AD53" s="179"/>
      <c r="AE53" s="179"/>
      <c r="AF53" s="179"/>
      <c r="AG53" s="179"/>
      <c r="AH53" s="179"/>
      <c r="AI53" s="179"/>
      <c r="AJ53" s="179"/>
      <c r="AK53" s="179"/>
      <c r="AL53" s="179"/>
      <c r="AM53" s="179"/>
      <c r="AN53" s="179"/>
      <c r="AO53" s="179"/>
      <c r="AP53" s="179"/>
      <c r="AQ53" s="179"/>
      <c r="AR53" s="179"/>
      <c r="AS53" s="179"/>
      <c r="AT53" s="179"/>
      <c r="AU53" s="179"/>
      <c r="AV53" s="179"/>
      <c r="AW53" s="179"/>
      <c r="AX53" s="179"/>
      <c r="AY53" s="179"/>
      <c r="AZ53" s="179"/>
      <c r="BA53" s="179"/>
      <c r="BB53" s="179"/>
      <c r="BC53" s="179"/>
      <c r="BD53" s="179"/>
      <c r="BE53" s="179"/>
      <c r="BF53" s="179"/>
      <c r="BG53" s="179"/>
      <c r="BH53" s="179"/>
      <c r="BI53" s="179"/>
      <c r="BJ53" s="179"/>
      <c r="BK53" s="179"/>
      <c r="BL53" s="179"/>
      <c r="BM53" s="179"/>
      <c r="BN53" s="179"/>
      <c r="BO53" s="179"/>
      <c r="BP53" s="179"/>
      <c r="BQ53" s="179"/>
      <c r="BR53" s="179"/>
      <c r="BS53" s="179"/>
      <c r="BT53" s="179"/>
      <c r="BU53" s="179"/>
      <c r="BV53" s="179"/>
      <c r="BW53" s="179"/>
      <c r="BX53" s="179"/>
      <c r="BY53" s="179"/>
      <c r="BZ53" s="179"/>
      <c r="CA53" s="179"/>
      <c r="CB53" s="179"/>
      <c r="CC53" s="179"/>
      <c r="CD53" s="179"/>
      <c r="CE53" s="179"/>
      <c r="CF53" s="179"/>
      <c r="CG53" s="179"/>
      <c r="CH53" s="179"/>
      <c r="CI53" s="179"/>
      <c r="CJ53" s="179"/>
      <c r="CK53" s="179"/>
      <c r="CL53" s="179"/>
      <c r="CM53" s="179"/>
      <c r="CN53" s="179"/>
      <c r="CO53" s="179"/>
      <c r="CP53" s="179"/>
      <c r="CQ53" s="179"/>
      <c r="CR53" s="179"/>
      <c r="CS53" s="179"/>
      <c r="CT53" s="179"/>
      <c r="CU53" s="179"/>
      <c r="CV53" s="179"/>
      <c r="CW53" s="179"/>
      <c r="CX53" s="179"/>
      <c r="CY53" s="179"/>
      <c r="CZ53" s="179"/>
      <c r="DA53" s="179"/>
      <c r="DB53" s="179"/>
      <c r="DC53" s="179"/>
      <c r="DD53" s="179"/>
      <c r="DE53" s="179"/>
      <c r="DF53" s="179"/>
      <c r="DG53" s="179"/>
      <c r="DH53" s="179"/>
      <c r="DI53" s="179"/>
      <c r="DJ53" s="179"/>
      <c r="DK53" s="179"/>
      <c r="DL53" s="179"/>
      <c r="DM53" s="179"/>
      <c r="DN53" s="179"/>
      <c r="DO53" s="179"/>
      <c r="DP53" s="179"/>
      <c r="DQ53" s="179"/>
      <c r="DR53" s="179"/>
      <c r="DS53" s="179"/>
      <c r="DT53" s="179"/>
      <c r="DU53" s="179"/>
      <c r="DV53" s="179"/>
      <c r="DW53" s="179"/>
      <c r="DX53" s="179"/>
      <c r="DY53" s="179"/>
      <c r="DZ53" s="179"/>
      <c r="EA53" s="179"/>
      <c r="EB53" s="179"/>
      <c r="EC53" s="179"/>
      <c r="ED53" s="179"/>
      <c r="EE53" s="179"/>
      <c r="EF53" s="179"/>
      <c r="EG53" s="179"/>
    </row>
    <row r="54" spans="1:137" s="354" customFormat="1">
      <c r="A54" s="178">
        <v>53</v>
      </c>
      <c r="B54" s="11" t="s">
        <v>2044</v>
      </c>
      <c r="C54" s="203" t="s">
        <v>1949</v>
      </c>
      <c r="D54" s="385" t="s">
        <v>4064</v>
      </c>
      <c r="E54" s="189" t="s">
        <v>1621</v>
      </c>
      <c r="F54" s="203" t="s">
        <v>3888</v>
      </c>
      <c r="G54" s="203" t="s">
        <v>1621</v>
      </c>
      <c r="H54" s="240">
        <v>43268</v>
      </c>
      <c r="I54" s="202" t="s">
        <v>5</v>
      </c>
      <c r="J54" s="204">
        <v>43174</v>
      </c>
      <c r="K54" s="178">
        <f t="shared" si="0"/>
        <v>2018</v>
      </c>
      <c r="L54" s="178">
        <f t="shared" si="1"/>
        <v>3</v>
      </c>
      <c r="M54" s="204">
        <v>43179</v>
      </c>
      <c r="N54" s="333" t="s">
        <v>4058</v>
      </c>
      <c r="O54" s="343">
        <v>40</v>
      </c>
      <c r="P54" s="179"/>
      <c r="Q54" s="179"/>
      <c r="R54" s="179"/>
      <c r="S54" s="179"/>
      <c r="T54" s="179"/>
      <c r="U54" s="179"/>
      <c r="V54" s="179"/>
      <c r="W54" s="179"/>
      <c r="X54" s="179"/>
      <c r="Y54" s="179"/>
      <c r="Z54" s="179"/>
      <c r="AA54" s="179"/>
      <c r="AB54" s="179"/>
      <c r="AC54" s="179"/>
      <c r="AD54" s="179"/>
      <c r="AE54" s="179"/>
      <c r="AF54" s="179"/>
      <c r="AG54" s="179"/>
      <c r="AH54" s="179"/>
      <c r="AI54" s="179"/>
      <c r="AJ54" s="179"/>
      <c r="AK54" s="179"/>
      <c r="AL54" s="179"/>
      <c r="AM54" s="179"/>
      <c r="AN54" s="179"/>
      <c r="AO54" s="179"/>
      <c r="AP54" s="179"/>
      <c r="AQ54" s="179"/>
      <c r="AR54" s="179"/>
      <c r="AS54" s="179"/>
      <c r="AT54" s="179"/>
      <c r="AU54" s="179"/>
      <c r="AV54" s="179"/>
      <c r="AW54" s="179"/>
      <c r="AX54" s="179"/>
      <c r="AY54" s="179"/>
      <c r="AZ54" s="179"/>
      <c r="BA54" s="179"/>
      <c r="BB54" s="179"/>
      <c r="BC54" s="179"/>
      <c r="BD54" s="179"/>
      <c r="BE54" s="179"/>
      <c r="BF54" s="179"/>
      <c r="BG54" s="179"/>
      <c r="BH54" s="179"/>
      <c r="BI54" s="179"/>
      <c r="BJ54" s="179"/>
      <c r="BK54" s="179"/>
      <c r="BL54" s="179"/>
      <c r="BM54" s="179"/>
      <c r="BN54" s="179"/>
      <c r="BO54" s="179"/>
      <c r="BP54" s="179"/>
      <c r="BQ54" s="179"/>
      <c r="BR54" s="179"/>
      <c r="BS54" s="179"/>
      <c r="BT54" s="179"/>
      <c r="BU54" s="179"/>
      <c r="BV54" s="179"/>
      <c r="BW54" s="179"/>
      <c r="BX54" s="179"/>
      <c r="BY54" s="179"/>
      <c r="BZ54" s="179"/>
      <c r="CA54" s="179"/>
      <c r="CB54" s="179"/>
      <c r="CC54" s="179"/>
      <c r="CD54" s="179"/>
      <c r="CE54" s="179"/>
      <c r="CF54" s="179"/>
      <c r="CG54" s="179"/>
      <c r="CH54" s="179"/>
      <c r="CI54" s="179"/>
      <c r="CJ54" s="179"/>
      <c r="CK54" s="179"/>
      <c r="CL54" s="179"/>
      <c r="CM54" s="179"/>
      <c r="CN54" s="179"/>
      <c r="CO54" s="179"/>
      <c r="CP54" s="179"/>
      <c r="CQ54" s="179"/>
      <c r="CR54" s="179"/>
      <c r="CS54" s="179"/>
      <c r="CT54" s="179"/>
      <c r="CU54" s="179"/>
      <c r="CV54" s="179"/>
      <c r="CW54" s="179"/>
      <c r="CX54" s="179"/>
      <c r="CY54" s="179"/>
      <c r="CZ54" s="179"/>
      <c r="DA54" s="179"/>
      <c r="DB54" s="179"/>
      <c r="DC54" s="179"/>
      <c r="DD54" s="179"/>
      <c r="DE54" s="179"/>
      <c r="DF54" s="179"/>
      <c r="DG54" s="179"/>
      <c r="DH54" s="179"/>
      <c r="DI54" s="179"/>
      <c r="DJ54" s="179"/>
      <c r="DK54" s="179"/>
      <c r="DL54" s="179"/>
      <c r="DM54" s="179"/>
      <c r="DN54" s="179"/>
      <c r="DO54" s="179"/>
      <c r="DP54" s="179"/>
      <c r="DQ54" s="179"/>
      <c r="DR54" s="179"/>
      <c r="DS54" s="179"/>
      <c r="DT54" s="179"/>
      <c r="DU54" s="179"/>
      <c r="DV54" s="179"/>
      <c r="DW54" s="179"/>
      <c r="DX54" s="179"/>
      <c r="DY54" s="179"/>
      <c r="DZ54" s="179"/>
      <c r="EA54" s="179"/>
      <c r="EB54" s="179"/>
      <c r="EC54" s="179"/>
      <c r="ED54" s="179"/>
      <c r="EE54" s="179"/>
      <c r="EF54" s="179"/>
      <c r="EG54" s="179"/>
    </row>
    <row r="55" spans="1:137" s="352" customFormat="1" ht="25.5">
      <c r="A55" s="487">
        <v>54</v>
      </c>
      <c r="B55" s="487" t="s">
        <v>2046</v>
      </c>
      <c r="C55" s="489" t="s">
        <v>1951</v>
      </c>
      <c r="D55" s="385" t="s">
        <v>4064</v>
      </c>
      <c r="E55" s="489" t="s">
        <v>1621</v>
      </c>
      <c r="F55" s="489" t="s">
        <v>3889</v>
      </c>
      <c r="G55" s="489" t="s">
        <v>1621</v>
      </c>
      <c r="H55" s="490" t="s">
        <v>1950</v>
      </c>
      <c r="I55" s="487"/>
      <c r="J55" s="491">
        <v>43174</v>
      </c>
      <c r="K55" s="487">
        <f t="shared" si="0"/>
        <v>2018</v>
      </c>
      <c r="L55" s="487">
        <f t="shared" si="1"/>
        <v>3</v>
      </c>
      <c r="M55" s="491">
        <v>43179</v>
      </c>
      <c r="N55" s="492"/>
      <c r="O55" s="493"/>
      <c r="P55" s="179"/>
      <c r="Q55" s="179"/>
      <c r="R55" s="179"/>
      <c r="S55" s="179"/>
      <c r="T55" s="179"/>
      <c r="U55" s="179"/>
      <c r="V55" s="179"/>
      <c r="W55" s="179"/>
      <c r="X55" s="179"/>
      <c r="Y55" s="179"/>
      <c r="Z55" s="179"/>
      <c r="AA55" s="179"/>
      <c r="AB55" s="179"/>
      <c r="AC55" s="179"/>
      <c r="AD55" s="179"/>
      <c r="AE55" s="179"/>
      <c r="AF55" s="179"/>
      <c r="AG55" s="179"/>
      <c r="AH55" s="179"/>
      <c r="AI55" s="179"/>
      <c r="AJ55" s="179"/>
      <c r="AK55" s="179"/>
      <c r="AL55" s="179"/>
      <c r="AM55" s="179"/>
      <c r="AN55" s="179"/>
      <c r="AO55" s="179"/>
      <c r="AP55" s="179"/>
      <c r="AQ55" s="179"/>
      <c r="AR55" s="179"/>
      <c r="AS55" s="179"/>
      <c r="AT55" s="179"/>
      <c r="AU55" s="179"/>
      <c r="AV55" s="179"/>
      <c r="AW55" s="179"/>
      <c r="AX55" s="179"/>
      <c r="AY55" s="179"/>
      <c r="AZ55" s="179"/>
      <c r="BA55" s="179"/>
      <c r="BB55" s="179"/>
      <c r="BC55" s="179"/>
      <c r="BD55" s="179"/>
      <c r="BE55" s="179"/>
      <c r="BF55" s="179"/>
      <c r="BG55" s="179"/>
      <c r="BH55" s="179"/>
      <c r="BI55" s="179"/>
      <c r="BJ55" s="179"/>
      <c r="BK55" s="179"/>
      <c r="BL55" s="179"/>
      <c r="BM55" s="179"/>
      <c r="BN55" s="179"/>
      <c r="BO55" s="179"/>
      <c r="BP55" s="179"/>
      <c r="BQ55" s="179"/>
      <c r="BR55" s="179"/>
      <c r="BS55" s="179"/>
      <c r="BT55" s="179"/>
      <c r="BU55" s="179"/>
      <c r="BV55" s="179"/>
      <c r="BW55" s="179"/>
      <c r="BX55" s="179"/>
      <c r="BY55" s="179"/>
      <c r="BZ55" s="179"/>
      <c r="CA55" s="179"/>
      <c r="CB55" s="179"/>
      <c r="CC55" s="179"/>
      <c r="CD55" s="179"/>
      <c r="CE55" s="179"/>
      <c r="CF55" s="179"/>
      <c r="CG55" s="179"/>
      <c r="CH55" s="179"/>
      <c r="CI55" s="179"/>
      <c r="CJ55" s="179"/>
      <c r="CK55" s="179"/>
      <c r="CL55" s="179"/>
      <c r="CM55" s="179"/>
      <c r="CN55" s="179"/>
      <c r="CO55" s="179"/>
      <c r="CP55" s="179"/>
      <c r="CQ55" s="179"/>
      <c r="CR55" s="179"/>
      <c r="CS55" s="179"/>
      <c r="CT55" s="179"/>
      <c r="CU55" s="179"/>
      <c r="CV55" s="179"/>
      <c r="CW55" s="179"/>
      <c r="CX55" s="179"/>
      <c r="CY55" s="179"/>
      <c r="CZ55" s="179"/>
      <c r="DA55" s="179"/>
      <c r="DB55" s="179"/>
      <c r="DC55" s="179"/>
      <c r="DD55" s="179"/>
      <c r="DE55" s="179"/>
      <c r="DF55" s="179"/>
      <c r="DG55" s="179"/>
      <c r="DH55" s="179"/>
      <c r="DI55" s="179"/>
      <c r="DJ55" s="179"/>
      <c r="DK55" s="179"/>
      <c r="DL55" s="179"/>
      <c r="DM55" s="179"/>
      <c r="DN55" s="179"/>
      <c r="DO55" s="179"/>
      <c r="DP55" s="179"/>
      <c r="DQ55" s="179"/>
      <c r="DR55" s="179"/>
      <c r="DS55" s="179"/>
      <c r="DT55" s="179"/>
      <c r="DU55" s="179"/>
      <c r="DV55" s="179"/>
      <c r="DW55" s="179"/>
      <c r="DX55" s="179"/>
      <c r="DY55" s="179"/>
      <c r="DZ55" s="179"/>
      <c r="EA55" s="179"/>
      <c r="EB55" s="179"/>
      <c r="EC55" s="179"/>
      <c r="ED55" s="179"/>
      <c r="EE55" s="179"/>
      <c r="EF55" s="179"/>
      <c r="EG55" s="179"/>
    </row>
    <row r="56" spans="1:137" s="351" customFormat="1" ht="25.5">
      <c r="A56" s="178">
        <v>55</v>
      </c>
      <c r="B56" s="11" t="s">
        <v>2044</v>
      </c>
      <c r="C56" s="191" t="s">
        <v>1952</v>
      </c>
      <c r="D56" s="385" t="s">
        <v>4064</v>
      </c>
      <c r="E56" s="189" t="s">
        <v>1621</v>
      </c>
      <c r="F56" s="191" t="s">
        <v>3883</v>
      </c>
      <c r="G56" s="191" t="s">
        <v>4003</v>
      </c>
      <c r="H56" s="240">
        <v>43255</v>
      </c>
      <c r="I56" s="185"/>
      <c r="J56" s="195">
        <v>43177</v>
      </c>
      <c r="K56" s="178">
        <f t="shared" si="0"/>
        <v>2018</v>
      </c>
      <c r="L56" s="178">
        <f t="shared" si="1"/>
        <v>3</v>
      </c>
      <c r="M56" s="195">
        <v>43255</v>
      </c>
      <c r="N56" s="335">
        <v>3.94</v>
      </c>
      <c r="O56" s="343">
        <v>41</v>
      </c>
      <c r="P56" s="179"/>
      <c r="Q56" s="179"/>
      <c r="R56" s="179"/>
      <c r="S56" s="179"/>
      <c r="T56" s="179"/>
      <c r="U56" s="179"/>
      <c r="V56" s="179"/>
      <c r="W56" s="179"/>
      <c r="X56" s="179"/>
      <c r="Y56" s="179"/>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c r="BE56" s="179"/>
      <c r="BF56" s="179"/>
      <c r="BG56" s="179"/>
      <c r="BH56" s="179"/>
      <c r="BI56" s="179"/>
      <c r="BJ56" s="179"/>
      <c r="BK56" s="179"/>
      <c r="BL56" s="179"/>
      <c r="BM56" s="179"/>
      <c r="BN56" s="179"/>
      <c r="BO56" s="179"/>
      <c r="BP56" s="179"/>
      <c r="BQ56" s="179"/>
      <c r="BR56" s="179"/>
      <c r="BS56" s="179"/>
      <c r="BT56" s="179"/>
      <c r="BU56" s="179"/>
      <c r="BV56" s="179"/>
      <c r="BW56" s="179"/>
      <c r="BX56" s="179"/>
      <c r="BY56" s="179"/>
      <c r="BZ56" s="179"/>
      <c r="CA56" s="179"/>
      <c r="CB56" s="179"/>
      <c r="CC56" s="179"/>
      <c r="CD56" s="179"/>
      <c r="CE56" s="179"/>
      <c r="CF56" s="179"/>
      <c r="CG56" s="179"/>
      <c r="CH56" s="179"/>
      <c r="CI56" s="179"/>
      <c r="CJ56" s="179"/>
      <c r="CK56" s="179"/>
      <c r="CL56" s="179"/>
      <c r="CM56" s="179"/>
      <c r="CN56" s="179"/>
      <c r="CO56" s="179"/>
      <c r="CP56" s="179"/>
      <c r="CQ56" s="179"/>
      <c r="CR56" s="179"/>
      <c r="CS56" s="179"/>
      <c r="CT56" s="179"/>
      <c r="CU56" s="179"/>
      <c r="CV56" s="179"/>
      <c r="CW56" s="179"/>
      <c r="CX56" s="179"/>
      <c r="CY56" s="179"/>
      <c r="CZ56" s="179"/>
      <c r="DA56" s="179"/>
      <c r="DB56" s="179"/>
      <c r="DC56" s="179"/>
      <c r="DD56" s="179"/>
      <c r="DE56" s="179"/>
      <c r="DF56" s="179"/>
      <c r="DG56" s="179"/>
      <c r="DH56" s="179"/>
      <c r="DI56" s="179"/>
      <c r="DJ56" s="179"/>
      <c r="DK56" s="179"/>
      <c r="DL56" s="179"/>
      <c r="DM56" s="179"/>
      <c r="DN56" s="179"/>
      <c r="DO56" s="179"/>
      <c r="DP56" s="179"/>
      <c r="DQ56" s="179"/>
      <c r="DR56" s="179"/>
      <c r="DS56" s="179"/>
      <c r="DT56" s="179"/>
      <c r="DU56" s="179"/>
      <c r="DV56" s="179"/>
      <c r="DW56" s="179"/>
      <c r="DX56" s="179"/>
      <c r="DY56" s="179"/>
      <c r="DZ56" s="179"/>
      <c r="EA56" s="179"/>
      <c r="EB56" s="179"/>
      <c r="EC56" s="179"/>
      <c r="ED56" s="179"/>
      <c r="EE56" s="179"/>
      <c r="EF56" s="179"/>
      <c r="EG56" s="179"/>
    </row>
    <row r="57" spans="1:137" s="352" customFormat="1" ht="25.5">
      <c r="A57" s="487">
        <v>56</v>
      </c>
      <c r="B57" s="487" t="s">
        <v>2046</v>
      </c>
      <c r="C57" s="489" t="s">
        <v>2016</v>
      </c>
      <c r="D57" s="489"/>
      <c r="E57" s="489" t="e">
        <v>#N/A</v>
      </c>
      <c r="F57" s="489" t="s">
        <v>3890</v>
      </c>
      <c r="G57" s="489" t="s">
        <v>4004</v>
      </c>
      <c r="H57" s="490"/>
      <c r="I57" s="487"/>
      <c r="J57" s="491">
        <v>43223</v>
      </c>
      <c r="K57" s="487">
        <f t="shared" si="0"/>
        <v>2018</v>
      </c>
      <c r="L57" s="487">
        <f t="shared" si="1"/>
        <v>5</v>
      </c>
      <c r="M57" s="491"/>
      <c r="N57" s="492"/>
      <c r="O57" s="493"/>
      <c r="P57" s="179"/>
      <c r="Q57" s="179"/>
      <c r="R57" s="179"/>
      <c r="S57" s="179"/>
      <c r="T57" s="179"/>
      <c r="U57" s="179"/>
      <c r="V57" s="179"/>
      <c r="W57" s="179"/>
      <c r="X57" s="179"/>
      <c r="Y57" s="179"/>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c r="BE57" s="179"/>
      <c r="BF57" s="179"/>
      <c r="BG57" s="179"/>
      <c r="BH57" s="179"/>
      <c r="BI57" s="179"/>
      <c r="BJ57" s="179"/>
      <c r="BK57" s="179"/>
      <c r="BL57" s="179"/>
      <c r="BM57" s="179"/>
      <c r="BN57" s="179"/>
      <c r="BO57" s="179"/>
      <c r="BP57" s="179"/>
      <c r="BQ57" s="179"/>
      <c r="BR57" s="179"/>
      <c r="BS57" s="179"/>
      <c r="BT57" s="179"/>
      <c r="BU57" s="179"/>
      <c r="BV57" s="179"/>
      <c r="BW57" s="179"/>
      <c r="BX57" s="179"/>
      <c r="BY57" s="179"/>
      <c r="BZ57" s="179"/>
      <c r="CA57" s="179"/>
      <c r="CB57" s="179"/>
      <c r="CC57" s="179"/>
      <c r="CD57" s="179"/>
      <c r="CE57" s="179"/>
      <c r="CF57" s="179"/>
      <c r="CG57" s="179"/>
      <c r="CH57" s="179"/>
      <c r="CI57" s="179"/>
      <c r="CJ57" s="179"/>
      <c r="CK57" s="179"/>
      <c r="CL57" s="179"/>
      <c r="CM57" s="179"/>
      <c r="CN57" s="179"/>
      <c r="CO57" s="179"/>
      <c r="CP57" s="179"/>
      <c r="CQ57" s="179"/>
      <c r="CR57" s="179"/>
      <c r="CS57" s="179"/>
      <c r="CT57" s="179"/>
      <c r="CU57" s="179"/>
      <c r="CV57" s="179"/>
      <c r="CW57" s="179"/>
      <c r="CX57" s="179"/>
      <c r="CY57" s="179"/>
      <c r="CZ57" s="179"/>
      <c r="DA57" s="179"/>
      <c r="DB57" s="179"/>
      <c r="DC57" s="179"/>
      <c r="DD57" s="179"/>
      <c r="DE57" s="179"/>
      <c r="DF57" s="179"/>
      <c r="DG57" s="179"/>
      <c r="DH57" s="179"/>
      <c r="DI57" s="179"/>
      <c r="DJ57" s="179"/>
      <c r="DK57" s="179"/>
      <c r="DL57" s="179"/>
      <c r="DM57" s="179"/>
      <c r="DN57" s="179"/>
      <c r="DO57" s="179"/>
      <c r="DP57" s="179"/>
      <c r="DQ57" s="179"/>
      <c r="DR57" s="179"/>
      <c r="DS57" s="179"/>
      <c r="DT57" s="179"/>
      <c r="DU57" s="179"/>
      <c r="DV57" s="179"/>
      <c r="DW57" s="179"/>
      <c r="DX57" s="179"/>
      <c r="DY57" s="179"/>
      <c r="DZ57" s="179"/>
      <c r="EA57" s="179"/>
      <c r="EB57" s="179"/>
      <c r="EC57" s="179"/>
      <c r="ED57" s="179"/>
      <c r="EE57" s="179"/>
      <c r="EF57" s="179"/>
      <c r="EG57" s="179"/>
    </row>
    <row r="58" spans="1:137" s="352" customFormat="1">
      <c r="A58" s="487">
        <v>57</v>
      </c>
      <c r="B58" s="487" t="s">
        <v>2046</v>
      </c>
      <c r="C58" s="489" t="s">
        <v>2017</v>
      </c>
      <c r="D58" s="489"/>
      <c r="E58" s="489" t="e">
        <v>#N/A</v>
      </c>
      <c r="F58" s="489" t="s">
        <v>3891</v>
      </c>
      <c r="G58" s="489" t="s">
        <v>4005</v>
      </c>
      <c r="H58" s="490"/>
      <c r="I58" s="487"/>
      <c r="J58" s="491">
        <v>43225</v>
      </c>
      <c r="K58" s="487">
        <f t="shared" si="0"/>
        <v>2018</v>
      </c>
      <c r="L58" s="487">
        <f t="shared" si="1"/>
        <v>5</v>
      </c>
      <c r="M58" s="491"/>
      <c r="N58" s="492"/>
      <c r="O58" s="493"/>
      <c r="P58" s="179"/>
      <c r="Q58" s="179"/>
      <c r="R58" s="179"/>
      <c r="S58" s="179"/>
      <c r="T58" s="179"/>
      <c r="U58" s="179"/>
      <c r="V58" s="179"/>
      <c r="W58" s="179"/>
      <c r="X58" s="179"/>
      <c r="Y58" s="179"/>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c r="BE58" s="179"/>
      <c r="BF58" s="179"/>
      <c r="BG58" s="179"/>
      <c r="BH58" s="179"/>
      <c r="BI58" s="179"/>
      <c r="BJ58" s="179"/>
      <c r="BK58" s="179"/>
      <c r="BL58" s="179"/>
      <c r="BM58" s="179"/>
      <c r="BN58" s="179"/>
      <c r="BO58" s="179"/>
      <c r="BP58" s="179"/>
      <c r="BQ58" s="179"/>
      <c r="BR58" s="179"/>
      <c r="BS58" s="179"/>
      <c r="BT58" s="179"/>
      <c r="BU58" s="179"/>
      <c r="BV58" s="179"/>
      <c r="BW58" s="179"/>
      <c r="BX58" s="179"/>
      <c r="BY58" s="179"/>
      <c r="BZ58" s="179"/>
      <c r="CA58" s="179"/>
      <c r="CB58" s="179"/>
      <c r="CC58" s="179"/>
      <c r="CD58" s="179"/>
      <c r="CE58" s="179"/>
      <c r="CF58" s="179"/>
      <c r="CG58" s="179"/>
      <c r="CH58" s="179"/>
      <c r="CI58" s="179"/>
      <c r="CJ58" s="179"/>
      <c r="CK58" s="179"/>
      <c r="CL58" s="179"/>
      <c r="CM58" s="179"/>
      <c r="CN58" s="179"/>
      <c r="CO58" s="179"/>
      <c r="CP58" s="179"/>
      <c r="CQ58" s="179"/>
      <c r="CR58" s="179"/>
      <c r="CS58" s="179"/>
      <c r="CT58" s="179"/>
      <c r="CU58" s="179"/>
      <c r="CV58" s="179"/>
      <c r="CW58" s="179"/>
      <c r="CX58" s="179"/>
      <c r="CY58" s="179"/>
      <c r="CZ58" s="179"/>
      <c r="DA58" s="179"/>
      <c r="DB58" s="179"/>
      <c r="DC58" s="179"/>
      <c r="DD58" s="179"/>
      <c r="DE58" s="179"/>
      <c r="DF58" s="179"/>
      <c r="DG58" s="179"/>
      <c r="DH58" s="179"/>
      <c r="DI58" s="179"/>
      <c r="DJ58" s="179"/>
      <c r="DK58" s="179"/>
      <c r="DL58" s="179"/>
      <c r="DM58" s="179"/>
      <c r="DN58" s="179"/>
      <c r="DO58" s="179"/>
      <c r="DP58" s="179"/>
      <c r="DQ58" s="179"/>
      <c r="DR58" s="179"/>
      <c r="DS58" s="179"/>
      <c r="DT58" s="179"/>
      <c r="DU58" s="179"/>
      <c r="DV58" s="179"/>
      <c r="DW58" s="179"/>
      <c r="DX58" s="179"/>
      <c r="DY58" s="179"/>
      <c r="DZ58" s="179"/>
      <c r="EA58" s="179"/>
      <c r="EB58" s="179"/>
      <c r="EC58" s="179"/>
      <c r="ED58" s="179"/>
      <c r="EE58" s="179"/>
      <c r="EF58" s="179"/>
      <c r="EG58" s="179"/>
    </row>
    <row r="59" spans="1:137" s="351" customFormat="1" ht="38.25">
      <c r="A59" s="178">
        <v>58</v>
      </c>
      <c r="B59" s="187" t="s">
        <v>2044</v>
      </c>
      <c r="C59" s="191" t="s">
        <v>2018</v>
      </c>
      <c r="D59" s="385" t="s">
        <v>4064</v>
      </c>
      <c r="E59" s="13" t="s">
        <v>1621</v>
      </c>
      <c r="F59" s="191" t="s">
        <v>3892</v>
      </c>
      <c r="G59" s="191" t="s">
        <v>4006</v>
      </c>
      <c r="H59" s="272">
        <v>43272</v>
      </c>
      <c r="I59" s="187" t="s">
        <v>2077</v>
      </c>
      <c r="J59" s="195">
        <v>43225</v>
      </c>
      <c r="K59" s="178">
        <f t="shared" si="0"/>
        <v>2018</v>
      </c>
      <c r="L59" s="178">
        <f t="shared" si="1"/>
        <v>5</v>
      </c>
      <c r="M59" s="195">
        <v>43272</v>
      </c>
      <c r="N59" s="463">
        <v>4.5</v>
      </c>
      <c r="O59" s="343">
        <v>43</v>
      </c>
      <c r="P59" s="179"/>
      <c r="Q59" s="179"/>
      <c r="R59" s="179"/>
      <c r="S59" s="179"/>
      <c r="T59" s="179"/>
      <c r="U59" s="179"/>
      <c r="V59" s="179"/>
      <c r="W59" s="179"/>
      <c r="X59" s="179"/>
      <c r="Y59" s="179"/>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c r="BE59" s="179"/>
      <c r="BF59" s="179"/>
      <c r="BG59" s="179"/>
      <c r="BH59" s="179"/>
      <c r="BI59" s="179"/>
      <c r="BJ59" s="179"/>
      <c r="BK59" s="179"/>
      <c r="BL59" s="179"/>
      <c r="BM59" s="179"/>
      <c r="BN59" s="179"/>
      <c r="BO59" s="179"/>
      <c r="BP59" s="179"/>
      <c r="BQ59" s="179"/>
      <c r="BR59" s="179"/>
      <c r="BS59" s="179"/>
      <c r="BT59" s="179"/>
      <c r="BU59" s="179"/>
      <c r="BV59" s="179"/>
      <c r="BW59" s="179"/>
      <c r="BX59" s="179"/>
      <c r="BY59" s="179"/>
      <c r="BZ59" s="179"/>
      <c r="CA59" s="179"/>
      <c r="CB59" s="179"/>
      <c r="CC59" s="179"/>
      <c r="CD59" s="179"/>
      <c r="CE59" s="179"/>
      <c r="CF59" s="179"/>
      <c r="CG59" s="179"/>
      <c r="CH59" s="179"/>
      <c r="CI59" s="179"/>
      <c r="CJ59" s="179"/>
      <c r="CK59" s="179"/>
      <c r="CL59" s="179"/>
      <c r="CM59" s="179"/>
      <c r="CN59" s="179"/>
      <c r="CO59" s="179"/>
      <c r="CP59" s="179"/>
      <c r="CQ59" s="179"/>
      <c r="CR59" s="179"/>
      <c r="CS59" s="179"/>
      <c r="CT59" s="179"/>
      <c r="CU59" s="179"/>
      <c r="CV59" s="179"/>
      <c r="CW59" s="179"/>
      <c r="CX59" s="179"/>
      <c r="CY59" s="179"/>
      <c r="CZ59" s="179"/>
      <c r="DA59" s="179"/>
      <c r="DB59" s="179"/>
      <c r="DC59" s="179"/>
      <c r="DD59" s="179"/>
      <c r="DE59" s="179"/>
      <c r="DF59" s="179"/>
      <c r="DG59" s="179"/>
      <c r="DH59" s="179"/>
      <c r="DI59" s="179"/>
      <c r="DJ59" s="179"/>
      <c r="DK59" s="179"/>
      <c r="DL59" s="179"/>
      <c r="DM59" s="179"/>
      <c r="DN59" s="179"/>
      <c r="DO59" s="179"/>
      <c r="DP59" s="179"/>
      <c r="DQ59" s="179"/>
      <c r="DR59" s="179"/>
      <c r="DS59" s="179"/>
      <c r="DT59" s="179"/>
      <c r="DU59" s="179"/>
      <c r="DV59" s="179"/>
      <c r="DW59" s="179"/>
      <c r="DX59" s="179"/>
      <c r="DY59" s="179"/>
      <c r="DZ59" s="179"/>
      <c r="EA59" s="179"/>
      <c r="EB59" s="179"/>
      <c r="EC59" s="179"/>
      <c r="ED59" s="179"/>
      <c r="EE59" s="179"/>
      <c r="EF59" s="179"/>
      <c r="EG59" s="179"/>
    </row>
    <row r="60" spans="1:137" s="351" customFormat="1" ht="25.5">
      <c r="A60" s="178">
        <v>59</v>
      </c>
      <c r="B60" s="187" t="s">
        <v>2044</v>
      </c>
      <c r="C60" s="191" t="s">
        <v>2018</v>
      </c>
      <c r="D60" s="191" t="s">
        <v>4074</v>
      </c>
      <c r="E60" s="189" t="s">
        <v>3831</v>
      </c>
      <c r="F60" s="459" t="s">
        <v>3893</v>
      </c>
      <c r="G60" s="191" t="s">
        <v>4007</v>
      </c>
      <c r="H60" s="272">
        <v>43272</v>
      </c>
      <c r="I60" s="187" t="s">
        <v>2077</v>
      </c>
      <c r="J60" s="195">
        <v>43266</v>
      </c>
      <c r="K60" s="178">
        <f t="shared" si="0"/>
        <v>2018</v>
      </c>
      <c r="L60" s="178">
        <f t="shared" si="1"/>
        <v>6</v>
      </c>
      <c r="M60" s="195">
        <v>43272</v>
      </c>
      <c r="N60" s="464"/>
      <c r="O60" s="343">
        <v>35</v>
      </c>
      <c r="P60" s="179"/>
      <c r="Q60" s="179"/>
      <c r="R60" s="179"/>
      <c r="S60" s="179"/>
      <c r="T60" s="179"/>
      <c r="U60" s="179"/>
      <c r="V60" s="179"/>
      <c r="W60" s="179"/>
      <c r="X60" s="179"/>
      <c r="Y60" s="179"/>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c r="BE60" s="179"/>
      <c r="BF60" s="179"/>
      <c r="BG60" s="179"/>
      <c r="BH60" s="179"/>
      <c r="BI60" s="179"/>
      <c r="BJ60" s="179"/>
      <c r="BK60" s="179"/>
      <c r="BL60" s="179"/>
      <c r="BM60" s="179"/>
      <c r="BN60" s="179"/>
      <c r="BO60" s="179"/>
      <c r="BP60" s="179"/>
      <c r="BQ60" s="179"/>
      <c r="BR60" s="179"/>
      <c r="BS60" s="179"/>
      <c r="BT60" s="179"/>
      <c r="BU60" s="179"/>
      <c r="BV60" s="179"/>
      <c r="BW60" s="179"/>
      <c r="BX60" s="179"/>
      <c r="BY60" s="179"/>
      <c r="BZ60" s="179"/>
      <c r="CA60" s="179"/>
      <c r="CB60" s="179"/>
      <c r="CC60" s="179"/>
      <c r="CD60" s="179"/>
      <c r="CE60" s="179"/>
      <c r="CF60" s="179"/>
      <c r="CG60" s="179"/>
      <c r="CH60" s="179"/>
      <c r="CI60" s="179"/>
      <c r="CJ60" s="179"/>
      <c r="CK60" s="179"/>
      <c r="CL60" s="179"/>
      <c r="CM60" s="179"/>
      <c r="CN60" s="179"/>
      <c r="CO60" s="179"/>
      <c r="CP60" s="179"/>
      <c r="CQ60" s="179"/>
      <c r="CR60" s="179"/>
      <c r="CS60" s="179"/>
      <c r="CT60" s="179"/>
      <c r="CU60" s="179"/>
      <c r="CV60" s="179"/>
      <c r="CW60" s="179"/>
      <c r="CX60" s="179"/>
      <c r="CY60" s="179"/>
      <c r="CZ60" s="179"/>
      <c r="DA60" s="179"/>
      <c r="DB60" s="179"/>
      <c r="DC60" s="179"/>
      <c r="DD60" s="179"/>
      <c r="DE60" s="179"/>
      <c r="DF60" s="179"/>
      <c r="DG60" s="179"/>
      <c r="DH60" s="179"/>
      <c r="DI60" s="179"/>
      <c r="DJ60" s="179"/>
      <c r="DK60" s="179"/>
      <c r="DL60" s="179"/>
      <c r="DM60" s="179"/>
      <c r="DN60" s="179"/>
      <c r="DO60" s="179"/>
      <c r="DP60" s="179"/>
      <c r="DQ60" s="179"/>
      <c r="DR60" s="179"/>
      <c r="DS60" s="179"/>
      <c r="DT60" s="179"/>
      <c r="DU60" s="179"/>
      <c r="DV60" s="179"/>
      <c r="DW60" s="179"/>
      <c r="DX60" s="179"/>
      <c r="DY60" s="179"/>
      <c r="DZ60" s="179"/>
      <c r="EA60" s="179"/>
      <c r="EB60" s="179"/>
      <c r="EC60" s="179"/>
      <c r="ED60" s="179"/>
      <c r="EE60" s="179"/>
      <c r="EF60" s="179"/>
      <c r="EG60" s="179"/>
    </row>
    <row r="61" spans="1:137" s="351" customFormat="1" ht="25.5">
      <c r="A61" s="178">
        <v>60</v>
      </c>
      <c r="B61" s="187" t="s">
        <v>2044</v>
      </c>
      <c r="C61" s="191" t="s">
        <v>2018</v>
      </c>
      <c r="D61" s="191" t="s">
        <v>4074</v>
      </c>
      <c r="E61" s="189" t="s">
        <v>3831</v>
      </c>
      <c r="F61" s="455"/>
      <c r="G61" s="191" t="s">
        <v>4008</v>
      </c>
      <c r="H61" s="272">
        <v>43272</v>
      </c>
      <c r="I61" s="187" t="s">
        <v>2077</v>
      </c>
      <c r="J61" s="195">
        <v>43266</v>
      </c>
      <c r="K61" s="178">
        <f t="shared" si="0"/>
        <v>2018</v>
      </c>
      <c r="L61" s="178">
        <f t="shared" si="1"/>
        <v>6</v>
      </c>
      <c r="M61" s="195">
        <v>43272</v>
      </c>
      <c r="N61" s="465"/>
      <c r="O61" s="343">
        <v>8</v>
      </c>
      <c r="P61" s="179"/>
      <c r="Q61" s="179"/>
      <c r="R61" s="179"/>
      <c r="S61" s="179"/>
      <c r="T61" s="179"/>
      <c r="U61" s="179"/>
      <c r="V61" s="179"/>
      <c r="W61" s="179"/>
      <c r="X61" s="179"/>
      <c r="Y61" s="179"/>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c r="BE61" s="179"/>
      <c r="BF61" s="179"/>
      <c r="BG61" s="179"/>
      <c r="BH61" s="179"/>
      <c r="BI61" s="179"/>
      <c r="BJ61" s="179"/>
      <c r="BK61" s="179"/>
      <c r="BL61" s="179"/>
      <c r="BM61" s="179"/>
      <c r="BN61" s="179"/>
      <c r="BO61" s="179"/>
      <c r="BP61" s="179"/>
      <c r="BQ61" s="179"/>
      <c r="BR61" s="179"/>
      <c r="BS61" s="179"/>
      <c r="BT61" s="179"/>
      <c r="BU61" s="179"/>
      <c r="BV61" s="179"/>
      <c r="BW61" s="179"/>
      <c r="BX61" s="179"/>
      <c r="BY61" s="179"/>
      <c r="BZ61" s="179"/>
      <c r="CA61" s="179"/>
      <c r="CB61" s="179"/>
      <c r="CC61" s="179"/>
      <c r="CD61" s="179"/>
      <c r="CE61" s="179"/>
      <c r="CF61" s="179"/>
      <c r="CG61" s="179"/>
      <c r="CH61" s="179"/>
      <c r="CI61" s="179"/>
      <c r="CJ61" s="179"/>
      <c r="CK61" s="179"/>
      <c r="CL61" s="179"/>
      <c r="CM61" s="179"/>
      <c r="CN61" s="179"/>
      <c r="CO61" s="179"/>
      <c r="CP61" s="179"/>
      <c r="CQ61" s="179"/>
      <c r="CR61" s="179"/>
      <c r="CS61" s="179"/>
      <c r="CT61" s="179"/>
      <c r="CU61" s="179"/>
      <c r="CV61" s="179"/>
      <c r="CW61" s="179"/>
      <c r="CX61" s="179"/>
      <c r="CY61" s="179"/>
      <c r="CZ61" s="179"/>
      <c r="DA61" s="179"/>
      <c r="DB61" s="179"/>
      <c r="DC61" s="179"/>
      <c r="DD61" s="179"/>
      <c r="DE61" s="179"/>
      <c r="DF61" s="179"/>
      <c r="DG61" s="179"/>
      <c r="DH61" s="179"/>
      <c r="DI61" s="179"/>
      <c r="DJ61" s="179"/>
      <c r="DK61" s="179"/>
      <c r="DL61" s="179"/>
      <c r="DM61" s="179"/>
      <c r="DN61" s="179"/>
      <c r="DO61" s="179"/>
      <c r="DP61" s="179"/>
      <c r="DQ61" s="179"/>
      <c r="DR61" s="179"/>
      <c r="DS61" s="179"/>
      <c r="DT61" s="179"/>
      <c r="DU61" s="179"/>
      <c r="DV61" s="179"/>
      <c r="DW61" s="179"/>
      <c r="DX61" s="179"/>
      <c r="DY61" s="179"/>
      <c r="DZ61" s="179"/>
      <c r="EA61" s="179"/>
      <c r="EB61" s="179"/>
      <c r="EC61" s="179"/>
      <c r="ED61" s="179"/>
      <c r="EE61" s="179"/>
      <c r="EF61" s="179"/>
      <c r="EG61" s="179"/>
    </row>
    <row r="62" spans="1:137" s="351" customFormat="1" ht="51">
      <c r="A62" s="178">
        <v>61</v>
      </c>
      <c r="B62" s="187" t="s">
        <v>2044</v>
      </c>
      <c r="C62" s="191" t="s">
        <v>2018</v>
      </c>
      <c r="D62" s="191" t="s">
        <v>4074</v>
      </c>
      <c r="E62" s="189" t="s">
        <v>3831</v>
      </c>
      <c r="F62" s="242" t="s">
        <v>3894</v>
      </c>
      <c r="G62" s="191" t="s">
        <v>4007</v>
      </c>
      <c r="H62" s="272">
        <v>43284</v>
      </c>
      <c r="I62" s="187" t="s">
        <v>2077</v>
      </c>
      <c r="J62" s="195">
        <v>43283</v>
      </c>
      <c r="K62" s="178">
        <f t="shared" si="0"/>
        <v>2018</v>
      </c>
      <c r="L62" s="178">
        <f t="shared" si="1"/>
        <v>7</v>
      </c>
      <c r="M62" s="195">
        <v>43285</v>
      </c>
      <c r="N62" s="341">
        <v>1.7</v>
      </c>
      <c r="O62" s="343">
        <v>3</v>
      </c>
      <c r="P62" s="179"/>
      <c r="Q62" s="179"/>
      <c r="R62" s="179"/>
      <c r="S62" s="179"/>
      <c r="T62" s="179"/>
      <c r="U62" s="179"/>
      <c r="V62" s="179"/>
      <c r="W62" s="179"/>
      <c r="X62" s="179"/>
      <c r="Y62" s="179"/>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c r="BE62" s="179"/>
      <c r="BF62" s="179"/>
      <c r="BG62" s="179"/>
      <c r="BH62" s="179"/>
      <c r="BI62" s="179"/>
      <c r="BJ62" s="179"/>
      <c r="BK62" s="179"/>
      <c r="BL62" s="179"/>
      <c r="BM62" s="179"/>
      <c r="BN62" s="179"/>
      <c r="BO62" s="179"/>
      <c r="BP62" s="179"/>
      <c r="BQ62" s="179"/>
      <c r="BR62" s="179"/>
      <c r="BS62" s="179"/>
      <c r="BT62" s="179"/>
      <c r="BU62" s="179"/>
      <c r="BV62" s="179"/>
      <c r="BW62" s="179"/>
      <c r="BX62" s="179"/>
      <c r="BY62" s="179"/>
      <c r="BZ62" s="179"/>
      <c r="CA62" s="179"/>
      <c r="CB62" s="179"/>
      <c r="CC62" s="179"/>
      <c r="CD62" s="179"/>
      <c r="CE62" s="179"/>
      <c r="CF62" s="179"/>
      <c r="CG62" s="179"/>
      <c r="CH62" s="179"/>
      <c r="CI62" s="179"/>
      <c r="CJ62" s="179"/>
      <c r="CK62" s="179"/>
      <c r="CL62" s="179"/>
      <c r="CM62" s="179"/>
      <c r="CN62" s="179"/>
      <c r="CO62" s="179"/>
      <c r="CP62" s="179"/>
      <c r="CQ62" s="179"/>
      <c r="CR62" s="179"/>
      <c r="CS62" s="179"/>
      <c r="CT62" s="179"/>
      <c r="CU62" s="179"/>
      <c r="CV62" s="179"/>
      <c r="CW62" s="179"/>
      <c r="CX62" s="179"/>
      <c r="CY62" s="179"/>
      <c r="CZ62" s="179"/>
      <c r="DA62" s="179"/>
      <c r="DB62" s="179"/>
      <c r="DC62" s="179"/>
      <c r="DD62" s="179"/>
      <c r="DE62" s="179"/>
      <c r="DF62" s="179"/>
      <c r="DG62" s="179"/>
      <c r="DH62" s="179"/>
      <c r="DI62" s="179"/>
      <c r="DJ62" s="179"/>
      <c r="DK62" s="179"/>
      <c r="DL62" s="179"/>
      <c r="DM62" s="179"/>
      <c r="DN62" s="179"/>
      <c r="DO62" s="179"/>
      <c r="DP62" s="179"/>
      <c r="DQ62" s="179"/>
      <c r="DR62" s="179"/>
      <c r="DS62" s="179"/>
      <c r="DT62" s="179"/>
      <c r="DU62" s="179"/>
      <c r="DV62" s="179"/>
      <c r="DW62" s="179"/>
      <c r="DX62" s="179"/>
      <c r="DY62" s="179"/>
      <c r="DZ62" s="179"/>
      <c r="EA62" s="179"/>
      <c r="EB62" s="179"/>
      <c r="EC62" s="179"/>
      <c r="ED62" s="179"/>
      <c r="EE62" s="179"/>
      <c r="EF62" s="179"/>
      <c r="EG62" s="179"/>
    </row>
    <row r="63" spans="1:137" s="351" customFormat="1" ht="25.5">
      <c r="A63" s="178">
        <v>62</v>
      </c>
      <c r="B63" s="187" t="s">
        <v>2044</v>
      </c>
      <c r="C63" s="191" t="s">
        <v>2020</v>
      </c>
      <c r="D63" s="385" t="s">
        <v>4064</v>
      </c>
      <c r="E63" s="13" t="s">
        <v>3667</v>
      </c>
      <c r="F63" s="191" t="s">
        <v>3895</v>
      </c>
      <c r="G63" s="191" t="s">
        <v>4009</v>
      </c>
      <c r="H63" s="272"/>
      <c r="I63" s="185"/>
      <c r="J63" s="195">
        <v>43226</v>
      </c>
      <c r="K63" s="178">
        <f t="shared" si="0"/>
        <v>2018</v>
      </c>
      <c r="L63" s="178">
        <f t="shared" si="1"/>
        <v>5</v>
      </c>
      <c r="M63" s="469">
        <v>43308</v>
      </c>
      <c r="N63" s="463">
        <v>4</v>
      </c>
      <c r="O63" s="343">
        <v>26</v>
      </c>
      <c r="P63" s="179"/>
      <c r="Q63" s="179"/>
      <c r="R63" s="179"/>
      <c r="S63" s="179"/>
      <c r="T63" s="179"/>
      <c r="U63" s="179"/>
      <c r="V63" s="179"/>
      <c r="W63" s="179"/>
      <c r="X63" s="179"/>
      <c r="Y63" s="179"/>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c r="BE63" s="179"/>
      <c r="BF63" s="179"/>
      <c r="BG63" s="179"/>
      <c r="BH63" s="179"/>
      <c r="BI63" s="179"/>
      <c r="BJ63" s="179"/>
      <c r="BK63" s="179"/>
      <c r="BL63" s="179"/>
      <c r="BM63" s="179"/>
      <c r="BN63" s="179"/>
      <c r="BO63" s="179"/>
      <c r="BP63" s="179"/>
      <c r="BQ63" s="179"/>
      <c r="BR63" s="179"/>
      <c r="BS63" s="179"/>
      <c r="BT63" s="179"/>
      <c r="BU63" s="179"/>
      <c r="BV63" s="179"/>
      <c r="BW63" s="179"/>
      <c r="BX63" s="179"/>
      <c r="BY63" s="179"/>
      <c r="BZ63" s="179"/>
      <c r="CA63" s="179"/>
      <c r="CB63" s="179"/>
      <c r="CC63" s="179"/>
      <c r="CD63" s="179"/>
      <c r="CE63" s="179"/>
      <c r="CF63" s="179"/>
      <c r="CG63" s="179"/>
      <c r="CH63" s="179"/>
      <c r="CI63" s="179"/>
      <c r="CJ63" s="179"/>
      <c r="CK63" s="179"/>
      <c r="CL63" s="179"/>
      <c r="CM63" s="179"/>
      <c r="CN63" s="179"/>
      <c r="CO63" s="179"/>
      <c r="CP63" s="179"/>
      <c r="CQ63" s="179"/>
      <c r="CR63" s="179"/>
      <c r="CS63" s="179"/>
      <c r="CT63" s="179"/>
      <c r="CU63" s="179"/>
      <c r="CV63" s="179"/>
      <c r="CW63" s="179"/>
      <c r="CX63" s="179"/>
      <c r="CY63" s="179"/>
      <c r="CZ63" s="179"/>
      <c r="DA63" s="179"/>
      <c r="DB63" s="179"/>
      <c r="DC63" s="179"/>
      <c r="DD63" s="179"/>
      <c r="DE63" s="179"/>
      <c r="DF63" s="179"/>
      <c r="DG63" s="179"/>
      <c r="DH63" s="179"/>
      <c r="DI63" s="179"/>
      <c r="DJ63" s="179"/>
      <c r="DK63" s="179"/>
      <c r="DL63" s="179"/>
      <c r="DM63" s="179"/>
      <c r="DN63" s="179"/>
      <c r="DO63" s="179"/>
      <c r="DP63" s="179"/>
      <c r="DQ63" s="179"/>
      <c r="DR63" s="179"/>
      <c r="DS63" s="179"/>
      <c r="DT63" s="179"/>
      <c r="DU63" s="179"/>
      <c r="DV63" s="179"/>
      <c r="DW63" s="179"/>
      <c r="DX63" s="179"/>
      <c r="DY63" s="179"/>
      <c r="DZ63" s="179"/>
      <c r="EA63" s="179"/>
      <c r="EB63" s="179"/>
      <c r="EC63" s="179"/>
      <c r="ED63" s="179"/>
      <c r="EE63" s="179"/>
      <c r="EF63" s="179"/>
      <c r="EG63" s="179"/>
    </row>
    <row r="64" spans="1:137" s="351" customFormat="1">
      <c r="A64" s="178">
        <v>63</v>
      </c>
      <c r="B64" s="187" t="s">
        <v>2044</v>
      </c>
      <c r="C64" s="191" t="s">
        <v>2020</v>
      </c>
      <c r="D64" s="203" t="s">
        <v>4072</v>
      </c>
      <c r="E64" s="189" t="s">
        <v>2076</v>
      </c>
      <c r="F64" s="191" t="s">
        <v>3895</v>
      </c>
      <c r="G64" s="191" t="s">
        <v>4010</v>
      </c>
      <c r="H64" s="272"/>
      <c r="I64" s="185"/>
      <c r="J64" s="195">
        <v>43287</v>
      </c>
      <c r="K64" s="178">
        <f t="shared" si="0"/>
        <v>2018</v>
      </c>
      <c r="L64" s="178">
        <f t="shared" si="1"/>
        <v>7</v>
      </c>
      <c r="M64" s="470"/>
      <c r="N64" s="464"/>
      <c r="O64" s="343">
        <v>15</v>
      </c>
      <c r="P64" s="179"/>
      <c r="Q64" s="179"/>
      <c r="R64" s="179"/>
      <c r="S64" s="179"/>
      <c r="T64" s="179"/>
      <c r="U64" s="179"/>
      <c r="V64" s="179"/>
      <c r="W64" s="179"/>
      <c r="X64" s="179"/>
      <c r="Y64" s="179"/>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c r="BE64" s="179"/>
      <c r="BF64" s="179"/>
      <c r="BG64" s="179"/>
      <c r="BH64" s="179"/>
      <c r="BI64" s="179"/>
      <c r="BJ64" s="179"/>
      <c r="BK64" s="179"/>
      <c r="BL64" s="179"/>
      <c r="BM64" s="179"/>
      <c r="BN64" s="179"/>
      <c r="BO64" s="179"/>
      <c r="BP64" s="179"/>
      <c r="BQ64" s="179"/>
      <c r="BR64" s="179"/>
      <c r="BS64" s="179"/>
      <c r="BT64" s="179"/>
      <c r="BU64" s="179"/>
      <c r="BV64" s="179"/>
      <c r="BW64" s="179"/>
      <c r="BX64" s="179"/>
      <c r="BY64" s="179"/>
      <c r="BZ64" s="179"/>
      <c r="CA64" s="179"/>
      <c r="CB64" s="179"/>
      <c r="CC64" s="179"/>
      <c r="CD64" s="179"/>
      <c r="CE64" s="179"/>
      <c r="CF64" s="179"/>
      <c r="CG64" s="179"/>
      <c r="CH64" s="179"/>
      <c r="CI64" s="179"/>
      <c r="CJ64" s="179"/>
      <c r="CK64" s="179"/>
      <c r="CL64" s="179"/>
      <c r="CM64" s="179"/>
      <c r="CN64" s="179"/>
      <c r="CO64" s="179"/>
      <c r="CP64" s="179"/>
      <c r="CQ64" s="179"/>
      <c r="CR64" s="179"/>
      <c r="CS64" s="179"/>
      <c r="CT64" s="179"/>
      <c r="CU64" s="179"/>
      <c r="CV64" s="179"/>
      <c r="CW64" s="179"/>
      <c r="CX64" s="179"/>
      <c r="CY64" s="179"/>
      <c r="CZ64" s="179"/>
      <c r="DA64" s="179"/>
      <c r="DB64" s="179"/>
      <c r="DC64" s="179"/>
      <c r="DD64" s="179"/>
      <c r="DE64" s="179"/>
      <c r="DF64" s="179"/>
      <c r="DG64" s="179"/>
      <c r="DH64" s="179"/>
      <c r="DI64" s="179"/>
      <c r="DJ64" s="179"/>
      <c r="DK64" s="179"/>
      <c r="DL64" s="179"/>
      <c r="DM64" s="179"/>
      <c r="DN64" s="179"/>
      <c r="DO64" s="179"/>
      <c r="DP64" s="179"/>
      <c r="DQ64" s="179"/>
      <c r="DR64" s="179"/>
      <c r="DS64" s="179"/>
      <c r="DT64" s="179"/>
      <c r="DU64" s="179"/>
      <c r="DV64" s="179"/>
      <c r="DW64" s="179"/>
      <c r="DX64" s="179"/>
      <c r="DY64" s="179"/>
      <c r="DZ64" s="179"/>
      <c r="EA64" s="179"/>
      <c r="EB64" s="179"/>
      <c r="EC64" s="179"/>
      <c r="ED64" s="179"/>
      <c r="EE64" s="179"/>
      <c r="EF64" s="179"/>
      <c r="EG64" s="179"/>
    </row>
    <row r="65" spans="1:137" s="353" customFormat="1">
      <c r="A65" s="178">
        <v>64</v>
      </c>
      <c r="B65" s="187" t="s">
        <v>201</v>
      </c>
      <c r="C65" s="191" t="s">
        <v>2020</v>
      </c>
      <c r="D65" s="191"/>
      <c r="E65" s="13" t="s">
        <v>3669</v>
      </c>
      <c r="F65" s="191" t="s">
        <v>3895</v>
      </c>
      <c r="G65" s="191" t="s">
        <v>4011</v>
      </c>
      <c r="H65" s="272"/>
      <c r="I65" s="185"/>
      <c r="J65" s="195"/>
      <c r="K65" s="178"/>
      <c r="L65" s="178"/>
      <c r="M65" s="471"/>
      <c r="N65" s="465"/>
      <c r="O65" s="343"/>
      <c r="P65" s="179"/>
      <c r="Q65" s="179"/>
      <c r="R65" s="179"/>
      <c r="S65" s="179"/>
      <c r="T65" s="179"/>
      <c r="U65" s="179"/>
      <c r="V65" s="179"/>
      <c r="W65" s="179"/>
      <c r="X65" s="179"/>
      <c r="Y65" s="179"/>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c r="BE65" s="179"/>
      <c r="BF65" s="179"/>
      <c r="BG65" s="179"/>
      <c r="BH65" s="179"/>
      <c r="BI65" s="179"/>
      <c r="BJ65" s="179"/>
      <c r="BK65" s="179"/>
      <c r="BL65" s="179"/>
      <c r="BM65" s="179"/>
      <c r="BN65" s="179"/>
      <c r="BO65" s="179"/>
      <c r="BP65" s="179"/>
      <c r="BQ65" s="179"/>
      <c r="BR65" s="179"/>
      <c r="BS65" s="179"/>
      <c r="BT65" s="179"/>
      <c r="BU65" s="179"/>
      <c r="BV65" s="179"/>
      <c r="BW65" s="179"/>
      <c r="BX65" s="179"/>
      <c r="BY65" s="179"/>
      <c r="BZ65" s="179"/>
      <c r="CA65" s="179"/>
      <c r="CB65" s="179"/>
      <c r="CC65" s="179"/>
      <c r="CD65" s="179"/>
      <c r="CE65" s="179"/>
      <c r="CF65" s="179"/>
      <c r="CG65" s="179"/>
      <c r="CH65" s="179"/>
      <c r="CI65" s="179"/>
      <c r="CJ65" s="179"/>
      <c r="CK65" s="179"/>
      <c r="CL65" s="179"/>
      <c r="CM65" s="179"/>
      <c r="CN65" s="179"/>
      <c r="CO65" s="179"/>
      <c r="CP65" s="179"/>
      <c r="CQ65" s="179"/>
      <c r="CR65" s="179"/>
      <c r="CS65" s="179"/>
      <c r="CT65" s="179"/>
      <c r="CU65" s="179"/>
      <c r="CV65" s="179"/>
      <c r="CW65" s="179"/>
      <c r="CX65" s="179"/>
      <c r="CY65" s="179"/>
      <c r="CZ65" s="179"/>
      <c r="DA65" s="179"/>
      <c r="DB65" s="179"/>
      <c r="DC65" s="179"/>
      <c r="DD65" s="179"/>
      <c r="DE65" s="179"/>
      <c r="DF65" s="179"/>
      <c r="DG65" s="179"/>
      <c r="DH65" s="179"/>
      <c r="DI65" s="179"/>
      <c r="DJ65" s="179"/>
      <c r="DK65" s="179"/>
      <c r="DL65" s="179"/>
      <c r="DM65" s="179"/>
      <c r="DN65" s="179"/>
      <c r="DO65" s="179"/>
      <c r="DP65" s="179"/>
      <c r="DQ65" s="179"/>
      <c r="DR65" s="179"/>
      <c r="DS65" s="179"/>
      <c r="DT65" s="179"/>
      <c r="DU65" s="179"/>
      <c r="DV65" s="179"/>
      <c r="DW65" s="179"/>
      <c r="DX65" s="179"/>
      <c r="DY65" s="179"/>
      <c r="DZ65" s="179"/>
      <c r="EA65" s="179"/>
      <c r="EB65" s="179"/>
      <c r="EC65" s="179"/>
      <c r="ED65" s="179"/>
      <c r="EE65" s="179"/>
      <c r="EF65" s="179"/>
      <c r="EG65" s="179"/>
    </row>
    <row r="66" spans="1:137" s="353" customFormat="1" ht="25.5">
      <c r="A66" s="235">
        <v>65</v>
      </c>
      <c r="B66" s="235" t="s">
        <v>2048</v>
      </c>
      <c r="C66" s="203" t="s">
        <v>2021</v>
      </c>
      <c r="D66" s="203" t="s">
        <v>4072</v>
      </c>
      <c r="E66" s="236" t="s">
        <v>2076</v>
      </c>
      <c r="F66" s="236" t="s">
        <v>3871</v>
      </c>
      <c r="G66" s="236" t="s">
        <v>4010</v>
      </c>
      <c r="H66" s="238" t="s">
        <v>2023</v>
      </c>
      <c r="I66" s="235"/>
      <c r="J66" s="237">
        <v>43227</v>
      </c>
      <c r="K66" s="235">
        <f t="shared" si="0"/>
        <v>2018</v>
      </c>
      <c r="L66" s="235">
        <f t="shared" si="1"/>
        <v>5</v>
      </c>
      <c r="M66" s="237"/>
      <c r="N66" s="342"/>
      <c r="O66" s="488"/>
      <c r="P66" s="179"/>
      <c r="Q66" s="179"/>
      <c r="R66" s="179"/>
      <c r="S66" s="179"/>
      <c r="T66" s="179"/>
      <c r="U66" s="179"/>
      <c r="V66" s="179"/>
      <c r="W66" s="179"/>
      <c r="X66" s="179"/>
      <c r="Y66" s="179"/>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c r="BE66" s="179"/>
      <c r="BF66" s="179"/>
      <c r="BG66" s="179"/>
      <c r="BH66" s="179"/>
      <c r="BI66" s="179"/>
      <c r="BJ66" s="179"/>
      <c r="BK66" s="179"/>
      <c r="BL66" s="179"/>
      <c r="BM66" s="179"/>
      <c r="BN66" s="179"/>
      <c r="BO66" s="179"/>
      <c r="BP66" s="179"/>
      <c r="BQ66" s="179"/>
      <c r="BR66" s="179"/>
      <c r="BS66" s="179"/>
      <c r="BT66" s="179"/>
      <c r="BU66" s="179"/>
      <c r="BV66" s="179"/>
      <c r="BW66" s="179"/>
      <c r="BX66" s="179"/>
      <c r="BY66" s="179"/>
      <c r="BZ66" s="179"/>
      <c r="CA66" s="179"/>
      <c r="CB66" s="179"/>
      <c r="CC66" s="179"/>
      <c r="CD66" s="179"/>
      <c r="CE66" s="179"/>
      <c r="CF66" s="179"/>
      <c r="CG66" s="179"/>
      <c r="CH66" s="179"/>
      <c r="CI66" s="179"/>
      <c r="CJ66" s="179"/>
      <c r="CK66" s="179"/>
      <c r="CL66" s="179"/>
      <c r="CM66" s="179"/>
      <c r="CN66" s="179"/>
      <c r="CO66" s="179"/>
      <c r="CP66" s="179"/>
      <c r="CQ66" s="179"/>
      <c r="CR66" s="179"/>
      <c r="CS66" s="179"/>
      <c r="CT66" s="179"/>
      <c r="CU66" s="179"/>
      <c r="CV66" s="179"/>
      <c r="CW66" s="179"/>
      <c r="CX66" s="179"/>
      <c r="CY66" s="179"/>
      <c r="CZ66" s="179"/>
      <c r="DA66" s="179"/>
      <c r="DB66" s="179"/>
      <c r="DC66" s="179"/>
      <c r="DD66" s="179"/>
      <c r="DE66" s="179"/>
      <c r="DF66" s="179"/>
      <c r="DG66" s="179"/>
      <c r="DH66" s="179"/>
      <c r="DI66" s="179"/>
      <c r="DJ66" s="179"/>
      <c r="DK66" s="179"/>
      <c r="DL66" s="179"/>
      <c r="DM66" s="179"/>
      <c r="DN66" s="179"/>
      <c r="DO66" s="179"/>
      <c r="DP66" s="179"/>
      <c r="DQ66" s="179"/>
      <c r="DR66" s="179"/>
      <c r="DS66" s="179"/>
      <c r="DT66" s="179"/>
      <c r="DU66" s="179"/>
      <c r="DV66" s="179"/>
      <c r="DW66" s="179"/>
      <c r="DX66" s="179"/>
      <c r="DY66" s="179"/>
      <c r="DZ66" s="179"/>
      <c r="EA66" s="179"/>
      <c r="EB66" s="179"/>
      <c r="EC66" s="179"/>
      <c r="ED66" s="179"/>
      <c r="EE66" s="179"/>
      <c r="EF66" s="179"/>
      <c r="EG66" s="179"/>
    </row>
    <row r="67" spans="1:137" s="352" customFormat="1" ht="25.5">
      <c r="A67" s="487">
        <v>66</v>
      </c>
      <c r="B67" s="487" t="s">
        <v>2046</v>
      </c>
      <c r="C67" s="489" t="s">
        <v>2024</v>
      </c>
      <c r="D67" s="489"/>
      <c r="E67" s="489" t="e">
        <v>#N/A</v>
      </c>
      <c r="F67" s="489" t="s">
        <v>3896</v>
      </c>
      <c r="G67" s="489" t="s">
        <v>3871</v>
      </c>
      <c r="H67" s="490"/>
      <c r="I67" s="487"/>
      <c r="J67" s="491">
        <v>43231</v>
      </c>
      <c r="K67" s="487">
        <f t="shared" ref="K67:K130" si="2">YEAR(J67)</f>
        <v>2018</v>
      </c>
      <c r="L67" s="487">
        <f t="shared" ref="L67:L130" si="3">MONTH(J67)</f>
        <v>5</v>
      </c>
      <c r="M67" s="491"/>
      <c r="N67" s="492"/>
      <c r="O67" s="493"/>
      <c r="P67" s="179"/>
      <c r="Q67" s="179"/>
      <c r="R67" s="179"/>
      <c r="S67" s="179"/>
      <c r="T67" s="179"/>
      <c r="U67" s="179"/>
      <c r="V67" s="179"/>
      <c r="W67" s="179"/>
      <c r="X67" s="179"/>
      <c r="Y67" s="179"/>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c r="BE67" s="179"/>
      <c r="BF67" s="179"/>
      <c r="BG67" s="179"/>
      <c r="BH67" s="179"/>
      <c r="BI67" s="179"/>
      <c r="BJ67" s="179"/>
      <c r="BK67" s="179"/>
      <c r="BL67" s="179"/>
      <c r="BM67" s="179"/>
      <c r="BN67" s="179"/>
      <c r="BO67" s="179"/>
      <c r="BP67" s="179"/>
      <c r="BQ67" s="179"/>
      <c r="BR67" s="179"/>
      <c r="BS67" s="179"/>
      <c r="BT67" s="179"/>
      <c r="BU67" s="179"/>
      <c r="BV67" s="179"/>
      <c r="BW67" s="179"/>
      <c r="BX67" s="179"/>
      <c r="BY67" s="179"/>
      <c r="BZ67" s="179"/>
      <c r="CA67" s="179"/>
      <c r="CB67" s="179"/>
      <c r="CC67" s="179"/>
      <c r="CD67" s="179"/>
      <c r="CE67" s="179"/>
      <c r="CF67" s="179"/>
      <c r="CG67" s="179"/>
      <c r="CH67" s="179"/>
      <c r="CI67" s="179"/>
      <c r="CJ67" s="179"/>
      <c r="CK67" s="179"/>
      <c r="CL67" s="179"/>
      <c r="CM67" s="179"/>
      <c r="CN67" s="179"/>
      <c r="CO67" s="179"/>
      <c r="CP67" s="179"/>
      <c r="CQ67" s="179"/>
      <c r="CR67" s="179"/>
      <c r="CS67" s="179"/>
      <c r="CT67" s="179"/>
      <c r="CU67" s="179"/>
      <c r="CV67" s="179"/>
      <c r="CW67" s="179"/>
      <c r="CX67" s="179"/>
      <c r="CY67" s="179"/>
      <c r="CZ67" s="179"/>
      <c r="DA67" s="179"/>
      <c r="DB67" s="179"/>
      <c r="DC67" s="179"/>
      <c r="DD67" s="179"/>
      <c r="DE67" s="179"/>
      <c r="DF67" s="179"/>
      <c r="DG67" s="179"/>
      <c r="DH67" s="179"/>
      <c r="DI67" s="179"/>
      <c r="DJ67" s="179"/>
      <c r="DK67" s="179"/>
      <c r="DL67" s="179"/>
      <c r="DM67" s="179"/>
      <c r="DN67" s="179"/>
      <c r="DO67" s="179"/>
      <c r="DP67" s="179"/>
      <c r="DQ67" s="179"/>
      <c r="DR67" s="179"/>
      <c r="DS67" s="179"/>
      <c r="DT67" s="179"/>
      <c r="DU67" s="179"/>
      <c r="DV67" s="179"/>
      <c r="DW67" s="179"/>
      <c r="DX67" s="179"/>
      <c r="DY67" s="179"/>
      <c r="DZ67" s="179"/>
      <c r="EA67" s="179"/>
      <c r="EB67" s="179"/>
      <c r="EC67" s="179"/>
      <c r="ED67" s="179"/>
      <c r="EE67" s="179"/>
      <c r="EF67" s="179"/>
      <c r="EG67" s="179"/>
    </row>
    <row r="68" spans="1:137" s="355" customFormat="1" ht="38.25">
      <c r="A68" s="178">
        <v>67</v>
      </c>
      <c r="B68" s="187" t="s">
        <v>2044</v>
      </c>
      <c r="C68" s="191" t="s">
        <v>1733</v>
      </c>
      <c r="D68" s="489" t="s">
        <v>4067</v>
      </c>
      <c r="E68" s="189" t="s">
        <v>2004</v>
      </c>
      <c r="F68" s="191" t="s">
        <v>3897</v>
      </c>
      <c r="G68" s="191" t="s">
        <v>4012</v>
      </c>
      <c r="H68" s="272">
        <v>43326</v>
      </c>
      <c r="I68" s="187"/>
      <c r="J68" s="218"/>
      <c r="K68" s="178">
        <v>2018</v>
      </c>
      <c r="L68" s="178"/>
      <c r="M68" s="218">
        <v>43324</v>
      </c>
      <c r="N68" s="339"/>
      <c r="O68" s="343">
        <v>50</v>
      </c>
      <c r="P68" s="179"/>
      <c r="Q68" s="179"/>
      <c r="R68" s="179"/>
      <c r="S68" s="179"/>
      <c r="T68" s="179"/>
      <c r="U68" s="179"/>
      <c r="V68" s="179"/>
      <c r="W68" s="179"/>
      <c r="X68" s="179"/>
      <c r="Y68" s="179"/>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c r="BE68" s="179"/>
      <c r="BF68" s="179"/>
      <c r="BG68" s="179"/>
      <c r="BH68" s="179"/>
      <c r="BI68" s="179"/>
      <c r="BJ68" s="179"/>
      <c r="BK68" s="179"/>
      <c r="BL68" s="179"/>
      <c r="BM68" s="179"/>
      <c r="BN68" s="179"/>
      <c r="BO68" s="179"/>
      <c r="BP68" s="179"/>
      <c r="BQ68" s="179"/>
      <c r="BR68" s="179"/>
      <c r="BS68" s="179"/>
      <c r="BT68" s="179"/>
      <c r="BU68" s="179"/>
      <c r="BV68" s="179"/>
      <c r="BW68" s="179"/>
      <c r="BX68" s="179"/>
      <c r="BY68" s="179"/>
      <c r="BZ68" s="179"/>
      <c r="CA68" s="179"/>
      <c r="CB68" s="179"/>
      <c r="CC68" s="179"/>
      <c r="CD68" s="179"/>
      <c r="CE68" s="179"/>
      <c r="CF68" s="179"/>
      <c r="CG68" s="179"/>
      <c r="CH68" s="179"/>
      <c r="CI68" s="179"/>
      <c r="CJ68" s="179"/>
      <c r="CK68" s="179"/>
      <c r="CL68" s="179"/>
      <c r="CM68" s="179"/>
      <c r="CN68" s="179"/>
      <c r="CO68" s="179"/>
      <c r="CP68" s="179"/>
      <c r="CQ68" s="179"/>
      <c r="CR68" s="179"/>
      <c r="CS68" s="179"/>
      <c r="CT68" s="179"/>
      <c r="CU68" s="179"/>
      <c r="CV68" s="179"/>
      <c r="CW68" s="179"/>
      <c r="CX68" s="179"/>
      <c r="CY68" s="179"/>
      <c r="CZ68" s="179"/>
      <c r="DA68" s="179"/>
      <c r="DB68" s="179"/>
      <c r="DC68" s="179"/>
      <c r="DD68" s="179"/>
      <c r="DE68" s="179"/>
      <c r="DF68" s="179"/>
      <c r="DG68" s="179"/>
      <c r="DH68" s="179"/>
      <c r="DI68" s="179"/>
      <c r="DJ68" s="179"/>
      <c r="DK68" s="179"/>
      <c r="DL68" s="179"/>
      <c r="DM68" s="179"/>
      <c r="DN68" s="179"/>
      <c r="DO68" s="179"/>
      <c r="DP68" s="179"/>
      <c r="DQ68" s="179"/>
      <c r="DR68" s="179"/>
      <c r="DS68" s="179"/>
      <c r="DT68" s="179"/>
      <c r="DU68" s="179"/>
      <c r="DV68" s="179"/>
      <c r="DW68" s="179"/>
      <c r="DX68" s="179"/>
      <c r="DY68" s="179"/>
      <c r="DZ68" s="179"/>
      <c r="EA68" s="179"/>
      <c r="EB68" s="179"/>
      <c r="EC68" s="179"/>
      <c r="ED68" s="179"/>
      <c r="EE68" s="179"/>
      <c r="EF68" s="179"/>
      <c r="EG68" s="179"/>
    </row>
    <row r="69" spans="1:137" s="353" customFormat="1" ht="25.5">
      <c r="A69" s="178">
        <v>68</v>
      </c>
      <c r="B69" s="187" t="s">
        <v>201</v>
      </c>
      <c r="C69" s="203" t="s">
        <v>2027</v>
      </c>
      <c r="D69" s="13" t="s">
        <v>3971</v>
      </c>
      <c r="E69" s="236" t="s">
        <v>3832</v>
      </c>
      <c r="F69" s="203" t="s">
        <v>3898</v>
      </c>
      <c r="G69" s="203" t="s">
        <v>4013</v>
      </c>
      <c r="H69" s="240" t="s">
        <v>2078</v>
      </c>
      <c r="I69" s="233"/>
      <c r="J69" s="234"/>
      <c r="K69" s="178"/>
      <c r="L69" s="178"/>
      <c r="M69" s="234"/>
      <c r="N69" s="340"/>
      <c r="O69" s="343"/>
      <c r="P69" s="179"/>
      <c r="Q69" s="179"/>
      <c r="R69" s="179"/>
      <c r="S69" s="179"/>
      <c r="T69" s="179"/>
      <c r="U69" s="179"/>
      <c r="V69" s="179"/>
      <c r="W69" s="179"/>
      <c r="X69" s="179"/>
      <c r="Y69" s="179"/>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c r="BE69" s="179"/>
      <c r="BF69" s="179"/>
      <c r="BG69" s="179"/>
      <c r="BH69" s="179"/>
      <c r="BI69" s="179"/>
      <c r="BJ69" s="179"/>
      <c r="BK69" s="179"/>
      <c r="BL69" s="179"/>
      <c r="BM69" s="179"/>
      <c r="BN69" s="179"/>
      <c r="BO69" s="179"/>
      <c r="BP69" s="179"/>
      <c r="BQ69" s="179"/>
      <c r="BR69" s="179"/>
      <c r="BS69" s="179"/>
      <c r="BT69" s="179"/>
      <c r="BU69" s="179"/>
      <c r="BV69" s="179"/>
      <c r="BW69" s="179"/>
      <c r="BX69" s="179"/>
      <c r="BY69" s="179"/>
      <c r="BZ69" s="179"/>
      <c r="CA69" s="179"/>
      <c r="CB69" s="179"/>
      <c r="CC69" s="179"/>
      <c r="CD69" s="179"/>
      <c r="CE69" s="179"/>
      <c r="CF69" s="179"/>
      <c r="CG69" s="179"/>
      <c r="CH69" s="179"/>
      <c r="CI69" s="179"/>
      <c r="CJ69" s="179"/>
      <c r="CK69" s="179"/>
      <c r="CL69" s="179"/>
      <c r="CM69" s="179"/>
      <c r="CN69" s="179"/>
      <c r="CO69" s="179"/>
      <c r="CP69" s="179"/>
      <c r="CQ69" s="179"/>
      <c r="CR69" s="179"/>
      <c r="CS69" s="179"/>
      <c r="CT69" s="179"/>
      <c r="CU69" s="179"/>
      <c r="CV69" s="179"/>
      <c r="CW69" s="179"/>
      <c r="CX69" s="179"/>
      <c r="CY69" s="179"/>
      <c r="CZ69" s="179"/>
      <c r="DA69" s="179"/>
      <c r="DB69" s="179"/>
      <c r="DC69" s="179"/>
      <c r="DD69" s="179"/>
      <c r="DE69" s="179"/>
      <c r="DF69" s="179"/>
      <c r="DG69" s="179"/>
      <c r="DH69" s="179"/>
      <c r="DI69" s="179"/>
      <c r="DJ69" s="179"/>
      <c r="DK69" s="179"/>
      <c r="DL69" s="179"/>
      <c r="DM69" s="179"/>
      <c r="DN69" s="179"/>
      <c r="DO69" s="179"/>
      <c r="DP69" s="179"/>
      <c r="DQ69" s="179"/>
      <c r="DR69" s="179"/>
      <c r="DS69" s="179"/>
      <c r="DT69" s="179"/>
      <c r="DU69" s="179"/>
      <c r="DV69" s="179"/>
      <c r="DW69" s="179"/>
      <c r="DX69" s="179"/>
      <c r="DY69" s="179"/>
      <c r="DZ69" s="179"/>
      <c r="EA69" s="179"/>
      <c r="EB69" s="179"/>
      <c r="EC69" s="179"/>
      <c r="ED69" s="179"/>
      <c r="EE69" s="179"/>
      <c r="EF69" s="179"/>
      <c r="EG69" s="179"/>
    </row>
    <row r="70" spans="1:137" s="353" customFormat="1">
      <c r="A70" s="178">
        <v>69</v>
      </c>
      <c r="B70" s="187" t="s">
        <v>2044</v>
      </c>
      <c r="C70" s="203" t="s">
        <v>2028</v>
      </c>
      <c r="D70" s="13" t="s">
        <v>3971</v>
      </c>
      <c r="E70" s="189" t="s">
        <v>3821</v>
      </c>
      <c r="F70" s="203" t="s">
        <v>3899</v>
      </c>
      <c r="G70" s="203" t="s">
        <v>4014</v>
      </c>
      <c r="H70" s="272">
        <v>43250</v>
      </c>
      <c r="I70" s="233"/>
      <c r="J70" s="204">
        <v>43250</v>
      </c>
      <c r="K70" s="178">
        <f t="shared" si="2"/>
        <v>2018</v>
      </c>
      <c r="L70" s="178">
        <f t="shared" si="3"/>
        <v>5</v>
      </c>
      <c r="M70" s="204">
        <v>43296</v>
      </c>
      <c r="N70" s="340"/>
      <c r="O70" s="343">
        <v>20</v>
      </c>
      <c r="P70" s="179"/>
      <c r="Q70" s="179"/>
      <c r="R70" s="179"/>
      <c r="S70" s="179"/>
      <c r="T70" s="179"/>
      <c r="U70" s="179"/>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c r="BE70" s="179"/>
      <c r="BF70" s="179"/>
      <c r="BG70" s="179"/>
      <c r="BH70" s="179"/>
      <c r="BI70" s="179"/>
      <c r="BJ70" s="179"/>
      <c r="BK70" s="179"/>
      <c r="BL70" s="179"/>
      <c r="BM70" s="179"/>
      <c r="BN70" s="179"/>
      <c r="BO70" s="179"/>
      <c r="BP70" s="179"/>
      <c r="BQ70" s="179"/>
      <c r="BR70" s="179"/>
      <c r="BS70" s="179"/>
      <c r="BT70" s="179"/>
      <c r="BU70" s="179"/>
      <c r="BV70" s="179"/>
      <c r="BW70" s="179"/>
      <c r="BX70" s="179"/>
      <c r="BY70" s="179"/>
      <c r="BZ70" s="179"/>
      <c r="CA70" s="179"/>
      <c r="CB70" s="179"/>
      <c r="CC70" s="179"/>
      <c r="CD70" s="179"/>
      <c r="CE70" s="179"/>
      <c r="CF70" s="179"/>
      <c r="CG70" s="179"/>
      <c r="CH70" s="179"/>
      <c r="CI70" s="179"/>
      <c r="CJ70" s="179"/>
      <c r="CK70" s="179"/>
      <c r="CL70" s="179"/>
      <c r="CM70" s="179"/>
      <c r="CN70" s="179"/>
      <c r="CO70" s="179"/>
      <c r="CP70" s="179"/>
      <c r="CQ70" s="179"/>
      <c r="CR70" s="179"/>
      <c r="CS70" s="179"/>
      <c r="CT70" s="179"/>
      <c r="CU70" s="179"/>
      <c r="CV70" s="179"/>
      <c r="CW70" s="179"/>
      <c r="CX70" s="179"/>
      <c r="CY70" s="179"/>
      <c r="CZ70" s="179"/>
      <c r="DA70" s="179"/>
      <c r="DB70" s="179"/>
      <c r="DC70" s="179"/>
      <c r="DD70" s="179"/>
      <c r="DE70" s="179"/>
      <c r="DF70" s="179"/>
      <c r="DG70" s="179"/>
      <c r="DH70" s="179"/>
      <c r="DI70" s="179"/>
      <c r="DJ70" s="179"/>
      <c r="DK70" s="179"/>
      <c r="DL70" s="179"/>
      <c r="DM70" s="179"/>
      <c r="DN70" s="179"/>
      <c r="DO70" s="179"/>
      <c r="DP70" s="179"/>
      <c r="DQ70" s="179"/>
      <c r="DR70" s="179"/>
      <c r="DS70" s="179"/>
      <c r="DT70" s="179"/>
      <c r="DU70" s="179"/>
      <c r="DV70" s="179"/>
      <c r="DW70" s="179"/>
      <c r="DX70" s="179"/>
      <c r="DY70" s="179"/>
      <c r="DZ70" s="179"/>
      <c r="EA70" s="179"/>
      <c r="EB70" s="179"/>
      <c r="EC70" s="179"/>
      <c r="ED70" s="179"/>
      <c r="EE70" s="179"/>
      <c r="EF70" s="179"/>
      <c r="EG70" s="179"/>
    </row>
    <row r="71" spans="1:137" s="353" customFormat="1" ht="38.25">
      <c r="A71" s="178">
        <v>70</v>
      </c>
      <c r="B71" s="187" t="s">
        <v>2044</v>
      </c>
      <c r="C71" s="203" t="s">
        <v>2029</v>
      </c>
      <c r="D71" s="13" t="s">
        <v>3971</v>
      </c>
      <c r="E71" s="189" t="s">
        <v>3821</v>
      </c>
      <c r="F71" s="203" t="s">
        <v>3900</v>
      </c>
      <c r="G71" s="203" t="s">
        <v>4013</v>
      </c>
      <c r="H71" s="282"/>
      <c r="I71" s="233"/>
      <c r="J71" s="204">
        <v>43250</v>
      </c>
      <c r="K71" s="178">
        <f t="shared" si="2"/>
        <v>2018</v>
      </c>
      <c r="L71" s="178">
        <f t="shared" si="3"/>
        <v>5</v>
      </c>
      <c r="M71" s="204">
        <v>43296</v>
      </c>
      <c r="N71" s="340"/>
      <c r="O71" s="343">
        <v>20</v>
      </c>
      <c r="P71" s="179"/>
      <c r="Q71" s="179"/>
      <c r="R71" s="179"/>
      <c r="S71" s="179"/>
      <c r="T71" s="179"/>
      <c r="U71" s="179"/>
      <c r="V71" s="179"/>
      <c r="W71" s="179"/>
      <c r="X71" s="179"/>
      <c r="Y71" s="179"/>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c r="BE71" s="179"/>
      <c r="BF71" s="179"/>
      <c r="BG71" s="179"/>
      <c r="BH71" s="179"/>
      <c r="BI71" s="179"/>
      <c r="BJ71" s="179"/>
      <c r="BK71" s="179"/>
      <c r="BL71" s="179"/>
      <c r="BM71" s="179"/>
      <c r="BN71" s="179"/>
      <c r="BO71" s="179"/>
      <c r="BP71" s="179"/>
      <c r="BQ71" s="179"/>
      <c r="BR71" s="179"/>
      <c r="BS71" s="179"/>
      <c r="BT71" s="179"/>
      <c r="BU71" s="179"/>
      <c r="BV71" s="179"/>
      <c r="BW71" s="179"/>
      <c r="BX71" s="179"/>
      <c r="BY71" s="179"/>
      <c r="BZ71" s="179"/>
      <c r="CA71" s="179"/>
      <c r="CB71" s="179"/>
      <c r="CC71" s="179"/>
      <c r="CD71" s="179"/>
      <c r="CE71" s="179"/>
      <c r="CF71" s="179"/>
      <c r="CG71" s="179"/>
      <c r="CH71" s="179"/>
      <c r="CI71" s="179"/>
      <c r="CJ71" s="179"/>
      <c r="CK71" s="179"/>
      <c r="CL71" s="179"/>
      <c r="CM71" s="179"/>
      <c r="CN71" s="179"/>
      <c r="CO71" s="179"/>
      <c r="CP71" s="179"/>
      <c r="CQ71" s="179"/>
      <c r="CR71" s="179"/>
      <c r="CS71" s="179"/>
      <c r="CT71" s="179"/>
      <c r="CU71" s="179"/>
      <c r="CV71" s="179"/>
      <c r="CW71" s="179"/>
      <c r="CX71" s="179"/>
      <c r="CY71" s="179"/>
      <c r="CZ71" s="179"/>
      <c r="DA71" s="179"/>
      <c r="DB71" s="179"/>
      <c r="DC71" s="179"/>
      <c r="DD71" s="179"/>
      <c r="DE71" s="179"/>
      <c r="DF71" s="179"/>
      <c r="DG71" s="179"/>
      <c r="DH71" s="179"/>
      <c r="DI71" s="179"/>
      <c r="DJ71" s="179"/>
      <c r="DK71" s="179"/>
      <c r="DL71" s="179"/>
      <c r="DM71" s="179"/>
      <c r="DN71" s="179"/>
      <c r="DO71" s="179"/>
      <c r="DP71" s="179"/>
      <c r="DQ71" s="179"/>
      <c r="DR71" s="179"/>
      <c r="DS71" s="179"/>
      <c r="DT71" s="179"/>
      <c r="DU71" s="179"/>
      <c r="DV71" s="179"/>
      <c r="DW71" s="179"/>
      <c r="DX71" s="179"/>
      <c r="DY71" s="179"/>
      <c r="DZ71" s="179"/>
      <c r="EA71" s="179"/>
      <c r="EB71" s="179"/>
      <c r="EC71" s="179"/>
      <c r="ED71" s="179"/>
      <c r="EE71" s="179"/>
      <c r="EF71" s="179"/>
      <c r="EG71" s="179"/>
    </row>
    <row r="72" spans="1:137" s="353" customFormat="1" ht="25.5">
      <c r="A72" s="178">
        <v>71</v>
      </c>
      <c r="B72" s="187" t="s">
        <v>201</v>
      </c>
      <c r="C72" s="203" t="s">
        <v>48</v>
      </c>
      <c r="D72" s="13" t="s">
        <v>3971</v>
      </c>
      <c r="E72" s="189" t="s">
        <v>3821</v>
      </c>
      <c r="F72" s="203" t="s">
        <v>3901</v>
      </c>
      <c r="G72" s="203" t="s">
        <v>4013</v>
      </c>
      <c r="H72" s="282"/>
      <c r="I72" s="233"/>
      <c r="J72" s="204"/>
      <c r="K72" s="178"/>
      <c r="L72" s="178"/>
      <c r="M72" s="204"/>
      <c r="N72" s="340"/>
      <c r="O72" s="343"/>
      <c r="P72" s="179"/>
      <c r="Q72" s="179"/>
      <c r="R72" s="179"/>
      <c r="S72" s="179"/>
      <c r="T72" s="179"/>
      <c r="U72" s="179"/>
      <c r="V72" s="179"/>
      <c r="W72" s="179"/>
      <c r="X72" s="179"/>
      <c r="Y72" s="179"/>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c r="BE72" s="179"/>
      <c r="BF72" s="179"/>
      <c r="BG72" s="179"/>
      <c r="BH72" s="179"/>
      <c r="BI72" s="179"/>
      <c r="BJ72" s="179"/>
      <c r="BK72" s="179"/>
      <c r="BL72" s="179"/>
      <c r="BM72" s="179"/>
      <c r="BN72" s="179"/>
      <c r="BO72" s="179"/>
      <c r="BP72" s="179"/>
      <c r="BQ72" s="179"/>
      <c r="BR72" s="179"/>
      <c r="BS72" s="179"/>
      <c r="BT72" s="179"/>
      <c r="BU72" s="179"/>
      <c r="BV72" s="179"/>
      <c r="BW72" s="179"/>
      <c r="BX72" s="179"/>
      <c r="BY72" s="179"/>
      <c r="BZ72" s="179"/>
      <c r="CA72" s="179"/>
      <c r="CB72" s="179"/>
      <c r="CC72" s="179"/>
      <c r="CD72" s="179"/>
      <c r="CE72" s="179"/>
      <c r="CF72" s="179"/>
      <c r="CG72" s="179"/>
      <c r="CH72" s="179"/>
      <c r="CI72" s="179"/>
      <c r="CJ72" s="179"/>
      <c r="CK72" s="179"/>
      <c r="CL72" s="179"/>
      <c r="CM72" s="179"/>
      <c r="CN72" s="179"/>
      <c r="CO72" s="179"/>
      <c r="CP72" s="179"/>
      <c r="CQ72" s="179"/>
      <c r="CR72" s="179"/>
      <c r="CS72" s="179"/>
      <c r="CT72" s="179"/>
      <c r="CU72" s="179"/>
      <c r="CV72" s="179"/>
      <c r="CW72" s="179"/>
      <c r="CX72" s="179"/>
      <c r="CY72" s="179"/>
      <c r="CZ72" s="179"/>
      <c r="DA72" s="179"/>
      <c r="DB72" s="179"/>
      <c r="DC72" s="179"/>
      <c r="DD72" s="179"/>
      <c r="DE72" s="179"/>
      <c r="DF72" s="179"/>
      <c r="DG72" s="179"/>
      <c r="DH72" s="179"/>
      <c r="DI72" s="179"/>
      <c r="DJ72" s="179"/>
      <c r="DK72" s="179"/>
      <c r="DL72" s="179"/>
      <c r="DM72" s="179"/>
      <c r="DN72" s="179"/>
      <c r="DO72" s="179"/>
      <c r="DP72" s="179"/>
      <c r="DQ72" s="179"/>
      <c r="DR72" s="179"/>
      <c r="DS72" s="179"/>
      <c r="DT72" s="179"/>
      <c r="DU72" s="179"/>
      <c r="DV72" s="179"/>
      <c r="DW72" s="179"/>
      <c r="DX72" s="179"/>
      <c r="DY72" s="179"/>
      <c r="DZ72" s="179"/>
      <c r="EA72" s="179"/>
      <c r="EB72" s="179"/>
      <c r="EC72" s="179"/>
      <c r="ED72" s="179"/>
      <c r="EE72" s="179"/>
      <c r="EF72" s="179"/>
      <c r="EG72" s="179"/>
    </row>
    <row r="73" spans="1:137" s="353" customFormat="1" ht="25.5">
      <c r="A73" s="178">
        <v>72</v>
      </c>
      <c r="B73" s="187" t="s">
        <v>2044</v>
      </c>
      <c r="C73" s="203" t="s">
        <v>2079</v>
      </c>
      <c r="D73" s="13" t="s">
        <v>3971</v>
      </c>
      <c r="E73" s="189" t="s">
        <v>3821</v>
      </c>
      <c r="F73" s="203" t="s">
        <v>3902</v>
      </c>
      <c r="G73" s="203" t="s">
        <v>4013</v>
      </c>
      <c r="H73" s="240" t="s">
        <v>2080</v>
      </c>
      <c r="I73" s="233"/>
      <c r="J73" s="204">
        <v>43250</v>
      </c>
      <c r="K73" s="178">
        <f t="shared" si="2"/>
        <v>2018</v>
      </c>
      <c r="L73" s="178">
        <f t="shared" si="3"/>
        <v>5</v>
      </c>
      <c r="M73" s="204">
        <v>43296</v>
      </c>
      <c r="N73" s="340"/>
      <c r="O73" s="343">
        <v>20</v>
      </c>
      <c r="P73" s="179"/>
      <c r="Q73" s="179"/>
      <c r="R73" s="179"/>
      <c r="S73" s="179"/>
      <c r="T73" s="179"/>
      <c r="U73" s="179"/>
      <c r="V73" s="179"/>
      <c r="W73" s="179"/>
      <c r="X73" s="179"/>
      <c r="Y73" s="179"/>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c r="BE73" s="179"/>
      <c r="BF73" s="179"/>
      <c r="BG73" s="179"/>
      <c r="BH73" s="179"/>
      <c r="BI73" s="179"/>
      <c r="BJ73" s="179"/>
      <c r="BK73" s="179"/>
      <c r="BL73" s="179"/>
      <c r="BM73" s="179"/>
      <c r="BN73" s="179"/>
      <c r="BO73" s="179"/>
      <c r="BP73" s="179"/>
      <c r="BQ73" s="179"/>
      <c r="BR73" s="179"/>
      <c r="BS73" s="179"/>
      <c r="BT73" s="179"/>
      <c r="BU73" s="179"/>
      <c r="BV73" s="179"/>
      <c r="BW73" s="179"/>
      <c r="BX73" s="179"/>
      <c r="BY73" s="179"/>
      <c r="BZ73" s="179"/>
      <c r="CA73" s="179"/>
      <c r="CB73" s="179"/>
      <c r="CC73" s="179"/>
      <c r="CD73" s="179"/>
      <c r="CE73" s="179"/>
      <c r="CF73" s="179"/>
      <c r="CG73" s="179"/>
      <c r="CH73" s="179"/>
      <c r="CI73" s="179"/>
      <c r="CJ73" s="179"/>
      <c r="CK73" s="179"/>
      <c r="CL73" s="179"/>
      <c r="CM73" s="179"/>
      <c r="CN73" s="179"/>
      <c r="CO73" s="179"/>
      <c r="CP73" s="179"/>
      <c r="CQ73" s="179"/>
      <c r="CR73" s="179"/>
      <c r="CS73" s="179"/>
      <c r="CT73" s="179"/>
      <c r="CU73" s="179"/>
      <c r="CV73" s="179"/>
      <c r="CW73" s="179"/>
      <c r="CX73" s="179"/>
      <c r="CY73" s="179"/>
      <c r="CZ73" s="179"/>
      <c r="DA73" s="179"/>
      <c r="DB73" s="179"/>
      <c r="DC73" s="179"/>
      <c r="DD73" s="179"/>
      <c r="DE73" s="179"/>
      <c r="DF73" s="179"/>
      <c r="DG73" s="179"/>
      <c r="DH73" s="179"/>
      <c r="DI73" s="179"/>
      <c r="DJ73" s="179"/>
      <c r="DK73" s="179"/>
      <c r="DL73" s="179"/>
      <c r="DM73" s="179"/>
      <c r="DN73" s="179"/>
      <c r="DO73" s="179"/>
      <c r="DP73" s="179"/>
      <c r="DQ73" s="179"/>
      <c r="DR73" s="179"/>
      <c r="DS73" s="179"/>
      <c r="DT73" s="179"/>
      <c r="DU73" s="179"/>
      <c r="DV73" s="179"/>
      <c r="DW73" s="179"/>
      <c r="DX73" s="179"/>
      <c r="DY73" s="179"/>
      <c r="DZ73" s="179"/>
      <c r="EA73" s="179"/>
      <c r="EB73" s="179"/>
      <c r="EC73" s="179"/>
      <c r="ED73" s="179"/>
      <c r="EE73" s="179"/>
      <c r="EF73" s="179"/>
      <c r="EG73" s="179"/>
    </row>
    <row r="74" spans="1:137" s="356" customFormat="1" ht="25.5">
      <c r="A74" s="178">
        <v>73</v>
      </c>
      <c r="B74" s="187" t="s">
        <v>2044</v>
      </c>
      <c r="C74" s="203" t="s">
        <v>2079</v>
      </c>
      <c r="D74" s="13" t="s">
        <v>3971</v>
      </c>
      <c r="E74" s="189" t="s">
        <v>3821</v>
      </c>
      <c r="F74" s="203" t="s">
        <v>3903</v>
      </c>
      <c r="G74" s="203" t="s">
        <v>4013</v>
      </c>
      <c r="H74" s="240" t="s">
        <v>2080</v>
      </c>
      <c r="I74" s="233"/>
      <c r="J74" s="204">
        <v>43250</v>
      </c>
      <c r="K74" s="178">
        <f t="shared" si="2"/>
        <v>2018</v>
      </c>
      <c r="L74" s="178">
        <f t="shared" si="3"/>
        <v>5</v>
      </c>
      <c r="M74" s="204">
        <v>43296</v>
      </c>
      <c r="N74" s="340"/>
      <c r="O74" s="343">
        <v>20</v>
      </c>
      <c r="P74" s="179"/>
      <c r="Q74" s="179"/>
      <c r="R74" s="179"/>
      <c r="S74" s="179"/>
      <c r="T74" s="179"/>
      <c r="U74" s="179"/>
      <c r="V74" s="179"/>
      <c r="W74" s="179"/>
      <c r="X74" s="179"/>
      <c r="Y74" s="179"/>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c r="BE74" s="179"/>
      <c r="BF74" s="179"/>
      <c r="BG74" s="179"/>
      <c r="BH74" s="179"/>
      <c r="BI74" s="179"/>
      <c r="BJ74" s="179"/>
      <c r="BK74" s="179"/>
      <c r="BL74" s="179"/>
      <c r="BM74" s="179"/>
      <c r="BN74" s="179"/>
      <c r="BO74" s="179"/>
      <c r="BP74" s="179"/>
      <c r="BQ74" s="179"/>
      <c r="BR74" s="179"/>
      <c r="BS74" s="179"/>
      <c r="BT74" s="179"/>
      <c r="BU74" s="179"/>
      <c r="BV74" s="179"/>
      <c r="BW74" s="179"/>
      <c r="BX74" s="179"/>
      <c r="BY74" s="179"/>
      <c r="BZ74" s="179"/>
      <c r="CA74" s="179"/>
      <c r="CB74" s="179"/>
      <c r="CC74" s="179"/>
      <c r="CD74" s="179"/>
      <c r="CE74" s="179"/>
      <c r="CF74" s="179"/>
      <c r="CG74" s="179"/>
      <c r="CH74" s="179"/>
      <c r="CI74" s="179"/>
      <c r="CJ74" s="179"/>
      <c r="CK74" s="179"/>
      <c r="CL74" s="179"/>
      <c r="CM74" s="179"/>
      <c r="CN74" s="179"/>
      <c r="CO74" s="179"/>
      <c r="CP74" s="179"/>
      <c r="CQ74" s="179"/>
      <c r="CR74" s="179"/>
      <c r="CS74" s="179"/>
      <c r="CT74" s="179"/>
      <c r="CU74" s="179"/>
      <c r="CV74" s="179"/>
      <c r="CW74" s="179"/>
      <c r="CX74" s="179"/>
      <c r="CY74" s="179"/>
      <c r="CZ74" s="179"/>
      <c r="DA74" s="179"/>
      <c r="DB74" s="179"/>
      <c r="DC74" s="179"/>
      <c r="DD74" s="179"/>
      <c r="DE74" s="179"/>
      <c r="DF74" s="179"/>
      <c r="DG74" s="179"/>
      <c r="DH74" s="179"/>
      <c r="DI74" s="179"/>
      <c r="DJ74" s="179"/>
      <c r="DK74" s="179"/>
      <c r="DL74" s="179"/>
      <c r="DM74" s="179"/>
      <c r="DN74" s="179"/>
      <c r="DO74" s="179"/>
      <c r="DP74" s="179"/>
      <c r="DQ74" s="179"/>
      <c r="DR74" s="179"/>
      <c r="DS74" s="179"/>
      <c r="DT74" s="179"/>
      <c r="DU74" s="179"/>
      <c r="DV74" s="179"/>
      <c r="DW74" s="179"/>
      <c r="DX74" s="179"/>
      <c r="DY74" s="179"/>
      <c r="DZ74" s="179"/>
      <c r="EA74" s="179"/>
      <c r="EB74" s="179"/>
      <c r="EC74" s="179"/>
      <c r="ED74" s="179"/>
      <c r="EE74" s="179"/>
      <c r="EF74" s="179"/>
      <c r="EG74" s="179"/>
    </row>
    <row r="75" spans="1:137" s="356" customFormat="1" ht="25.5">
      <c r="A75" s="494">
        <v>74</v>
      </c>
      <c r="B75" s="495" t="s">
        <v>2238</v>
      </c>
      <c r="C75" s="489" t="s">
        <v>2068</v>
      </c>
      <c r="D75" s="13" t="s">
        <v>3971</v>
      </c>
      <c r="E75" s="496" t="s">
        <v>3821</v>
      </c>
      <c r="F75" s="489" t="s">
        <v>3904</v>
      </c>
      <c r="G75" s="489" t="s">
        <v>4013</v>
      </c>
      <c r="H75" s="501"/>
      <c r="I75" s="502"/>
      <c r="J75" s="503"/>
      <c r="K75" s="494"/>
      <c r="L75" s="494"/>
      <c r="M75" s="503"/>
      <c r="N75" s="504"/>
      <c r="O75" s="500"/>
      <c r="P75" s="179"/>
      <c r="Q75" s="179"/>
      <c r="R75" s="179"/>
      <c r="S75" s="179"/>
      <c r="T75" s="179"/>
      <c r="U75" s="179"/>
      <c r="V75" s="179"/>
      <c r="W75" s="179"/>
      <c r="X75" s="179"/>
      <c r="Y75" s="179"/>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c r="BE75" s="179"/>
      <c r="BF75" s="179"/>
      <c r="BG75" s="179"/>
      <c r="BH75" s="179"/>
      <c r="BI75" s="179"/>
      <c r="BJ75" s="179"/>
      <c r="BK75" s="179"/>
      <c r="BL75" s="179"/>
      <c r="BM75" s="179"/>
      <c r="BN75" s="179"/>
      <c r="BO75" s="179"/>
      <c r="BP75" s="179"/>
      <c r="BQ75" s="179"/>
      <c r="BR75" s="179"/>
      <c r="BS75" s="179"/>
      <c r="BT75" s="179"/>
      <c r="BU75" s="179"/>
      <c r="BV75" s="179"/>
      <c r="BW75" s="179"/>
      <c r="BX75" s="179"/>
      <c r="BY75" s="179"/>
      <c r="BZ75" s="179"/>
      <c r="CA75" s="179"/>
      <c r="CB75" s="179"/>
      <c r="CC75" s="179"/>
      <c r="CD75" s="179"/>
      <c r="CE75" s="179"/>
      <c r="CF75" s="179"/>
      <c r="CG75" s="179"/>
      <c r="CH75" s="179"/>
      <c r="CI75" s="179"/>
      <c r="CJ75" s="179"/>
      <c r="CK75" s="179"/>
      <c r="CL75" s="179"/>
      <c r="CM75" s="179"/>
      <c r="CN75" s="179"/>
      <c r="CO75" s="179"/>
      <c r="CP75" s="179"/>
      <c r="CQ75" s="179"/>
      <c r="CR75" s="179"/>
      <c r="CS75" s="179"/>
      <c r="CT75" s="179"/>
      <c r="CU75" s="179"/>
      <c r="CV75" s="179"/>
      <c r="CW75" s="179"/>
      <c r="CX75" s="179"/>
      <c r="CY75" s="179"/>
      <c r="CZ75" s="179"/>
      <c r="DA75" s="179"/>
      <c r="DB75" s="179"/>
      <c r="DC75" s="179"/>
      <c r="DD75" s="179"/>
      <c r="DE75" s="179"/>
      <c r="DF75" s="179"/>
      <c r="DG75" s="179"/>
      <c r="DH75" s="179"/>
      <c r="DI75" s="179"/>
      <c r="DJ75" s="179"/>
      <c r="DK75" s="179"/>
      <c r="DL75" s="179"/>
      <c r="DM75" s="179"/>
      <c r="DN75" s="179"/>
      <c r="DO75" s="179"/>
      <c r="DP75" s="179"/>
      <c r="DQ75" s="179"/>
      <c r="DR75" s="179"/>
      <c r="DS75" s="179"/>
      <c r="DT75" s="179"/>
      <c r="DU75" s="179"/>
      <c r="DV75" s="179"/>
      <c r="DW75" s="179"/>
      <c r="DX75" s="179"/>
      <c r="DY75" s="179"/>
      <c r="DZ75" s="179"/>
      <c r="EA75" s="179"/>
      <c r="EB75" s="179"/>
      <c r="EC75" s="179"/>
      <c r="ED75" s="179"/>
      <c r="EE75" s="179"/>
      <c r="EF75" s="179"/>
      <c r="EG75" s="179"/>
    </row>
    <row r="76" spans="1:137" s="356" customFormat="1" ht="25.5">
      <c r="A76" s="494">
        <v>75</v>
      </c>
      <c r="B76" s="495" t="s">
        <v>2238</v>
      </c>
      <c r="C76" s="489" t="s">
        <v>2068</v>
      </c>
      <c r="D76" s="13" t="s">
        <v>3971</v>
      </c>
      <c r="E76" s="496" t="s">
        <v>3821</v>
      </c>
      <c r="F76" s="489" t="s">
        <v>3905</v>
      </c>
      <c r="G76" s="489" t="s">
        <v>4013</v>
      </c>
      <c r="H76" s="501"/>
      <c r="I76" s="502"/>
      <c r="J76" s="503"/>
      <c r="K76" s="494"/>
      <c r="L76" s="494"/>
      <c r="M76" s="503"/>
      <c r="N76" s="504"/>
      <c r="O76" s="500"/>
      <c r="P76" s="179"/>
      <c r="Q76" s="179"/>
      <c r="R76" s="179"/>
      <c r="S76" s="179"/>
      <c r="T76" s="179"/>
      <c r="U76" s="179"/>
      <c r="V76" s="179"/>
      <c r="W76" s="179"/>
      <c r="X76" s="179"/>
      <c r="Y76" s="179"/>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c r="BE76" s="179"/>
      <c r="BF76" s="179"/>
      <c r="BG76" s="179"/>
      <c r="BH76" s="179"/>
      <c r="BI76" s="179"/>
      <c r="BJ76" s="179"/>
      <c r="BK76" s="179"/>
      <c r="BL76" s="179"/>
      <c r="BM76" s="179"/>
      <c r="BN76" s="179"/>
      <c r="BO76" s="179"/>
      <c r="BP76" s="179"/>
      <c r="BQ76" s="179"/>
      <c r="BR76" s="179"/>
      <c r="BS76" s="179"/>
      <c r="BT76" s="179"/>
      <c r="BU76" s="179"/>
      <c r="BV76" s="179"/>
      <c r="BW76" s="179"/>
      <c r="BX76" s="179"/>
      <c r="BY76" s="179"/>
      <c r="BZ76" s="179"/>
      <c r="CA76" s="179"/>
      <c r="CB76" s="179"/>
      <c r="CC76" s="179"/>
      <c r="CD76" s="179"/>
      <c r="CE76" s="179"/>
      <c r="CF76" s="179"/>
      <c r="CG76" s="179"/>
      <c r="CH76" s="179"/>
      <c r="CI76" s="179"/>
      <c r="CJ76" s="179"/>
      <c r="CK76" s="179"/>
      <c r="CL76" s="179"/>
      <c r="CM76" s="179"/>
      <c r="CN76" s="179"/>
      <c r="CO76" s="179"/>
      <c r="CP76" s="179"/>
      <c r="CQ76" s="179"/>
      <c r="CR76" s="179"/>
      <c r="CS76" s="179"/>
      <c r="CT76" s="179"/>
      <c r="CU76" s="179"/>
      <c r="CV76" s="179"/>
      <c r="CW76" s="179"/>
      <c r="CX76" s="179"/>
      <c r="CY76" s="179"/>
      <c r="CZ76" s="179"/>
      <c r="DA76" s="179"/>
      <c r="DB76" s="179"/>
      <c r="DC76" s="179"/>
      <c r="DD76" s="179"/>
      <c r="DE76" s="179"/>
      <c r="DF76" s="179"/>
      <c r="DG76" s="179"/>
      <c r="DH76" s="179"/>
      <c r="DI76" s="179"/>
      <c r="DJ76" s="179"/>
      <c r="DK76" s="179"/>
      <c r="DL76" s="179"/>
      <c r="DM76" s="179"/>
      <c r="DN76" s="179"/>
      <c r="DO76" s="179"/>
      <c r="DP76" s="179"/>
      <c r="DQ76" s="179"/>
      <c r="DR76" s="179"/>
      <c r="DS76" s="179"/>
      <c r="DT76" s="179"/>
      <c r="DU76" s="179"/>
      <c r="DV76" s="179"/>
      <c r="DW76" s="179"/>
      <c r="DX76" s="179"/>
      <c r="DY76" s="179"/>
      <c r="DZ76" s="179"/>
      <c r="EA76" s="179"/>
      <c r="EB76" s="179"/>
      <c r="EC76" s="179"/>
      <c r="ED76" s="179"/>
      <c r="EE76" s="179"/>
      <c r="EF76" s="179"/>
      <c r="EG76" s="179"/>
    </row>
    <row r="77" spans="1:137" s="355" customFormat="1" ht="38.25">
      <c r="A77" s="178">
        <v>76</v>
      </c>
      <c r="B77" s="187" t="s">
        <v>2044</v>
      </c>
      <c r="C77" s="191" t="s">
        <v>2239</v>
      </c>
      <c r="D77" s="191" t="s">
        <v>4064</v>
      </c>
      <c r="E77" s="13" t="s">
        <v>3668</v>
      </c>
      <c r="F77" s="191" t="s">
        <v>3906</v>
      </c>
      <c r="G77" s="191" t="s">
        <v>4015</v>
      </c>
      <c r="H77" s="272" t="s">
        <v>2262</v>
      </c>
      <c r="I77" s="187"/>
      <c r="J77" s="218">
        <v>43323</v>
      </c>
      <c r="K77" s="178">
        <f t="shared" si="2"/>
        <v>2018</v>
      </c>
      <c r="L77" s="178">
        <f t="shared" si="3"/>
        <v>8</v>
      </c>
      <c r="M77" s="218">
        <v>43375</v>
      </c>
      <c r="N77" s="333" t="s">
        <v>4058</v>
      </c>
      <c r="O77" s="343">
        <v>65</v>
      </c>
      <c r="P77" s="179"/>
      <c r="Q77" s="179"/>
      <c r="R77" s="179"/>
      <c r="S77" s="179"/>
      <c r="T77" s="179"/>
      <c r="U77" s="179"/>
      <c r="V77" s="179"/>
      <c r="W77" s="179"/>
      <c r="X77" s="179"/>
      <c r="Y77" s="179"/>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c r="BE77" s="179"/>
      <c r="BF77" s="179"/>
      <c r="BG77" s="179"/>
      <c r="BH77" s="179"/>
      <c r="BI77" s="179"/>
      <c r="BJ77" s="179"/>
      <c r="BK77" s="179"/>
      <c r="BL77" s="179"/>
      <c r="BM77" s="179"/>
      <c r="BN77" s="179"/>
      <c r="BO77" s="179"/>
      <c r="BP77" s="179"/>
      <c r="BQ77" s="179"/>
      <c r="BR77" s="179"/>
      <c r="BS77" s="179"/>
      <c r="BT77" s="179"/>
      <c r="BU77" s="179"/>
      <c r="BV77" s="179"/>
      <c r="BW77" s="179"/>
      <c r="BX77" s="179"/>
      <c r="BY77" s="179"/>
      <c r="BZ77" s="179"/>
      <c r="CA77" s="179"/>
      <c r="CB77" s="179"/>
      <c r="CC77" s="179"/>
      <c r="CD77" s="179"/>
      <c r="CE77" s="179"/>
      <c r="CF77" s="179"/>
      <c r="CG77" s="179"/>
      <c r="CH77" s="179"/>
      <c r="CI77" s="179"/>
      <c r="CJ77" s="179"/>
      <c r="CK77" s="179"/>
      <c r="CL77" s="179"/>
      <c r="CM77" s="179"/>
      <c r="CN77" s="179"/>
      <c r="CO77" s="179"/>
      <c r="CP77" s="179"/>
      <c r="CQ77" s="179"/>
      <c r="CR77" s="179"/>
      <c r="CS77" s="179"/>
      <c r="CT77" s="179"/>
      <c r="CU77" s="179"/>
      <c r="CV77" s="179"/>
      <c r="CW77" s="179"/>
      <c r="CX77" s="179"/>
      <c r="CY77" s="179"/>
      <c r="CZ77" s="179"/>
      <c r="DA77" s="179"/>
      <c r="DB77" s="179"/>
      <c r="DC77" s="179"/>
      <c r="DD77" s="179"/>
      <c r="DE77" s="179"/>
      <c r="DF77" s="179"/>
      <c r="DG77" s="179"/>
      <c r="DH77" s="179"/>
      <c r="DI77" s="179"/>
      <c r="DJ77" s="179"/>
      <c r="DK77" s="179"/>
      <c r="DL77" s="179"/>
      <c r="DM77" s="179"/>
      <c r="DN77" s="179"/>
      <c r="DO77" s="179"/>
      <c r="DP77" s="179"/>
      <c r="DQ77" s="179"/>
      <c r="DR77" s="179"/>
      <c r="DS77" s="179"/>
      <c r="DT77" s="179"/>
      <c r="DU77" s="179"/>
      <c r="DV77" s="179"/>
      <c r="DW77" s="179"/>
      <c r="DX77" s="179"/>
      <c r="DY77" s="179"/>
      <c r="DZ77" s="179"/>
      <c r="EA77" s="179"/>
      <c r="EB77" s="179"/>
      <c r="EC77" s="179"/>
      <c r="ED77" s="179"/>
      <c r="EE77" s="179"/>
      <c r="EF77" s="179"/>
      <c r="EG77" s="179"/>
    </row>
    <row r="78" spans="1:137" s="1" customFormat="1" ht="25.5">
      <c r="A78" s="178">
        <v>77</v>
      </c>
      <c r="B78" s="11" t="s">
        <v>2044</v>
      </c>
      <c r="C78" s="191" t="s">
        <v>2237</v>
      </c>
      <c r="D78" s="191" t="s">
        <v>4069</v>
      </c>
      <c r="E78" s="189" t="s">
        <v>3833</v>
      </c>
      <c r="F78" s="13" t="s">
        <v>3907</v>
      </c>
      <c r="G78" s="13" t="s">
        <v>4016</v>
      </c>
      <c r="H78" s="280">
        <v>43354</v>
      </c>
      <c r="I78" s="11"/>
      <c r="J78" s="194">
        <v>43350</v>
      </c>
      <c r="K78" s="178">
        <f t="shared" si="2"/>
        <v>2018</v>
      </c>
      <c r="L78" s="178">
        <f t="shared" si="3"/>
        <v>9</v>
      </c>
      <c r="M78" s="194">
        <v>43354</v>
      </c>
      <c r="N78" s="334"/>
      <c r="O78" s="343">
        <v>12</v>
      </c>
      <c r="P78" s="179"/>
      <c r="Q78" s="179"/>
      <c r="R78" s="179"/>
      <c r="S78" s="179"/>
      <c r="T78" s="179"/>
      <c r="U78" s="179"/>
      <c r="V78" s="179"/>
      <c r="W78" s="179"/>
      <c r="X78" s="179"/>
      <c r="Y78" s="179"/>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c r="BE78" s="179"/>
      <c r="BF78" s="179"/>
      <c r="BG78" s="179"/>
      <c r="BH78" s="179"/>
      <c r="BI78" s="179"/>
      <c r="BJ78" s="179"/>
      <c r="BK78" s="179"/>
      <c r="BL78" s="179"/>
      <c r="BM78" s="179"/>
      <c r="BN78" s="179"/>
      <c r="BO78" s="179"/>
      <c r="BP78" s="179"/>
      <c r="BQ78" s="179"/>
      <c r="BR78" s="179"/>
      <c r="BS78" s="179"/>
      <c r="BT78" s="179"/>
      <c r="BU78" s="179"/>
      <c r="BV78" s="179"/>
      <c r="BW78" s="179"/>
      <c r="BX78" s="179"/>
      <c r="BY78" s="179"/>
      <c r="BZ78" s="179"/>
      <c r="CA78" s="179"/>
      <c r="CB78" s="179"/>
      <c r="CC78" s="179"/>
      <c r="CD78" s="179"/>
      <c r="CE78" s="179"/>
      <c r="CF78" s="179"/>
      <c r="CG78" s="179"/>
      <c r="CH78" s="179"/>
      <c r="CI78" s="179"/>
      <c r="CJ78" s="179"/>
      <c r="CK78" s="179"/>
      <c r="CL78" s="179"/>
      <c r="CM78" s="179"/>
      <c r="CN78" s="179"/>
      <c r="CO78" s="179"/>
      <c r="CP78" s="179"/>
      <c r="CQ78" s="179"/>
      <c r="CR78" s="179"/>
      <c r="CS78" s="179"/>
      <c r="CT78" s="179"/>
      <c r="CU78" s="179"/>
      <c r="CV78" s="179"/>
      <c r="CW78" s="179"/>
      <c r="CX78" s="179"/>
      <c r="CY78" s="179"/>
      <c r="CZ78" s="179"/>
      <c r="DA78" s="179"/>
      <c r="DB78" s="179"/>
      <c r="DC78" s="179"/>
      <c r="DD78" s="179"/>
      <c r="DE78" s="179"/>
      <c r="DF78" s="179"/>
      <c r="DG78" s="179"/>
      <c r="DH78" s="179"/>
      <c r="DI78" s="179"/>
      <c r="DJ78" s="179"/>
      <c r="DK78" s="179"/>
      <c r="DL78" s="179"/>
      <c r="DM78" s="179"/>
      <c r="DN78" s="179"/>
      <c r="DO78" s="179"/>
      <c r="DP78" s="179"/>
      <c r="DQ78" s="179"/>
      <c r="DR78" s="179"/>
      <c r="DS78" s="179"/>
      <c r="DT78" s="179"/>
      <c r="DU78" s="179"/>
      <c r="DV78" s="179"/>
      <c r="DW78" s="179"/>
      <c r="DX78" s="179"/>
      <c r="DY78" s="179"/>
      <c r="DZ78" s="179"/>
      <c r="EA78" s="179"/>
      <c r="EB78" s="179"/>
      <c r="EC78" s="179"/>
      <c r="ED78" s="179"/>
      <c r="EE78" s="179"/>
      <c r="EF78" s="179"/>
      <c r="EG78" s="179"/>
    </row>
    <row r="79" spans="1:137" s="353" customFormat="1">
      <c r="A79" s="235">
        <v>78</v>
      </c>
      <c r="B79" s="202" t="s">
        <v>2048</v>
      </c>
      <c r="C79" s="203" t="s">
        <v>2237</v>
      </c>
      <c r="D79" s="191" t="s">
        <v>4069</v>
      </c>
      <c r="E79" s="236" t="s">
        <v>3833</v>
      </c>
      <c r="F79" s="203" t="s">
        <v>3908</v>
      </c>
      <c r="G79" s="203" t="s">
        <v>3871</v>
      </c>
      <c r="H79" s="240"/>
      <c r="I79" s="202"/>
      <c r="J79" s="204">
        <v>43371</v>
      </c>
      <c r="K79" s="235">
        <f t="shared" si="2"/>
        <v>2018</v>
      </c>
      <c r="L79" s="235">
        <f t="shared" si="3"/>
        <v>9</v>
      </c>
      <c r="M79" s="204"/>
      <c r="N79" s="336"/>
      <c r="O79" s="488"/>
      <c r="P79" s="179"/>
      <c r="Q79" s="179"/>
      <c r="R79" s="179"/>
      <c r="S79" s="179"/>
      <c r="T79" s="179"/>
      <c r="U79" s="179"/>
      <c r="V79" s="179"/>
      <c r="W79" s="179"/>
      <c r="X79" s="179"/>
      <c r="Y79" s="179"/>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c r="BE79" s="179"/>
      <c r="BF79" s="179"/>
      <c r="BG79" s="179"/>
      <c r="BH79" s="179"/>
      <c r="BI79" s="179"/>
      <c r="BJ79" s="179"/>
      <c r="BK79" s="179"/>
      <c r="BL79" s="179"/>
      <c r="BM79" s="179"/>
      <c r="BN79" s="179"/>
      <c r="BO79" s="179"/>
      <c r="BP79" s="179"/>
      <c r="BQ79" s="179"/>
      <c r="BR79" s="179"/>
      <c r="BS79" s="179"/>
      <c r="BT79" s="179"/>
      <c r="BU79" s="179"/>
      <c r="BV79" s="179"/>
      <c r="BW79" s="179"/>
      <c r="BX79" s="179"/>
      <c r="BY79" s="179"/>
      <c r="BZ79" s="179"/>
      <c r="CA79" s="179"/>
      <c r="CB79" s="179"/>
      <c r="CC79" s="179"/>
      <c r="CD79" s="179"/>
      <c r="CE79" s="179"/>
      <c r="CF79" s="179"/>
      <c r="CG79" s="179"/>
      <c r="CH79" s="179"/>
      <c r="CI79" s="179"/>
      <c r="CJ79" s="179"/>
      <c r="CK79" s="179"/>
      <c r="CL79" s="179"/>
      <c r="CM79" s="179"/>
      <c r="CN79" s="179"/>
      <c r="CO79" s="179"/>
      <c r="CP79" s="179"/>
      <c r="CQ79" s="179"/>
      <c r="CR79" s="179"/>
      <c r="CS79" s="179"/>
      <c r="CT79" s="179"/>
      <c r="CU79" s="179"/>
      <c r="CV79" s="179"/>
      <c r="CW79" s="179"/>
      <c r="CX79" s="179"/>
      <c r="CY79" s="179"/>
      <c r="CZ79" s="179"/>
      <c r="DA79" s="179"/>
      <c r="DB79" s="179"/>
      <c r="DC79" s="179"/>
      <c r="DD79" s="179"/>
      <c r="DE79" s="179"/>
      <c r="DF79" s="179"/>
      <c r="DG79" s="179"/>
      <c r="DH79" s="179"/>
      <c r="DI79" s="179"/>
      <c r="DJ79" s="179"/>
      <c r="DK79" s="179"/>
      <c r="DL79" s="179"/>
      <c r="DM79" s="179"/>
      <c r="DN79" s="179"/>
      <c r="DO79" s="179"/>
      <c r="DP79" s="179"/>
      <c r="DQ79" s="179"/>
      <c r="DR79" s="179"/>
      <c r="DS79" s="179"/>
      <c r="DT79" s="179"/>
      <c r="DU79" s="179"/>
      <c r="DV79" s="179"/>
      <c r="DW79" s="179"/>
      <c r="DX79" s="179"/>
      <c r="DY79" s="179"/>
      <c r="DZ79" s="179"/>
      <c r="EA79" s="179"/>
      <c r="EB79" s="179"/>
      <c r="EC79" s="179"/>
      <c r="ED79" s="179"/>
      <c r="EE79" s="179"/>
      <c r="EF79" s="179"/>
      <c r="EG79" s="179"/>
    </row>
    <row r="80" spans="1:137" s="354" customFormat="1" ht="25.5">
      <c r="A80" s="178">
        <v>79</v>
      </c>
      <c r="B80" s="202" t="s">
        <v>2044</v>
      </c>
      <c r="C80" s="203" t="s">
        <v>2263</v>
      </c>
      <c r="D80" s="189" t="s">
        <v>3834</v>
      </c>
      <c r="E80" s="189" t="s">
        <v>3834</v>
      </c>
      <c r="F80" s="203" t="s">
        <v>3909</v>
      </c>
      <c r="G80" s="203" t="s">
        <v>4017</v>
      </c>
      <c r="H80" s="240"/>
      <c r="I80" s="202" t="s">
        <v>5</v>
      </c>
      <c r="J80" s="204">
        <v>43371</v>
      </c>
      <c r="K80" s="178">
        <f t="shared" si="2"/>
        <v>2018</v>
      </c>
      <c r="L80" s="178">
        <f t="shared" si="3"/>
        <v>9</v>
      </c>
      <c r="M80" s="204">
        <v>43378</v>
      </c>
      <c r="N80" s="333" t="s">
        <v>4058</v>
      </c>
      <c r="O80" s="343">
        <v>15</v>
      </c>
      <c r="P80" s="179"/>
      <c r="Q80" s="179"/>
      <c r="R80" s="179"/>
      <c r="S80" s="179"/>
      <c r="T80" s="179"/>
      <c r="U80" s="179"/>
      <c r="V80" s="179"/>
      <c r="W80" s="179"/>
      <c r="X80" s="179"/>
      <c r="Y80" s="179"/>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c r="BE80" s="179"/>
      <c r="BF80" s="179"/>
      <c r="BG80" s="179"/>
      <c r="BH80" s="179"/>
      <c r="BI80" s="179"/>
      <c r="BJ80" s="179"/>
      <c r="BK80" s="179"/>
      <c r="BL80" s="179"/>
      <c r="BM80" s="179"/>
      <c r="BN80" s="179"/>
      <c r="BO80" s="179"/>
      <c r="BP80" s="179"/>
      <c r="BQ80" s="179"/>
      <c r="BR80" s="179"/>
      <c r="BS80" s="179"/>
      <c r="BT80" s="179"/>
      <c r="BU80" s="179"/>
      <c r="BV80" s="179"/>
      <c r="BW80" s="179"/>
      <c r="BX80" s="179"/>
      <c r="BY80" s="179"/>
      <c r="BZ80" s="179"/>
      <c r="CA80" s="179"/>
      <c r="CB80" s="179"/>
      <c r="CC80" s="179"/>
      <c r="CD80" s="179"/>
      <c r="CE80" s="179"/>
      <c r="CF80" s="179"/>
      <c r="CG80" s="179"/>
      <c r="CH80" s="179"/>
      <c r="CI80" s="179"/>
      <c r="CJ80" s="179"/>
      <c r="CK80" s="179"/>
      <c r="CL80" s="179"/>
      <c r="CM80" s="179"/>
      <c r="CN80" s="179"/>
      <c r="CO80" s="179"/>
      <c r="CP80" s="179"/>
      <c r="CQ80" s="179"/>
      <c r="CR80" s="179"/>
      <c r="CS80" s="179"/>
      <c r="CT80" s="179"/>
      <c r="CU80" s="179"/>
      <c r="CV80" s="179"/>
      <c r="CW80" s="179"/>
      <c r="CX80" s="179"/>
      <c r="CY80" s="179"/>
      <c r="CZ80" s="179"/>
      <c r="DA80" s="179"/>
      <c r="DB80" s="179"/>
      <c r="DC80" s="179"/>
      <c r="DD80" s="179"/>
      <c r="DE80" s="179"/>
      <c r="DF80" s="179"/>
      <c r="DG80" s="179"/>
      <c r="DH80" s="179"/>
      <c r="DI80" s="179"/>
      <c r="DJ80" s="179"/>
      <c r="DK80" s="179"/>
      <c r="DL80" s="179"/>
      <c r="DM80" s="179"/>
      <c r="DN80" s="179"/>
      <c r="DO80" s="179"/>
      <c r="DP80" s="179"/>
      <c r="DQ80" s="179"/>
      <c r="DR80" s="179"/>
      <c r="DS80" s="179"/>
      <c r="DT80" s="179"/>
      <c r="DU80" s="179"/>
      <c r="DV80" s="179"/>
      <c r="DW80" s="179"/>
      <c r="DX80" s="179"/>
      <c r="DY80" s="179"/>
      <c r="DZ80" s="179"/>
      <c r="EA80" s="179"/>
      <c r="EB80" s="179"/>
      <c r="EC80" s="179"/>
      <c r="ED80" s="179"/>
      <c r="EE80" s="179"/>
      <c r="EF80" s="179"/>
      <c r="EG80" s="179"/>
    </row>
    <row r="81" spans="1:137" s="357" customFormat="1" ht="25.5">
      <c r="A81" s="178">
        <v>80</v>
      </c>
      <c r="B81" s="202" t="s">
        <v>2044</v>
      </c>
      <c r="C81" s="277" t="s">
        <v>2263</v>
      </c>
      <c r="D81" s="189" t="s">
        <v>3834</v>
      </c>
      <c r="E81" s="189" t="s">
        <v>3834</v>
      </c>
      <c r="F81" s="277" t="s">
        <v>3909</v>
      </c>
      <c r="G81" s="277" t="s">
        <v>4017</v>
      </c>
      <c r="H81" s="283"/>
      <c r="I81" s="202" t="s">
        <v>5</v>
      </c>
      <c r="J81" s="278">
        <v>43378</v>
      </c>
      <c r="K81" s="178">
        <f t="shared" si="2"/>
        <v>2018</v>
      </c>
      <c r="L81" s="178">
        <f t="shared" si="3"/>
        <v>10</v>
      </c>
      <c r="M81" s="278">
        <v>43498</v>
      </c>
      <c r="N81" s="333" t="s">
        <v>4058</v>
      </c>
      <c r="O81" s="343">
        <v>15</v>
      </c>
      <c r="P81" s="179"/>
      <c r="Q81" s="179"/>
      <c r="R81" s="179"/>
      <c r="S81" s="179"/>
      <c r="T81" s="179"/>
      <c r="U81" s="179"/>
      <c r="V81" s="179"/>
      <c r="W81" s="179"/>
      <c r="X81" s="179"/>
      <c r="Y81" s="179"/>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c r="BE81" s="179"/>
      <c r="BF81" s="179"/>
      <c r="BG81" s="179"/>
      <c r="BH81" s="179"/>
      <c r="BI81" s="179"/>
      <c r="BJ81" s="179"/>
      <c r="BK81" s="179"/>
      <c r="BL81" s="179"/>
      <c r="BM81" s="179"/>
      <c r="BN81" s="179"/>
      <c r="BO81" s="179"/>
      <c r="BP81" s="179"/>
      <c r="BQ81" s="179"/>
      <c r="BR81" s="179"/>
      <c r="BS81" s="179"/>
      <c r="BT81" s="179"/>
      <c r="BU81" s="179"/>
      <c r="BV81" s="179"/>
      <c r="BW81" s="179"/>
      <c r="BX81" s="179"/>
      <c r="BY81" s="179"/>
      <c r="BZ81" s="179"/>
      <c r="CA81" s="179"/>
      <c r="CB81" s="179"/>
      <c r="CC81" s="179"/>
      <c r="CD81" s="179"/>
      <c r="CE81" s="179"/>
      <c r="CF81" s="179"/>
      <c r="CG81" s="179"/>
      <c r="CH81" s="179"/>
      <c r="CI81" s="179"/>
      <c r="CJ81" s="179"/>
      <c r="CK81" s="179"/>
      <c r="CL81" s="179"/>
      <c r="CM81" s="179"/>
      <c r="CN81" s="179"/>
      <c r="CO81" s="179"/>
      <c r="CP81" s="179"/>
      <c r="CQ81" s="179"/>
      <c r="CR81" s="179"/>
      <c r="CS81" s="179"/>
      <c r="CT81" s="179"/>
      <c r="CU81" s="179"/>
      <c r="CV81" s="179"/>
      <c r="CW81" s="179"/>
      <c r="CX81" s="179"/>
      <c r="CY81" s="179"/>
      <c r="CZ81" s="179"/>
      <c r="DA81" s="179"/>
      <c r="DB81" s="179"/>
      <c r="DC81" s="179"/>
      <c r="DD81" s="179"/>
      <c r="DE81" s="179"/>
      <c r="DF81" s="179"/>
      <c r="DG81" s="179"/>
      <c r="DH81" s="179"/>
      <c r="DI81" s="179"/>
      <c r="DJ81" s="179"/>
      <c r="DK81" s="179"/>
      <c r="DL81" s="179"/>
      <c r="DM81" s="179"/>
      <c r="DN81" s="179"/>
      <c r="DO81" s="179"/>
      <c r="DP81" s="179"/>
      <c r="DQ81" s="179"/>
      <c r="DR81" s="179"/>
      <c r="DS81" s="179"/>
      <c r="DT81" s="179"/>
      <c r="DU81" s="179"/>
      <c r="DV81" s="179"/>
      <c r="DW81" s="179"/>
      <c r="DX81" s="179"/>
      <c r="DY81" s="179"/>
      <c r="DZ81" s="179"/>
      <c r="EA81" s="179"/>
      <c r="EB81" s="179"/>
      <c r="EC81" s="179"/>
      <c r="ED81" s="179"/>
      <c r="EE81" s="179"/>
      <c r="EF81" s="179"/>
      <c r="EG81" s="179"/>
    </row>
    <row r="82" spans="1:137" s="357" customFormat="1" ht="25.5">
      <c r="A82" s="178">
        <v>81</v>
      </c>
      <c r="B82" s="202" t="s">
        <v>2044</v>
      </c>
      <c r="C82" s="277" t="s">
        <v>2263</v>
      </c>
      <c r="D82" s="189" t="s">
        <v>3834</v>
      </c>
      <c r="E82" s="189" t="s">
        <v>3834</v>
      </c>
      <c r="F82" s="277" t="s">
        <v>3909</v>
      </c>
      <c r="G82" s="277" t="s">
        <v>4017</v>
      </c>
      <c r="H82" s="283"/>
      <c r="I82" s="202" t="s">
        <v>5</v>
      </c>
      <c r="J82" s="278">
        <v>43378</v>
      </c>
      <c r="K82" s="178">
        <f t="shared" si="2"/>
        <v>2018</v>
      </c>
      <c r="L82" s="178">
        <f t="shared" si="3"/>
        <v>10</v>
      </c>
      <c r="M82" s="278">
        <v>43498</v>
      </c>
      <c r="N82" s="333" t="s">
        <v>4058</v>
      </c>
      <c r="O82" s="343">
        <v>15</v>
      </c>
      <c r="P82" s="179"/>
      <c r="Q82" s="179"/>
      <c r="R82" s="179"/>
      <c r="S82" s="179"/>
      <c r="T82" s="179"/>
      <c r="U82" s="179"/>
      <c r="V82" s="179"/>
      <c r="W82" s="179"/>
      <c r="X82" s="179"/>
      <c r="Y82" s="179"/>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c r="BE82" s="179"/>
      <c r="BF82" s="179"/>
      <c r="BG82" s="179"/>
      <c r="BH82" s="179"/>
      <c r="BI82" s="179"/>
      <c r="BJ82" s="179"/>
      <c r="BK82" s="179"/>
      <c r="BL82" s="179"/>
      <c r="BM82" s="179"/>
      <c r="BN82" s="179"/>
      <c r="BO82" s="179"/>
      <c r="BP82" s="179"/>
      <c r="BQ82" s="179"/>
      <c r="BR82" s="179"/>
      <c r="BS82" s="179"/>
      <c r="BT82" s="179"/>
      <c r="BU82" s="179"/>
      <c r="BV82" s="179"/>
      <c r="BW82" s="179"/>
      <c r="BX82" s="179"/>
      <c r="BY82" s="179"/>
      <c r="BZ82" s="179"/>
      <c r="CA82" s="179"/>
      <c r="CB82" s="179"/>
      <c r="CC82" s="179"/>
      <c r="CD82" s="179"/>
      <c r="CE82" s="179"/>
      <c r="CF82" s="179"/>
      <c r="CG82" s="179"/>
      <c r="CH82" s="179"/>
      <c r="CI82" s="179"/>
      <c r="CJ82" s="179"/>
      <c r="CK82" s="179"/>
      <c r="CL82" s="179"/>
      <c r="CM82" s="179"/>
      <c r="CN82" s="179"/>
      <c r="CO82" s="179"/>
      <c r="CP82" s="179"/>
      <c r="CQ82" s="179"/>
      <c r="CR82" s="179"/>
      <c r="CS82" s="179"/>
      <c r="CT82" s="179"/>
      <c r="CU82" s="179"/>
      <c r="CV82" s="179"/>
      <c r="CW82" s="179"/>
      <c r="CX82" s="179"/>
      <c r="CY82" s="179"/>
      <c r="CZ82" s="179"/>
      <c r="DA82" s="179"/>
      <c r="DB82" s="179"/>
      <c r="DC82" s="179"/>
      <c r="DD82" s="179"/>
      <c r="DE82" s="179"/>
      <c r="DF82" s="179"/>
      <c r="DG82" s="179"/>
      <c r="DH82" s="179"/>
      <c r="DI82" s="179"/>
      <c r="DJ82" s="179"/>
      <c r="DK82" s="179"/>
      <c r="DL82" s="179"/>
      <c r="DM82" s="179"/>
      <c r="DN82" s="179"/>
      <c r="DO82" s="179"/>
      <c r="DP82" s="179"/>
      <c r="DQ82" s="179"/>
      <c r="DR82" s="179"/>
      <c r="DS82" s="179"/>
      <c r="DT82" s="179"/>
      <c r="DU82" s="179"/>
      <c r="DV82" s="179"/>
      <c r="DW82" s="179"/>
      <c r="DX82" s="179"/>
      <c r="DY82" s="179"/>
      <c r="DZ82" s="179"/>
      <c r="EA82" s="179"/>
      <c r="EB82" s="179"/>
      <c r="EC82" s="179"/>
      <c r="ED82" s="179"/>
      <c r="EE82" s="179"/>
      <c r="EF82" s="179"/>
      <c r="EG82" s="179"/>
    </row>
    <row r="83" spans="1:137" s="357" customFormat="1" ht="25.5">
      <c r="A83" s="178">
        <v>82</v>
      </c>
      <c r="B83" s="202" t="s">
        <v>2044</v>
      </c>
      <c r="C83" s="277" t="s">
        <v>2263</v>
      </c>
      <c r="D83" s="189" t="s">
        <v>3834</v>
      </c>
      <c r="E83" s="189" t="s">
        <v>3834</v>
      </c>
      <c r="F83" s="277" t="s">
        <v>3909</v>
      </c>
      <c r="G83" s="277" t="s">
        <v>4017</v>
      </c>
      <c r="H83" s="283"/>
      <c r="I83" s="202" t="s">
        <v>5</v>
      </c>
      <c r="J83" s="278">
        <v>43378</v>
      </c>
      <c r="K83" s="178">
        <f t="shared" si="2"/>
        <v>2018</v>
      </c>
      <c r="L83" s="178">
        <f t="shared" si="3"/>
        <v>10</v>
      </c>
      <c r="M83" s="278">
        <v>43498</v>
      </c>
      <c r="N83" s="333" t="s">
        <v>4058</v>
      </c>
      <c r="O83" s="343">
        <v>15</v>
      </c>
      <c r="P83" s="179"/>
      <c r="Q83" s="179"/>
      <c r="R83" s="179"/>
      <c r="S83" s="179"/>
      <c r="T83" s="179"/>
      <c r="U83" s="179"/>
      <c r="V83" s="179"/>
      <c r="W83" s="179"/>
      <c r="X83" s="179"/>
      <c r="Y83" s="179"/>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c r="BE83" s="179"/>
      <c r="BF83" s="179"/>
      <c r="BG83" s="179"/>
      <c r="BH83" s="179"/>
      <c r="BI83" s="179"/>
      <c r="BJ83" s="179"/>
      <c r="BK83" s="179"/>
      <c r="BL83" s="179"/>
      <c r="BM83" s="179"/>
      <c r="BN83" s="179"/>
      <c r="BO83" s="179"/>
      <c r="BP83" s="179"/>
      <c r="BQ83" s="179"/>
      <c r="BR83" s="179"/>
      <c r="BS83" s="179"/>
      <c r="BT83" s="179"/>
      <c r="BU83" s="179"/>
      <c r="BV83" s="179"/>
      <c r="BW83" s="179"/>
      <c r="BX83" s="179"/>
      <c r="BY83" s="179"/>
      <c r="BZ83" s="179"/>
      <c r="CA83" s="179"/>
      <c r="CB83" s="179"/>
      <c r="CC83" s="179"/>
      <c r="CD83" s="179"/>
      <c r="CE83" s="179"/>
      <c r="CF83" s="179"/>
      <c r="CG83" s="179"/>
      <c r="CH83" s="179"/>
      <c r="CI83" s="179"/>
      <c r="CJ83" s="179"/>
      <c r="CK83" s="179"/>
      <c r="CL83" s="179"/>
      <c r="CM83" s="179"/>
      <c r="CN83" s="179"/>
      <c r="CO83" s="179"/>
      <c r="CP83" s="179"/>
      <c r="CQ83" s="179"/>
      <c r="CR83" s="179"/>
      <c r="CS83" s="179"/>
      <c r="CT83" s="179"/>
      <c r="CU83" s="179"/>
      <c r="CV83" s="179"/>
      <c r="CW83" s="179"/>
      <c r="CX83" s="179"/>
      <c r="CY83" s="179"/>
      <c r="CZ83" s="179"/>
      <c r="DA83" s="179"/>
      <c r="DB83" s="179"/>
      <c r="DC83" s="179"/>
      <c r="DD83" s="179"/>
      <c r="DE83" s="179"/>
      <c r="DF83" s="179"/>
      <c r="DG83" s="179"/>
      <c r="DH83" s="179"/>
      <c r="DI83" s="179"/>
      <c r="DJ83" s="179"/>
      <c r="DK83" s="179"/>
      <c r="DL83" s="179"/>
      <c r="DM83" s="179"/>
      <c r="DN83" s="179"/>
      <c r="DO83" s="179"/>
      <c r="DP83" s="179"/>
      <c r="DQ83" s="179"/>
      <c r="DR83" s="179"/>
      <c r="DS83" s="179"/>
      <c r="DT83" s="179"/>
      <c r="DU83" s="179"/>
      <c r="DV83" s="179"/>
      <c r="DW83" s="179"/>
      <c r="DX83" s="179"/>
      <c r="DY83" s="179"/>
      <c r="DZ83" s="179"/>
      <c r="EA83" s="179"/>
      <c r="EB83" s="179"/>
      <c r="EC83" s="179"/>
      <c r="ED83" s="179"/>
      <c r="EE83" s="179"/>
      <c r="EF83" s="179"/>
      <c r="EG83" s="179"/>
    </row>
    <row r="84" spans="1:137" s="357" customFormat="1" ht="25.5">
      <c r="A84" s="178">
        <v>83</v>
      </c>
      <c r="B84" s="202" t="s">
        <v>2044</v>
      </c>
      <c r="C84" s="277" t="s">
        <v>2263</v>
      </c>
      <c r="D84" s="189" t="s">
        <v>3834</v>
      </c>
      <c r="E84" s="189" t="s">
        <v>3834</v>
      </c>
      <c r="F84" s="277" t="s">
        <v>3910</v>
      </c>
      <c r="G84" s="277" t="s">
        <v>4017</v>
      </c>
      <c r="H84" s="283"/>
      <c r="I84" s="202" t="s">
        <v>5</v>
      </c>
      <c r="J84" s="278">
        <v>43378</v>
      </c>
      <c r="K84" s="178">
        <f t="shared" si="2"/>
        <v>2018</v>
      </c>
      <c r="L84" s="178">
        <f t="shared" si="3"/>
        <v>10</v>
      </c>
      <c r="M84" s="278">
        <v>43498</v>
      </c>
      <c r="N84" s="333" t="s">
        <v>4058</v>
      </c>
      <c r="O84" s="343">
        <v>15</v>
      </c>
      <c r="P84" s="179"/>
      <c r="Q84" s="179"/>
      <c r="R84" s="179"/>
      <c r="S84" s="179"/>
      <c r="T84" s="179"/>
      <c r="U84" s="179"/>
      <c r="V84" s="179"/>
      <c r="W84" s="179"/>
      <c r="X84" s="179"/>
      <c r="Y84" s="179"/>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c r="BE84" s="179"/>
      <c r="BF84" s="179"/>
      <c r="BG84" s="179"/>
      <c r="BH84" s="179"/>
      <c r="BI84" s="179"/>
      <c r="BJ84" s="179"/>
      <c r="BK84" s="179"/>
      <c r="BL84" s="179"/>
      <c r="BM84" s="179"/>
      <c r="BN84" s="179"/>
      <c r="BO84" s="179"/>
      <c r="BP84" s="179"/>
      <c r="BQ84" s="179"/>
      <c r="BR84" s="179"/>
      <c r="BS84" s="179"/>
      <c r="BT84" s="179"/>
      <c r="BU84" s="179"/>
      <c r="BV84" s="179"/>
      <c r="BW84" s="179"/>
      <c r="BX84" s="179"/>
      <c r="BY84" s="179"/>
      <c r="BZ84" s="179"/>
      <c r="CA84" s="179"/>
      <c r="CB84" s="179"/>
      <c r="CC84" s="179"/>
      <c r="CD84" s="179"/>
      <c r="CE84" s="179"/>
      <c r="CF84" s="179"/>
      <c r="CG84" s="179"/>
      <c r="CH84" s="179"/>
      <c r="CI84" s="179"/>
      <c r="CJ84" s="179"/>
      <c r="CK84" s="179"/>
      <c r="CL84" s="179"/>
      <c r="CM84" s="179"/>
      <c r="CN84" s="179"/>
      <c r="CO84" s="179"/>
      <c r="CP84" s="179"/>
      <c r="CQ84" s="179"/>
      <c r="CR84" s="179"/>
      <c r="CS84" s="179"/>
      <c r="CT84" s="179"/>
      <c r="CU84" s="179"/>
      <c r="CV84" s="179"/>
      <c r="CW84" s="179"/>
      <c r="CX84" s="179"/>
      <c r="CY84" s="179"/>
      <c r="CZ84" s="179"/>
      <c r="DA84" s="179"/>
      <c r="DB84" s="179"/>
      <c r="DC84" s="179"/>
      <c r="DD84" s="179"/>
      <c r="DE84" s="179"/>
      <c r="DF84" s="179"/>
      <c r="DG84" s="179"/>
      <c r="DH84" s="179"/>
      <c r="DI84" s="179"/>
      <c r="DJ84" s="179"/>
      <c r="DK84" s="179"/>
      <c r="DL84" s="179"/>
      <c r="DM84" s="179"/>
      <c r="DN84" s="179"/>
      <c r="DO84" s="179"/>
      <c r="DP84" s="179"/>
      <c r="DQ84" s="179"/>
      <c r="DR84" s="179"/>
      <c r="DS84" s="179"/>
      <c r="DT84" s="179"/>
      <c r="DU84" s="179"/>
      <c r="DV84" s="179"/>
      <c r="DW84" s="179"/>
      <c r="DX84" s="179"/>
      <c r="DY84" s="179"/>
      <c r="DZ84" s="179"/>
      <c r="EA84" s="179"/>
      <c r="EB84" s="179"/>
      <c r="EC84" s="179"/>
      <c r="ED84" s="179"/>
      <c r="EE84" s="179"/>
      <c r="EF84" s="179"/>
      <c r="EG84" s="179"/>
    </row>
    <row r="85" spans="1:137" s="357" customFormat="1" ht="25.5">
      <c r="A85" s="178">
        <v>84</v>
      </c>
      <c r="B85" s="202" t="s">
        <v>2044</v>
      </c>
      <c r="C85" s="277" t="s">
        <v>2263</v>
      </c>
      <c r="D85" s="189" t="s">
        <v>3834</v>
      </c>
      <c r="E85" s="189" t="s">
        <v>3834</v>
      </c>
      <c r="F85" s="277" t="s">
        <v>3911</v>
      </c>
      <c r="G85" s="277" t="s">
        <v>4017</v>
      </c>
      <c r="H85" s="283"/>
      <c r="I85" s="202" t="s">
        <v>5</v>
      </c>
      <c r="J85" s="278">
        <v>43378</v>
      </c>
      <c r="K85" s="178">
        <f t="shared" si="2"/>
        <v>2018</v>
      </c>
      <c r="L85" s="178">
        <f t="shared" si="3"/>
        <v>10</v>
      </c>
      <c r="M85" s="278">
        <v>43498</v>
      </c>
      <c r="N85" s="333" t="s">
        <v>4058</v>
      </c>
      <c r="O85" s="343">
        <v>15</v>
      </c>
      <c r="P85" s="179"/>
      <c r="Q85" s="179"/>
      <c r="R85" s="179"/>
      <c r="S85" s="179"/>
      <c r="T85" s="179"/>
      <c r="U85" s="179"/>
      <c r="V85" s="179"/>
      <c r="W85" s="179"/>
      <c r="X85" s="179"/>
      <c r="Y85" s="179"/>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c r="BE85" s="179"/>
      <c r="BF85" s="179"/>
      <c r="BG85" s="179"/>
      <c r="BH85" s="179"/>
      <c r="BI85" s="179"/>
      <c r="BJ85" s="179"/>
      <c r="BK85" s="179"/>
      <c r="BL85" s="179"/>
      <c r="BM85" s="179"/>
      <c r="BN85" s="179"/>
      <c r="BO85" s="179"/>
      <c r="BP85" s="179"/>
      <c r="BQ85" s="179"/>
      <c r="BR85" s="179"/>
      <c r="BS85" s="179"/>
      <c r="BT85" s="179"/>
      <c r="BU85" s="179"/>
      <c r="BV85" s="179"/>
      <c r="BW85" s="179"/>
      <c r="BX85" s="179"/>
      <c r="BY85" s="179"/>
      <c r="BZ85" s="179"/>
      <c r="CA85" s="179"/>
      <c r="CB85" s="179"/>
      <c r="CC85" s="179"/>
      <c r="CD85" s="179"/>
      <c r="CE85" s="179"/>
      <c r="CF85" s="179"/>
      <c r="CG85" s="179"/>
      <c r="CH85" s="179"/>
      <c r="CI85" s="179"/>
      <c r="CJ85" s="179"/>
      <c r="CK85" s="179"/>
      <c r="CL85" s="179"/>
      <c r="CM85" s="179"/>
      <c r="CN85" s="179"/>
      <c r="CO85" s="179"/>
      <c r="CP85" s="179"/>
      <c r="CQ85" s="179"/>
      <c r="CR85" s="179"/>
      <c r="CS85" s="179"/>
      <c r="CT85" s="179"/>
      <c r="CU85" s="179"/>
      <c r="CV85" s="179"/>
      <c r="CW85" s="179"/>
      <c r="CX85" s="179"/>
      <c r="CY85" s="179"/>
      <c r="CZ85" s="179"/>
      <c r="DA85" s="179"/>
      <c r="DB85" s="179"/>
      <c r="DC85" s="179"/>
      <c r="DD85" s="179"/>
      <c r="DE85" s="179"/>
      <c r="DF85" s="179"/>
      <c r="DG85" s="179"/>
      <c r="DH85" s="179"/>
      <c r="DI85" s="179"/>
      <c r="DJ85" s="179"/>
      <c r="DK85" s="179"/>
      <c r="DL85" s="179"/>
      <c r="DM85" s="179"/>
      <c r="DN85" s="179"/>
      <c r="DO85" s="179"/>
      <c r="DP85" s="179"/>
      <c r="DQ85" s="179"/>
      <c r="DR85" s="179"/>
      <c r="DS85" s="179"/>
      <c r="DT85" s="179"/>
      <c r="DU85" s="179"/>
      <c r="DV85" s="179"/>
      <c r="DW85" s="179"/>
      <c r="DX85" s="179"/>
      <c r="DY85" s="179"/>
      <c r="DZ85" s="179"/>
      <c r="EA85" s="179"/>
      <c r="EB85" s="179"/>
      <c r="EC85" s="179"/>
      <c r="ED85" s="179"/>
      <c r="EE85" s="179"/>
      <c r="EF85" s="179"/>
      <c r="EG85" s="179"/>
    </row>
    <row r="86" spans="1:137" s="357" customFormat="1" ht="25.5">
      <c r="A86" s="178">
        <v>85</v>
      </c>
      <c r="B86" s="202" t="s">
        <v>2044</v>
      </c>
      <c r="C86" s="277" t="s">
        <v>2263</v>
      </c>
      <c r="D86" s="189" t="s">
        <v>3834</v>
      </c>
      <c r="E86" s="189" t="s">
        <v>3834</v>
      </c>
      <c r="F86" s="277" t="s">
        <v>3912</v>
      </c>
      <c r="G86" s="277" t="s">
        <v>4017</v>
      </c>
      <c r="H86" s="283"/>
      <c r="I86" s="202" t="s">
        <v>5</v>
      </c>
      <c r="J86" s="278">
        <v>43378</v>
      </c>
      <c r="K86" s="178">
        <f t="shared" si="2"/>
        <v>2018</v>
      </c>
      <c r="L86" s="178">
        <f t="shared" si="3"/>
        <v>10</v>
      </c>
      <c r="M86" s="278">
        <v>43498</v>
      </c>
      <c r="N86" s="333" t="s">
        <v>4058</v>
      </c>
      <c r="O86" s="343">
        <v>15</v>
      </c>
      <c r="P86" s="179"/>
      <c r="Q86" s="179"/>
      <c r="R86" s="179"/>
      <c r="S86" s="179"/>
      <c r="T86" s="179"/>
      <c r="U86" s="179"/>
      <c r="V86" s="179"/>
      <c r="W86" s="179"/>
      <c r="X86" s="179"/>
      <c r="Y86" s="179"/>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c r="BE86" s="179"/>
      <c r="BF86" s="179"/>
      <c r="BG86" s="179"/>
      <c r="BH86" s="179"/>
      <c r="BI86" s="179"/>
      <c r="BJ86" s="179"/>
      <c r="BK86" s="179"/>
      <c r="BL86" s="179"/>
      <c r="BM86" s="179"/>
      <c r="BN86" s="179"/>
      <c r="BO86" s="179"/>
      <c r="BP86" s="179"/>
      <c r="BQ86" s="179"/>
      <c r="BR86" s="179"/>
      <c r="BS86" s="179"/>
      <c r="BT86" s="179"/>
      <c r="BU86" s="179"/>
      <c r="BV86" s="179"/>
      <c r="BW86" s="179"/>
      <c r="BX86" s="179"/>
      <c r="BY86" s="179"/>
      <c r="BZ86" s="179"/>
      <c r="CA86" s="179"/>
      <c r="CB86" s="179"/>
      <c r="CC86" s="179"/>
      <c r="CD86" s="179"/>
      <c r="CE86" s="179"/>
      <c r="CF86" s="179"/>
      <c r="CG86" s="179"/>
      <c r="CH86" s="179"/>
      <c r="CI86" s="179"/>
      <c r="CJ86" s="179"/>
      <c r="CK86" s="179"/>
      <c r="CL86" s="179"/>
      <c r="CM86" s="179"/>
      <c r="CN86" s="179"/>
      <c r="CO86" s="179"/>
      <c r="CP86" s="179"/>
      <c r="CQ86" s="179"/>
      <c r="CR86" s="179"/>
      <c r="CS86" s="179"/>
      <c r="CT86" s="179"/>
      <c r="CU86" s="179"/>
      <c r="CV86" s="179"/>
      <c r="CW86" s="179"/>
      <c r="CX86" s="179"/>
      <c r="CY86" s="179"/>
      <c r="CZ86" s="179"/>
      <c r="DA86" s="179"/>
      <c r="DB86" s="179"/>
      <c r="DC86" s="179"/>
      <c r="DD86" s="179"/>
      <c r="DE86" s="179"/>
      <c r="DF86" s="179"/>
      <c r="DG86" s="179"/>
      <c r="DH86" s="179"/>
      <c r="DI86" s="179"/>
      <c r="DJ86" s="179"/>
      <c r="DK86" s="179"/>
      <c r="DL86" s="179"/>
      <c r="DM86" s="179"/>
      <c r="DN86" s="179"/>
      <c r="DO86" s="179"/>
      <c r="DP86" s="179"/>
      <c r="DQ86" s="179"/>
      <c r="DR86" s="179"/>
      <c r="DS86" s="179"/>
      <c r="DT86" s="179"/>
      <c r="DU86" s="179"/>
      <c r="DV86" s="179"/>
      <c r="DW86" s="179"/>
      <c r="DX86" s="179"/>
      <c r="DY86" s="179"/>
      <c r="DZ86" s="179"/>
      <c r="EA86" s="179"/>
      <c r="EB86" s="179"/>
      <c r="EC86" s="179"/>
      <c r="ED86" s="179"/>
      <c r="EE86" s="179"/>
      <c r="EF86" s="179"/>
      <c r="EG86" s="179"/>
    </row>
    <row r="87" spans="1:137" s="357" customFormat="1" ht="25.5">
      <c r="A87" s="178">
        <v>86</v>
      </c>
      <c r="B87" s="202" t="s">
        <v>2044</v>
      </c>
      <c r="C87" s="277" t="s">
        <v>2263</v>
      </c>
      <c r="D87" s="189" t="s">
        <v>3834</v>
      </c>
      <c r="E87" s="189" t="s">
        <v>3834</v>
      </c>
      <c r="F87" s="277" t="s">
        <v>3912</v>
      </c>
      <c r="G87" s="277" t="s">
        <v>4017</v>
      </c>
      <c r="H87" s="283"/>
      <c r="I87" s="202" t="s">
        <v>5</v>
      </c>
      <c r="J87" s="278">
        <v>43378</v>
      </c>
      <c r="K87" s="178">
        <f t="shared" si="2"/>
        <v>2018</v>
      </c>
      <c r="L87" s="178">
        <f t="shared" si="3"/>
        <v>10</v>
      </c>
      <c r="M87" s="278">
        <v>43498</v>
      </c>
      <c r="N87" s="333" t="s">
        <v>4058</v>
      </c>
      <c r="O87" s="343">
        <v>15</v>
      </c>
      <c r="P87" s="179"/>
      <c r="Q87" s="179"/>
      <c r="R87" s="179"/>
      <c r="S87" s="179"/>
      <c r="T87" s="179"/>
      <c r="U87" s="179"/>
      <c r="V87" s="179"/>
      <c r="W87" s="179"/>
      <c r="X87" s="179"/>
      <c r="Y87" s="179"/>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c r="BE87" s="179"/>
      <c r="BF87" s="179"/>
      <c r="BG87" s="179"/>
      <c r="BH87" s="179"/>
      <c r="BI87" s="179"/>
      <c r="BJ87" s="179"/>
      <c r="BK87" s="179"/>
      <c r="BL87" s="179"/>
      <c r="BM87" s="179"/>
      <c r="BN87" s="179"/>
      <c r="BO87" s="179"/>
      <c r="BP87" s="179"/>
      <c r="BQ87" s="179"/>
      <c r="BR87" s="179"/>
      <c r="BS87" s="179"/>
      <c r="BT87" s="179"/>
      <c r="BU87" s="179"/>
      <c r="BV87" s="179"/>
      <c r="BW87" s="179"/>
      <c r="BX87" s="179"/>
      <c r="BY87" s="179"/>
      <c r="BZ87" s="179"/>
      <c r="CA87" s="179"/>
      <c r="CB87" s="179"/>
      <c r="CC87" s="179"/>
      <c r="CD87" s="179"/>
      <c r="CE87" s="179"/>
      <c r="CF87" s="179"/>
      <c r="CG87" s="179"/>
      <c r="CH87" s="179"/>
      <c r="CI87" s="179"/>
      <c r="CJ87" s="179"/>
      <c r="CK87" s="179"/>
      <c r="CL87" s="179"/>
      <c r="CM87" s="179"/>
      <c r="CN87" s="179"/>
      <c r="CO87" s="179"/>
      <c r="CP87" s="179"/>
      <c r="CQ87" s="179"/>
      <c r="CR87" s="179"/>
      <c r="CS87" s="179"/>
      <c r="CT87" s="179"/>
      <c r="CU87" s="179"/>
      <c r="CV87" s="179"/>
      <c r="CW87" s="179"/>
      <c r="CX87" s="179"/>
      <c r="CY87" s="179"/>
      <c r="CZ87" s="179"/>
      <c r="DA87" s="179"/>
      <c r="DB87" s="179"/>
      <c r="DC87" s="179"/>
      <c r="DD87" s="179"/>
      <c r="DE87" s="179"/>
      <c r="DF87" s="179"/>
      <c r="DG87" s="179"/>
      <c r="DH87" s="179"/>
      <c r="DI87" s="179"/>
      <c r="DJ87" s="179"/>
      <c r="DK87" s="179"/>
      <c r="DL87" s="179"/>
      <c r="DM87" s="179"/>
      <c r="DN87" s="179"/>
      <c r="DO87" s="179"/>
      <c r="DP87" s="179"/>
      <c r="DQ87" s="179"/>
      <c r="DR87" s="179"/>
      <c r="DS87" s="179"/>
      <c r="DT87" s="179"/>
      <c r="DU87" s="179"/>
      <c r="DV87" s="179"/>
      <c r="DW87" s="179"/>
      <c r="DX87" s="179"/>
      <c r="DY87" s="179"/>
      <c r="DZ87" s="179"/>
      <c r="EA87" s="179"/>
      <c r="EB87" s="179"/>
      <c r="EC87" s="179"/>
      <c r="ED87" s="179"/>
      <c r="EE87" s="179"/>
      <c r="EF87" s="179"/>
      <c r="EG87" s="179"/>
    </row>
    <row r="88" spans="1:137" s="358" customFormat="1">
      <c r="A88" s="494">
        <v>87</v>
      </c>
      <c r="B88" s="487" t="s">
        <v>2049</v>
      </c>
      <c r="C88" s="489" t="s">
        <v>2271</v>
      </c>
      <c r="D88" s="489"/>
      <c r="E88" s="496" t="e">
        <v>#N/A</v>
      </c>
      <c r="F88" s="489" t="s">
        <v>3815</v>
      </c>
      <c r="G88" s="489" t="s">
        <v>4018</v>
      </c>
      <c r="H88" s="490"/>
      <c r="I88" s="487"/>
      <c r="J88" s="491"/>
      <c r="K88" s="494"/>
      <c r="L88" s="494"/>
      <c r="M88" s="491"/>
      <c r="N88" s="492"/>
      <c r="O88" s="500"/>
      <c r="P88" s="179"/>
      <c r="Q88" s="179"/>
      <c r="R88" s="179"/>
      <c r="S88" s="179"/>
      <c r="T88" s="179"/>
      <c r="U88" s="179"/>
      <c r="V88" s="179"/>
      <c r="W88" s="179"/>
      <c r="X88" s="179"/>
      <c r="Y88" s="179"/>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c r="BE88" s="179"/>
      <c r="BF88" s="179"/>
      <c r="BG88" s="179"/>
      <c r="BH88" s="179"/>
      <c r="BI88" s="179"/>
      <c r="BJ88" s="179"/>
      <c r="BK88" s="179"/>
      <c r="BL88" s="179"/>
      <c r="BM88" s="179"/>
      <c r="BN88" s="179"/>
      <c r="BO88" s="179"/>
      <c r="BP88" s="179"/>
      <c r="BQ88" s="179"/>
      <c r="BR88" s="179"/>
      <c r="BS88" s="179"/>
      <c r="BT88" s="179"/>
      <c r="BU88" s="179"/>
      <c r="BV88" s="179"/>
      <c r="BW88" s="179"/>
      <c r="BX88" s="179"/>
      <c r="BY88" s="179"/>
      <c r="BZ88" s="179"/>
      <c r="CA88" s="179"/>
      <c r="CB88" s="179"/>
      <c r="CC88" s="179"/>
      <c r="CD88" s="179"/>
      <c r="CE88" s="179"/>
      <c r="CF88" s="179"/>
      <c r="CG88" s="179"/>
      <c r="CH88" s="179"/>
      <c r="CI88" s="179"/>
      <c r="CJ88" s="179"/>
      <c r="CK88" s="179"/>
      <c r="CL88" s="179"/>
      <c r="CM88" s="179"/>
      <c r="CN88" s="179"/>
      <c r="CO88" s="179"/>
      <c r="CP88" s="179"/>
      <c r="CQ88" s="179"/>
      <c r="CR88" s="179"/>
      <c r="CS88" s="179"/>
      <c r="CT88" s="179"/>
      <c r="CU88" s="179"/>
      <c r="CV88" s="179"/>
      <c r="CW88" s="179"/>
      <c r="CX88" s="179"/>
      <c r="CY88" s="179"/>
      <c r="CZ88" s="179"/>
      <c r="DA88" s="179"/>
      <c r="DB88" s="179"/>
      <c r="DC88" s="179"/>
      <c r="DD88" s="179"/>
      <c r="DE88" s="179"/>
      <c r="DF88" s="179"/>
      <c r="DG88" s="179"/>
      <c r="DH88" s="179"/>
      <c r="DI88" s="179"/>
      <c r="DJ88" s="179"/>
      <c r="DK88" s="179"/>
      <c r="DL88" s="179"/>
      <c r="DM88" s="179"/>
      <c r="DN88" s="179"/>
      <c r="DO88" s="179"/>
      <c r="DP88" s="179"/>
      <c r="DQ88" s="179"/>
      <c r="DR88" s="179"/>
      <c r="DS88" s="179"/>
      <c r="DT88" s="179"/>
      <c r="DU88" s="179"/>
      <c r="DV88" s="179"/>
      <c r="DW88" s="179"/>
      <c r="DX88" s="179"/>
      <c r="DY88" s="179"/>
      <c r="DZ88" s="179"/>
      <c r="EA88" s="179"/>
      <c r="EB88" s="179"/>
      <c r="EC88" s="179"/>
      <c r="ED88" s="179"/>
      <c r="EE88" s="179"/>
      <c r="EF88" s="179"/>
      <c r="EG88" s="179"/>
    </row>
    <row r="89" spans="1:137" s="354" customFormat="1" ht="51">
      <c r="A89" s="178">
        <v>88</v>
      </c>
      <c r="B89" s="202" t="s">
        <v>2044</v>
      </c>
      <c r="C89" s="203" t="s">
        <v>2273</v>
      </c>
      <c r="D89" s="203" t="s">
        <v>4070</v>
      </c>
      <c r="E89" s="189" t="s">
        <v>3835</v>
      </c>
      <c r="F89" s="203" t="s">
        <v>3913</v>
      </c>
      <c r="G89" s="203" t="s">
        <v>4019</v>
      </c>
      <c r="H89" s="240"/>
      <c r="I89" s="202" t="s">
        <v>5</v>
      </c>
      <c r="J89" s="204">
        <v>43386</v>
      </c>
      <c r="K89" s="178">
        <f t="shared" si="2"/>
        <v>2018</v>
      </c>
      <c r="L89" s="178">
        <f t="shared" si="3"/>
        <v>10</v>
      </c>
      <c r="M89" s="204">
        <v>43403</v>
      </c>
      <c r="N89" s="333" t="s">
        <v>4058</v>
      </c>
      <c r="O89" s="343">
        <v>23</v>
      </c>
      <c r="P89" s="179"/>
      <c r="Q89" s="179"/>
      <c r="R89" s="179"/>
      <c r="S89" s="179"/>
      <c r="T89" s="179"/>
      <c r="U89" s="179"/>
      <c r="V89" s="179"/>
      <c r="W89" s="179"/>
      <c r="X89" s="179"/>
      <c r="Y89" s="179"/>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c r="BE89" s="179"/>
      <c r="BF89" s="179"/>
      <c r="BG89" s="179"/>
      <c r="BH89" s="179"/>
      <c r="BI89" s="179"/>
      <c r="BJ89" s="179"/>
      <c r="BK89" s="179"/>
      <c r="BL89" s="179"/>
      <c r="BM89" s="179"/>
      <c r="BN89" s="179"/>
      <c r="BO89" s="179"/>
      <c r="BP89" s="179"/>
      <c r="BQ89" s="179"/>
      <c r="BR89" s="179"/>
      <c r="BS89" s="179"/>
      <c r="BT89" s="179"/>
      <c r="BU89" s="179"/>
      <c r="BV89" s="179"/>
      <c r="BW89" s="179"/>
      <c r="BX89" s="179"/>
      <c r="BY89" s="179"/>
      <c r="BZ89" s="179"/>
      <c r="CA89" s="179"/>
      <c r="CB89" s="179"/>
      <c r="CC89" s="179"/>
      <c r="CD89" s="179"/>
      <c r="CE89" s="179"/>
      <c r="CF89" s="179"/>
      <c r="CG89" s="179"/>
      <c r="CH89" s="179"/>
      <c r="CI89" s="179"/>
      <c r="CJ89" s="179"/>
      <c r="CK89" s="179"/>
      <c r="CL89" s="179"/>
      <c r="CM89" s="179"/>
      <c r="CN89" s="179"/>
      <c r="CO89" s="179"/>
      <c r="CP89" s="179"/>
      <c r="CQ89" s="179"/>
      <c r="CR89" s="179"/>
      <c r="CS89" s="179"/>
      <c r="CT89" s="179"/>
      <c r="CU89" s="179"/>
      <c r="CV89" s="179"/>
      <c r="CW89" s="179"/>
      <c r="CX89" s="179"/>
      <c r="CY89" s="179"/>
      <c r="CZ89" s="179"/>
      <c r="DA89" s="179"/>
      <c r="DB89" s="179"/>
      <c r="DC89" s="179"/>
      <c r="DD89" s="179"/>
      <c r="DE89" s="179"/>
      <c r="DF89" s="179"/>
      <c r="DG89" s="179"/>
      <c r="DH89" s="179"/>
      <c r="DI89" s="179"/>
      <c r="DJ89" s="179"/>
      <c r="DK89" s="179"/>
      <c r="DL89" s="179"/>
      <c r="DM89" s="179"/>
      <c r="DN89" s="179"/>
      <c r="DO89" s="179"/>
      <c r="DP89" s="179"/>
      <c r="DQ89" s="179"/>
      <c r="DR89" s="179"/>
      <c r="DS89" s="179"/>
      <c r="DT89" s="179"/>
      <c r="DU89" s="179"/>
      <c r="DV89" s="179"/>
      <c r="DW89" s="179"/>
      <c r="DX89" s="179"/>
      <c r="DY89" s="179"/>
      <c r="DZ89" s="179"/>
      <c r="EA89" s="179"/>
      <c r="EB89" s="179"/>
      <c r="EC89" s="179"/>
      <c r="ED89" s="179"/>
      <c r="EE89" s="179"/>
      <c r="EF89" s="179"/>
      <c r="EG89" s="179"/>
    </row>
    <row r="90" spans="1:137" s="354" customFormat="1" ht="25.5">
      <c r="A90" s="178">
        <v>89</v>
      </c>
      <c r="B90" s="202" t="s">
        <v>2044</v>
      </c>
      <c r="C90" s="203" t="s">
        <v>2273</v>
      </c>
      <c r="D90" s="13" t="s">
        <v>3971</v>
      </c>
      <c r="E90" s="189" t="s">
        <v>3836</v>
      </c>
      <c r="F90" s="203" t="s">
        <v>3914</v>
      </c>
      <c r="G90" s="203" t="s">
        <v>3836</v>
      </c>
      <c r="H90" s="240"/>
      <c r="I90" s="202" t="s">
        <v>5</v>
      </c>
      <c r="J90" s="204">
        <v>43386</v>
      </c>
      <c r="K90" s="178">
        <f t="shared" si="2"/>
        <v>2018</v>
      </c>
      <c r="L90" s="178">
        <f t="shared" si="3"/>
        <v>10</v>
      </c>
      <c r="M90" s="204">
        <v>43403</v>
      </c>
      <c r="N90" s="333" t="s">
        <v>4058</v>
      </c>
      <c r="O90" s="343">
        <v>8</v>
      </c>
      <c r="P90" s="179"/>
      <c r="Q90" s="179"/>
      <c r="R90" s="179"/>
      <c r="S90" s="179"/>
      <c r="T90" s="179"/>
      <c r="U90" s="179"/>
      <c r="V90" s="179"/>
      <c r="W90" s="179"/>
      <c r="X90" s="179"/>
      <c r="Y90" s="179"/>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c r="BE90" s="179"/>
      <c r="BF90" s="179"/>
      <c r="BG90" s="179"/>
      <c r="BH90" s="179"/>
      <c r="BI90" s="179"/>
      <c r="BJ90" s="179"/>
      <c r="BK90" s="179"/>
      <c r="BL90" s="179"/>
      <c r="BM90" s="179"/>
      <c r="BN90" s="179"/>
      <c r="BO90" s="179"/>
      <c r="BP90" s="179"/>
      <c r="BQ90" s="179"/>
      <c r="BR90" s="179"/>
      <c r="BS90" s="179"/>
      <c r="BT90" s="179"/>
      <c r="BU90" s="179"/>
      <c r="BV90" s="179"/>
      <c r="BW90" s="179"/>
      <c r="BX90" s="179"/>
      <c r="BY90" s="179"/>
      <c r="BZ90" s="179"/>
      <c r="CA90" s="179"/>
      <c r="CB90" s="179"/>
      <c r="CC90" s="179"/>
      <c r="CD90" s="179"/>
      <c r="CE90" s="179"/>
      <c r="CF90" s="179"/>
      <c r="CG90" s="179"/>
      <c r="CH90" s="179"/>
      <c r="CI90" s="179"/>
      <c r="CJ90" s="179"/>
      <c r="CK90" s="179"/>
      <c r="CL90" s="179"/>
      <c r="CM90" s="179"/>
      <c r="CN90" s="179"/>
      <c r="CO90" s="179"/>
      <c r="CP90" s="179"/>
      <c r="CQ90" s="179"/>
      <c r="CR90" s="179"/>
      <c r="CS90" s="179"/>
      <c r="CT90" s="179"/>
      <c r="CU90" s="179"/>
      <c r="CV90" s="179"/>
      <c r="CW90" s="179"/>
      <c r="CX90" s="179"/>
      <c r="CY90" s="179"/>
      <c r="CZ90" s="179"/>
      <c r="DA90" s="179"/>
      <c r="DB90" s="179"/>
      <c r="DC90" s="179"/>
      <c r="DD90" s="179"/>
      <c r="DE90" s="179"/>
      <c r="DF90" s="179"/>
      <c r="DG90" s="179"/>
      <c r="DH90" s="179"/>
      <c r="DI90" s="179"/>
      <c r="DJ90" s="179"/>
      <c r="DK90" s="179"/>
      <c r="DL90" s="179"/>
      <c r="DM90" s="179"/>
      <c r="DN90" s="179"/>
      <c r="DO90" s="179"/>
      <c r="DP90" s="179"/>
      <c r="DQ90" s="179"/>
      <c r="DR90" s="179"/>
      <c r="DS90" s="179"/>
      <c r="DT90" s="179"/>
      <c r="DU90" s="179"/>
      <c r="DV90" s="179"/>
      <c r="DW90" s="179"/>
      <c r="DX90" s="179"/>
      <c r="DY90" s="179"/>
      <c r="DZ90" s="179"/>
      <c r="EA90" s="179"/>
      <c r="EB90" s="179"/>
      <c r="EC90" s="179"/>
      <c r="ED90" s="179"/>
      <c r="EE90" s="179"/>
      <c r="EF90" s="179"/>
      <c r="EG90" s="179"/>
    </row>
    <row r="91" spans="1:137" s="353" customFormat="1" ht="26.25" thickBot="1">
      <c r="A91" s="235">
        <v>90</v>
      </c>
      <c r="B91" s="202" t="s">
        <v>2048</v>
      </c>
      <c r="C91" s="203" t="s">
        <v>2289</v>
      </c>
      <c r="D91" s="203" t="s">
        <v>4070</v>
      </c>
      <c r="E91" s="236" t="s">
        <v>3835</v>
      </c>
      <c r="F91" s="203" t="s">
        <v>3915</v>
      </c>
      <c r="G91" s="203" t="s">
        <v>4020</v>
      </c>
      <c r="H91" s="240" t="s">
        <v>2291</v>
      </c>
      <c r="I91" s="202"/>
      <c r="J91" s="204">
        <v>43426</v>
      </c>
      <c r="K91" s="235">
        <f t="shared" si="2"/>
        <v>2018</v>
      </c>
      <c r="L91" s="235">
        <f t="shared" si="3"/>
        <v>11</v>
      </c>
      <c r="M91" s="204"/>
      <c r="N91" s="342"/>
      <c r="O91" s="488"/>
      <c r="P91" s="179"/>
      <c r="Q91" s="179"/>
      <c r="R91" s="179"/>
      <c r="S91" s="179"/>
      <c r="T91" s="179"/>
      <c r="U91" s="179"/>
      <c r="V91" s="179"/>
      <c r="W91" s="179"/>
      <c r="X91" s="179"/>
      <c r="Y91" s="179"/>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c r="BE91" s="179"/>
      <c r="BF91" s="179"/>
      <c r="BG91" s="179"/>
      <c r="BH91" s="179"/>
      <c r="BI91" s="179"/>
      <c r="BJ91" s="179"/>
      <c r="BK91" s="179"/>
      <c r="BL91" s="179"/>
      <c r="BM91" s="179"/>
      <c r="BN91" s="179"/>
      <c r="BO91" s="179"/>
      <c r="BP91" s="179"/>
      <c r="BQ91" s="179"/>
      <c r="BR91" s="179"/>
      <c r="BS91" s="179"/>
      <c r="BT91" s="179"/>
      <c r="BU91" s="179"/>
      <c r="BV91" s="179"/>
      <c r="BW91" s="179"/>
      <c r="BX91" s="179"/>
      <c r="BY91" s="179"/>
      <c r="BZ91" s="179"/>
      <c r="CA91" s="179"/>
      <c r="CB91" s="179"/>
      <c r="CC91" s="179"/>
      <c r="CD91" s="179"/>
      <c r="CE91" s="179"/>
      <c r="CF91" s="179"/>
      <c r="CG91" s="179"/>
      <c r="CH91" s="179"/>
      <c r="CI91" s="179"/>
      <c r="CJ91" s="179"/>
      <c r="CK91" s="179"/>
      <c r="CL91" s="179"/>
      <c r="CM91" s="179"/>
      <c r="CN91" s="179"/>
      <c r="CO91" s="179"/>
      <c r="CP91" s="179"/>
      <c r="CQ91" s="179"/>
      <c r="CR91" s="179"/>
      <c r="CS91" s="179"/>
      <c r="CT91" s="179"/>
      <c r="CU91" s="179"/>
      <c r="CV91" s="179"/>
      <c r="CW91" s="179"/>
      <c r="CX91" s="179"/>
      <c r="CY91" s="179"/>
      <c r="CZ91" s="179"/>
      <c r="DA91" s="179"/>
      <c r="DB91" s="179"/>
      <c r="DC91" s="179"/>
      <c r="DD91" s="179"/>
      <c r="DE91" s="179"/>
      <c r="DF91" s="179"/>
      <c r="DG91" s="179"/>
      <c r="DH91" s="179"/>
      <c r="DI91" s="179"/>
      <c r="DJ91" s="179"/>
      <c r="DK91" s="179"/>
      <c r="DL91" s="179"/>
      <c r="DM91" s="179"/>
      <c r="DN91" s="179"/>
      <c r="DO91" s="179"/>
      <c r="DP91" s="179"/>
      <c r="DQ91" s="179"/>
      <c r="DR91" s="179"/>
      <c r="DS91" s="179"/>
      <c r="DT91" s="179"/>
      <c r="DU91" s="179"/>
      <c r="DV91" s="179"/>
      <c r="DW91" s="179"/>
      <c r="DX91" s="179"/>
      <c r="DY91" s="179"/>
      <c r="DZ91" s="179"/>
      <c r="EA91" s="179"/>
      <c r="EB91" s="179"/>
      <c r="EC91" s="179"/>
      <c r="ED91" s="179"/>
      <c r="EE91" s="179"/>
      <c r="EF91" s="179"/>
      <c r="EG91" s="179"/>
    </row>
    <row r="92" spans="1:137" s="354" customFormat="1" ht="25.5">
      <c r="A92" s="178">
        <v>91</v>
      </c>
      <c r="B92" s="202" t="s">
        <v>2044</v>
      </c>
      <c r="C92" s="203" t="s">
        <v>2292</v>
      </c>
      <c r="D92" s="526" t="s">
        <v>3971</v>
      </c>
      <c r="E92" s="385" t="s">
        <v>4021</v>
      </c>
      <c r="F92" s="203" t="s">
        <v>3916</v>
      </c>
      <c r="G92" s="203" t="s">
        <v>4021</v>
      </c>
      <c r="H92" s="240"/>
      <c r="I92" s="202" t="s">
        <v>5</v>
      </c>
      <c r="J92" s="204">
        <v>43379</v>
      </c>
      <c r="K92" s="178">
        <f t="shared" si="2"/>
        <v>2018</v>
      </c>
      <c r="L92" s="178">
        <f t="shared" si="3"/>
        <v>10</v>
      </c>
      <c r="M92" s="204">
        <v>43412</v>
      </c>
      <c r="N92" s="333" t="s">
        <v>4058</v>
      </c>
      <c r="O92" s="343">
        <v>8</v>
      </c>
      <c r="P92" s="179"/>
      <c r="Q92" s="179"/>
      <c r="R92" s="179"/>
      <c r="S92" s="179"/>
      <c r="T92" s="179"/>
      <c r="U92" s="179"/>
      <c r="V92" s="179"/>
      <c r="W92" s="179"/>
      <c r="X92" s="179"/>
      <c r="Y92" s="179"/>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c r="BE92" s="179"/>
      <c r="BF92" s="179"/>
      <c r="BG92" s="179"/>
      <c r="BH92" s="179"/>
      <c r="BI92" s="179"/>
      <c r="BJ92" s="179"/>
      <c r="BK92" s="179"/>
      <c r="BL92" s="179"/>
      <c r="BM92" s="179"/>
      <c r="BN92" s="179"/>
      <c r="BO92" s="179"/>
      <c r="BP92" s="179"/>
      <c r="BQ92" s="179"/>
      <c r="BR92" s="179"/>
      <c r="BS92" s="179"/>
      <c r="BT92" s="179"/>
      <c r="BU92" s="179"/>
      <c r="BV92" s="179"/>
      <c r="BW92" s="179"/>
      <c r="BX92" s="179"/>
      <c r="BY92" s="179"/>
      <c r="BZ92" s="179"/>
      <c r="CA92" s="179"/>
      <c r="CB92" s="179"/>
      <c r="CC92" s="179"/>
      <c r="CD92" s="179"/>
      <c r="CE92" s="179"/>
      <c r="CF92" s="179"/>
      <c r="CG92" s="179"/>
      <c r="CH92" s="179"/>
      <c r="CI92" s="179"/>
      <c r="CJ92" s="179"/>
      <c r="CK92" s="179"/>
      <c r="CL92" s="179"/>
      <c r="CM92" s="179"/>
      <c r="CN92" s="179"/>
      <c r="CO92" s="179"/>
      <c r="CP92" s="179"/>
      <c r="CQ92" s="179"/>
      <c r="CR92" s="179"/>
      <c r="CS92" s="179"/>
      <c r="CT92" s="179"/>
      <c r="CU92" s="179"/>
      <c r="CV92" s="179"/>
      <c r="CW92" s="179"/>
      <c r="CX92" s="179"/>
      <c r="CY92" s="179"/>
      <c r="CZ92" s="179"/>
      <c r="DA92" s="179"/>
      <c r="DB92" s="179"/>
      <c r="DC92" s="179"/>
      <c r="DD92" s="179"/>
      <c r="DE92" s="179"/>
      <c r="DF92" s="179"/>
      <c r="DG92" s="179"/>
      <c r="DH92" s="179"/>
      <c r="DI92" s="179"/>
      <c r="DJ92" s="179"/>
      <c r="DK92" s="179"/>
      <c r="DL92" s="179"/>
      <c r="DM92" s="179"/>
      <c r="DN92" s="179"/>
      <c r="DO92" s="179"/>
      <c r="DP92" s="179"/>
      <c r="DQ92" s="179"/>
      <c r="DR92" s="179"/>
      <c r="DS92" s="179"/>
      <c r="DT92" s="179"/>
      <c r="DU92" s="179"/>
      <c r="DV92" s="179"/>
      <c r="DW92" s="179"/>
      <c r="DX92" s="179"/>
      <c r="DY92" s="179"/>
      <c r="DZ92" s="179"/>
      <c r="EA92" s="179"/>
      <c r="EB92" s="179"/>
      <c r="EC92" s="179"/>
      <c r="ED92" s="179"/>
      <c r="EE92" s="179"/>
      <c r="EF92" s="179"/>
      <c r="EG92" s="179"/>
    </row>
    <row r="93" spans="1:137" s="354" customFormat="1">
      <c r="A93" s="178">
        <v>92</v>
      </c>
      <c r="B93" s="202" t="s">
        <v>2044</v>
      </c>
      <c r="C93" s="203" t="s">
        <v>2292</v>
      </c>
      <c r="D93" s="203" t="s">
        <v>4071</v>
      </c>
      <c r="E93" s="189" t="s">
        <v>3837</v>
      </c>
      <c r="F93" s="203" t="s">
        <v>3917</v>
      </c>
      <c r="G93" s="203" t="s">
        <v>3837</v>
      </c>
      <c r="H93" s="240"/>
      <c r="I93" s="202" t="s">
        <v>5</v>
      </c>
      <c r="J93" s="204">
        <v>43379</v>
      </c>
      <c r="K93" s="178">
        <f t="shared" si="2"/>
        <v>2018</v>
      </c>
      <c r="L93" s="178">
        <f t="shared" si="3"/>
        <v>10</v>
      </c>
      <c r="M93" s="204">
        <v>43412</v>
      </c>
      <c r="N93" s="333" t="s">
        <v>4058</v>
      </c>
      <c r="O93" s="343">
        <v>13</v>
      </c>
      <c r="P93" s="179"/>
      <c r="Q93" s="179"/>
      <c r="R93" s="179"/>
      <c r="S93" s="179"/>
      <c r="T93" s="179"/>
      <c r="U93" s="179"/>
      <c r="V93" s="179"/>
      <c r="W93" s="179"/>
      <c r="X93" s="179"/>
      <c r="Y93" s="179"/>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c r="BE93" s="179"/>
      <c r="BF93" s="179"/>
      <c r="BG93" s="179"/>
      <c r="BH93" s="179"/>
      <c r="BI93" s="179"/>
      <c r="BJ93" s="179"/>
      <c r="BK93" s="179"/>
      <c r="BL93" s="179"/>
      <c r="BM93" s="179"/>
      <c r="BN93" s="179"/>
      <c r="BO93" s="179"/>
      <c r="BP93" s="179"/>
      <c r="BQ93" s="179"/>
      <c r="BR93" s="179"/>
      <c r="BS93" s="179"/>
      <c r="BT93" s="179"/>
      <c r="BU93" s="179"/>
      <c r="BV93" s="179"/>
      <c r="BW93" s="179"/>
      <c r="BX93" s="179"/>
      <c r="BY93" s="179"/>
      <c r="BZ93" s="179"/>
      <c r="CA93" s="179"/>
      <c r="CB93" s="179"/>
      <c r="CC93" s="179"/>
      <c r="CD93" s="179"/>
      <c r="CE93" s="179"/>
      <c r="CF93" s="179"/>
      <c r="CG93" s="179"/>
      <c r="CH93" s="179"/>
      <c r="CI93" s="179"/>
      <c r="CJ93" s="179"/>
      <c r="CK93" s="179"/>
      <c r="CL93" s="179"/>
      <c r="CM93" s="179"/>
      <c r="CN93" s="179"/>
      <c r="CO93" s="179"/>
      <c r="CP93" s="179"/>
      <c r="CQ93" s="179"/>
      <c r="CR93" s="179"/>
      <c r="CS93" s="179"/>
      <c r="CT93" s="179"/>
      <c r="CU93" s="179"/>
      <c r="CV93" s="179"/>
      <c r="CW93" s="179"/>
      <c r="CX93" s="179"/>
      <c r="CY93" s="179"/>
      <c r="CZ93" s="179"/>
      <c r="DA93" s="179"/>
      <c r="DB93" s="179"/>
      <c r="DC93" s="179"/>
      <c r="DD93" s="179"/>
      <c r="DE93" s="179"/>
      <c r="DF93" s="179"/>
      <c r="DG93" s="179"/>
      <c r="DH93" s="179"/>
      <c r="DI93" s="179"/>
      <c r="DJ93" s="179"/>
      <c r="DK93" s="179"/>
      <c r="DL93" s="179"/>
      <c r="DM93" s="179"/>
      <c r="DN93" s="179"/>
      <c r="DO93" s="179"/>
      <c r="DP93" s="179"/>
      <c r="DQ93" s="179"/>
      <c r="DR93" s="179"/>
      <c r="DS93" s="179"/>
      <c r="DT93" s="179"/>
      <c r="DU93" s="179"/>
      <c r="DV93" s="179"/>
      <c r="DW93" s="179"/>
      <c r="DX93" s="179"/>
      <c r="DY93" s="179"/>
      <c r="DZ93" s="179"/>
      <c r="EA93" s="179"/>
      <c r="EB93" s="179"/>
      <c r="EC93" s="179"/>
      <c r="ED93" s="179"/>
      <c r="EE93" s="179"/>
      <c r="EF93" s="179"/>
      <c r="EG93" s="179"/>
    </row>
    <row r="94" spans="1:137" s="354" customFormat="1" ht="25.5">
      <c r="A94" s="178">
        <v>93</v>
      </c>
      <c r="B94" s="202" t="s">
        <v>2044</v>
      </c>
      <c r="C94" s="203" t="s">
        <v>2293</v>
      </c>
      <c r="D94" s="13" t="s">
        <v>3971</v>
      </c>
      <c r="E94" s="189" t="s">
        <v>3816</v>
      </c>
      <c r="F94" s="203" t="s">
        <v>3918</v>
      </c>
      <c r="G94" s="203" t="s">
        <v>4022</v>
      </c>
      <c r="H94" s="240"/>
      <c r="I94" s="204" t="s">
        <v>2310</v>
      </c>
      <c r="J94" s="204">
        <v>43436</v>
      </c>
      <c r="K94" s="178">
        <f t="shared" si="2"/>
        <v>2018</v>
      </c>
      <c r="L94" s="178">
        <f t="shared" si="3"/>
        <v>12</v>
      </c>
      <c r="M94" s="204">
        <v>43476</v>
      </c>
      <c r="N94" s="336">
        <v>1</v>
      </c>
      <c r="O94" s="343">
        <v>8</v>
      </c>
      <c r="P94" s="179"/>
      <c r="Q94" s="179"/>
      <c r="R94" s="179"/>
      <c r="S94" s="179"/>
      <c r="T94" s="179"/>
      <c r="U94" s="179"/>
      <c r="V94" s="179"/>
      <c r="W94" s="179"/>
      <c r="X94" s="179"/>
      <c r="Y94" s="179"/>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c r="BE94" s="179"/>
      <c r="BF94" s="179"/>
      <c r="BG94" s="179"/>
      <c r="BH94" s="179"/>
      <c r="BI94" s="179"/>
      <c r="BJ94" s="179"/>
      <c r="BK94" s="179"/>
      <c r="BL94" s="179"/>
      <c r="BM94" s="179"/>
      <c r="BN94" s="179"/>
      <c r="BO94" s="179"/>
      <c r="BP94" s="179"/>
      <c r="BQ94" s="179"/>
      <c r="BR94" s="179"/>
      <c r="BS94" s="179"/>
      <c r="BT94" s="179"/>
      <c r="BU94" s="179"/>
      <c r="BV94" s="179"/>
      <c r="BW94" s="179"/>
      <c r="BX94" s="179"/>
      <c r="BY94" s="179"/>
      <c r="BZ94" s="179"/>
      <c r="CA94" s="179"/>
      <c r="CB94" s="179"/>
      <c r="CC94" s="179"/>
      <c r="CD94" s="179"/>
      <c r="CE94" s="179"/>
      <c r="CF94" s="179"/>
      <c r="CG94" s="179"/>
      <c r="CH94" s="179"/>
      <c r="CI94" s="179"/>
      <c r="CJ94" s="179"/>
      <c r="CK94" s="179"/>
      <c r="CL94" s="179"/>
      <c r="CM94" s="179"/>
      <c r="CN94" s="179"/>
      <c r="CO94" s="179"/>
      <c r="CP94" s="179"/>
      <c r="CQ94" s="179"/>
      <c r="CR94" s="179"/>
      <c r="CS94" s="179"/>
      <c r="CT94" s="179"/>
      <c r="CU94" s="179"/>
      <c r="CV94" s="179"/>
      <c r="CW94" s="179"/>
      <c r="CX94" s="179"/>
      <c r="CY94" s="179"/>
      <c r="CZ94" s="179"/>
      <c r="DA94" s="179"/>
      <c r="DB94" s="179"/>
      <c r="DC94" s="179"/>
      <c r="DD94" s="179"/>
      <c r="DE94" s="179"/>
      <c r="DF94" s="179"/>
      <c r="DG94" s="179"/>
      <c r="DH94" s="179"/>
      <c r="DI94" s="179"/>
      <c r="DJ94" s="179"/>
      <c r="DK94" s="179"/>
      <c r="DL94" s="179"/>
      <c r="DM94" s="179"/>
      <c r="DN94" s="179"/>
      <c r="DO94" s="179"/>
      <c r="DP94" s="179"/>
      <c r="DQ94" s="179"/>
      <c r="DR94" s="179"/>
      <c r="DS94" s="179"/>
      <c r="DT94" s="179"/>
      <c r="DU94" s="179"/>
      <c r="DV94" s="179"/>
      <c r="DW94" s="179"/>
      <c r="DX94" s="179"/>
      <c r="DY94" s="179"/>
      <c r="DZ94" s="179"/>
      <c r="EA94" s="179"/>
      <c r="EB94" s="179"/>
      <c r="EC94" s="179"/>
      <c r="ED94" s="179"/>
      <c r="EE94" s="179"/>
      <c r="EF94" s="179"/>
      <c r="EG94" s="179"/>
    </row>
    <row r="95" spans="1:137" s="354" customFormat="1" ht="25.5">
      <c r="A95" s="178">
        <v>94</v>
      </c>
      <c r="B95" s="202" t="s">
        <v>2044</v>
      </c>
      <c r="C95" s="203" t="s">
        <v>2294</v>
      </c>
      <c r="D95" s="203" t="s">
        <v>4070</v>
      </c>
      <c r="E95" s="189" t="s">
        <v>3835</v>
      </c>
      <c r="F95" s="203" t="s">
        <v>3919</v>
      </c>
      <c r="G95" s="203" t="s">
        <v>4020</v>
      </c>
      <c r="H95" s="240">
        <v>43475</v>
      </c>
      <c r="I95" s="204" t="s">
        <v>4053</v>
      </c>
      <c r="J95" s="204">
        <v>43448</v>
      </c>
      <c r="K95" s="178">
        <f t="shared" si="2"/>
        <v>2018</v>
      </c>
      <c r="L95" s="178">
        <f t="shared" si="3"/>
        <v>12</v>
      </c>
      <c r="M95" s="204">
        <v>43476</v>
      </c>
      <c r="N95" s="336">
        <v>1</v>
      </c>
      <c r="O95" s="343">
        <v>20</v>
      </c>
      <c r="P95" s="179"/>
      <c r="Q95" s="179"/>
      <c r="R95" s="179"/>
      <c r="S95" s="179"/>
      <c r="T95" s="179"/>
      <c r="U95" s="179"/>
      <c r="V95" s="179"/>
      <c r="W95" s="179"/>
      <c r="X95" s="179"/>
      <c r="Y95" s="179"/>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c r="BE95" s="179"/>
      <c r="BF95" s="179"/>
      <c r="BG95" s="179"/>
      <c r="BH95" s="179"/>
      <c r="BI95" s="179"/>
      <c r="BJ95" s="179"/>
      <c r="BK95" s="179"/>
      <c r="BL95" s="179"/>
      <c r="BM95" s="179"/>
      <c r="BN95" s="179"/>
      <c r="BO95" s="179"/>
      <c r="BP95" s="179"/>
      <c r="BQ95" s="179"/>
      <c r="BR95" s="179"/>
      <c r="BS95" s="179"/>
      <c r="BT95" s="179"/>
      <c r="BU95" s="179"/>
      <c r="BV95" s="179"/>
      <c r="BW95" s="179"/>
      <c r="BX95" s="179"/>
      <c r="BY95" s="179"/>
      <c r="BZ95" s="179"/>
      <c r="CA95" s="179"/>
      <c r="CB95" s="179"/>
      <c r="CC95" s="179"/>
      <c r="CD95" s="179"/>
      <c r="CE95" s="179"/>
      <c r="CF95" s="179"/>
      <c r="CG95" s="179"/>
      <c r="CH95" s="179"/>
      <c r="CI95" s="179"/>
      <c r="CJ95" s="179"/>
      <c r="CK95" s="179"/>
      <c r="CL95" s="179"/>
      <c r="CM95" s="179"/>
      <c r="CN95" s="179"/>
      <c r="CO95" s="179"/>
      <c r="CP95" s="179"/>
      <c r="CQ95" s="179"/>
      <c r="CR95" s="179"/>
      <c r="CS95" s="179"/>
      <c r="CT95" s="179"/>
      <c r="CU95" s="179"/>
      <c r="CV95" s="179"/>
      <c r="CW95" s="179"/>
      <c r="CX95" s="179"/>
      <c r="CY95" s="179"/>
      <c r="CZ95" s="179"/>
      <c r="DA95" s="179"/>
      <c r="DB95" s="179"/>
      <c r="DC95" s="179"/>
      <c r="DD95" s="179"/>
      <c r="DE95" s="179"/>
      <c r="DF95" s="179"/>
      <c r="DG95" s="179"/>
      <c r="DH95" s="179"/>
      <c r="DI95" s="179"/>
      <c r="DJ95" s="179"/>
      <c r="DK95" s="179"/>
      <c r="DL95" s="179"/>
      <c r="DM95" s="179"/>
      <c r="DN95" s="179"/>
      <c r="DO95" s="179"/>
      <c r="DP95" s="179"/>
      <c r="DQ95" s="179"/>
      <c r="DR95" s="179"/>
      <c r="DS95" s="179"/>
      <c r="DT95" s="179"/>
      <c r="DU95" s="179"/>
      <c r="DV95" s="179"/>
      <c r="DW95" s="179"/>
      <c r="DX95" s="179"/>
      <c r="DY95" s="179"/>
      <c r="DZ95" s="179"/>
      <c r="EA95" s="179"/>
      <c r="EB95" s="179"/>
      <c r="EC95" s="179"/>
      <c r="ED95" s="179"/>
      <c r="EE95" s="179"/>
      <c r="EF95" s="179"/>
      <c r="EG95" s="179"/>
    </row>
    <row r="96" spans="1:137" s="354" customFormat="1" ht="25.5">
      <c r="A96" s="178">
        <v>95</v>
      </c>
      <c r="B96" s="202" t="s">
        <v>2044</v>
      </c>
      <c r="C96" s="203" t="s">
        <v>2295</v>
      </c>
      <c r="D96" s="13" t="s">
        <v>4064</v>
      </c>
      <c r="E96" s="13" t="s">
        <v>1745</v>
      </c>
      <c r="F96" s="203" t="s">
        <v>3920</v>
      </c>
      <c r="G96" s="203" t="s">
        <v>4023</v>
      </c>
      <c r="H96" s="240" t="s">
        <v>2334</v>
      </c>
      <c r="I96" s="204" t="s">
        <v>4053</v>
      </c>
      <c r="J96" s="204">
        <v>43450</v>
      </c>
      <c r="K96" s="178">
        <f t="shared" si="2"/>
        <v>2018</v>
      </c>
      <c r="L96" s="178">
        <f t="shared" si="3"/>
        <v>12</v>
      </c>
      <c r="M96" s="204">
        <v>43480</v>
      </c>
      <c r="N96" s="336">
        <v>5</v>
      </c>
      <c r="O96" s="343">
        <v>50</v>
      </c>
      <c r="P96" s="179"/>
      <c r="Q96" s="179"/>
      <c r="R96" s="179"/>
      <c r="S96" s="179"/>
      <c r="T96" s="179"/>
      <c r="U96" s="179"/>
      <c r="V96" s="179"/>
      <c r="W96" s="179"/>
      <c r="X96" s="179"/>
      <c r="Y96" s="179"/>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c r="BE96" s="179"/>
      <c r="BF96" s="179"/>
      <c r="BG96" s="179"/>
      <c r="BH96" s="179"/>
      <c r="BI96" s="179"/>
      <c r="BJ96" s="179"/>
      <c r="BK96" s="179"/>
      <c r="BL96" s="179"/>
      <c r="BM96" s="179"/>
      <c r="BN96" s="179"/>
      <c r="BO96" s="179"/>
      <c r="BP96" s="179"/>
      <c r="BQ96" s="179"/>
      <c r="BR96" s="179"/>
      <c r="BS96" s="179"/>
      <c r="BT96" s="179"/>
      <c r="BU96" s="179"/>
      <c r="BV96" s="179"/>
      <c r="BW96" s="179"/>
      <c r="BX96" s="179"/>
      <c r="BY96" s="179"/>
      <c r="BZ96" s="179"/>
      <c r="CA96" s="179"/>
      <c r="CB96" s="179"/>
      <c r="CC96" s="179"/>
      <c r="CD96" s="179"/>
      <c r="CE96" s="179"/>
      <c r="CF96" s="179"/>
      <c r="CG96" s="179"/>
      <c r="CH96" s="179"/>
      <c r="CI96" s="179"/>
      <c r="CJ96" s="179"/>
      <c r="CK96" s="179"/>
      <c r="CL96" s="179"/>
      <c r="CM96" s="179"/>
      <c r="CN96" s="179"/>
      <c r="CO96" s="179"/>
      <c r="CP96" s="179"/>
      <c r="CQ96" s="179"/>
      <c r="CR96" s="179"/>
      <c r="CS96" s="179"/>
      <c r="CT96" s="179"/>
      <c r="CU96" s="179"/>
      <c r="CV96" s="179"/>
      <c r="CW96" s="179"/>
      <c r="CX96" s="179"/>
      <c r="CY96" s="179"/>
      <c r="CZ96" s="179"/>
      <c r="DA96" s="179"/>
      <c r="DB96" s="179"/>
      <c r="DC96" s="179"/>
      <c r="DD96" s="179"/>
      <c r="DE96" s="179"/>
      <c r="DF96" s="179"/>
      <c r="DG96" s="179"/>
      <c r="DH96" s="179"/>
      <c r="DI96" s="179"/>
      <c r="DJ96" s="179"/>
      <c r="DK96" s="179"/>
      <c r="DL96" s="179"/>
      <c r="DM96" s="179"/>
      <c r="DN96" s="179"/>
      <c r="DO96" s="179"/>
      <c r="DP96" s="179"/>
      <c r="DQ96" s="179"/>
      <c r="DR96" s="179"/>
      <c r="DS96" s="179"/>
      <c r="DT96" s="179"/>
      <c r="DU96" s="179"/>
      <c r="DV96" s="179"/>
      <c r="DW96" s="179"/>
      <c r="DX96" s="179"/>
      <c r="DY96" s="179"/>
      <c r="DZ96" s="179"/>
      <c r="EA96" s="179"/>
      <c r="EB96" s="179"/>
      <c r="EC96" s="179"/>
      <c r="ED96" s="179"/>
      <c r="EE96" s="179"/>
      <c r="EF96" s="179"/>
      <c r="EG96" s="179"/>
    </row>
    <row r="97" spans="1:137" s="354" customFormat="1" ht="25.5">
      <c r="A97" s="178">
        <v>96</v>
      </c>
      <c r="B97" s="202" t="s">
        <v>2044</v>
      </c>
      <c r="C97" s="203" t="s">
        <v>2311</v>
      </c>
      <c r="D97" s="13" t="s">
        <v>4064</v>
      </c>
      <c r="E97" s="13" t="s">
        <v>1745</v>
      </c>
      <c r="F97" s="203" t="s">
        <v>3921</v>
      </c>
      <c r="G97" s="203" t="s">
        <v>4024</v>
      </c>
      <c r="H97" s="240" t="s">
        <v>2334</v>
      </c>
      <c r="I97" s="204" t="s">
        <v>4053</v>
      </c>
      <c r="J97" s="204">
        <v>43480</v>
      </c>
      <c r="K97" s="178">
        <f t="shared" si="2"/>
        <v>2019</v>
      </c>
      <c r="L97" s="178">
        <f t="shared" si="3"/>
        <v>1</v>
      </c>
      <c r="M97" s="204">
        <v>43493</v>
      </c>
      <c r="N97" s="336">
        <v>5</v>
      </c>
      <c r="O97" s="343">
        <v>38</v>
      </c>
      <c r="P97" s="179"/>
      <c r="Q97" s="179"/>
      <c r="R97" s="179"/>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c r="BE97" s="179"/>
      <c r="BF97" s="179"/>
      <c r="BG97" s="179"/>
      <c r="BH97" s="179"/>
      <c r="BI97" s="179"/>
      <c r="BJ97" s="179"/>
      <c r="BK97" s="179"/>
      <c r="BL97" s="179"/>
      <c r="BM97" s="179"/>
      <c r="BN97" s="179"/>
      <c r="BO97" s="179"/>
      <c r="BP97" s="179"/>
      <c r="BQ97" s="179"/>
      <c r="BR97" s="179"/>
      <c r="BS97" s="179"/>
      <c r="BT97" s="179"/>
      <c r="BU97" s="179"/>
      <c r="BV97" s="179"/>
      <c r="BW97" s="179"/>
      <c r="BX97" s="179"/>
      <c r="BY97" s="179"/>
      <c r="BZ97" s="179"/>
      <c r="CA97" s="179"/>
      <c r="CB97" s="179"/>
      <c r="CC97" s="179"/>
      <c r="CD97" s="179"/>
      <c r="CE97" s="179"/>
      <c r="CF97" s="179"/>
      <c r="CG97" s="179"/>
      <c r="CH97" s="179"/>
      <c r="CI97" s="179"/>
      <c r="CJ97" s="179"/>
      <c r="CK97" s="179"/>
      <c r="CL97" s="179"/>
      <c r="CM97" s="179"/>
      <c r="CN97" s="179"/>
      <c r="CO97" s="179"/>
      <c r="CP97" s="179"/>
      <c r="CQ97" s="179"/>
      <c r="CR97" s="179"/>
      <c r="CS97" s="179"/>
      <c r="CT97" s="179"/>
      <c r="CU97" s="179"/>
      <c r="CV97" s="179"/>
      <c r="CW97" s="179"/>
      <c r="CX97" s="179"/>
      <c r="CY97" s="179"/>
      <c r="CZ97" s="179"/>
      <c r="DA97" s="179"/>
      <c r="DB97" s="179"/>
      <c r="DC97" s="179"/>
      <c r="DD97" s="179"/>
      <c r="DE97" s="179"/>
      <c r="DF97" s="179"/>
      <c r="DG97" s="179"/>
      <c r="DH97" s="179"/>
      <c r="DI97" s="179"/>
      <c r="DJ97" s="179"/>
      <c r="DK97" s="179"/>
      <c r="DL97" s="179"/>
      <c r="DM97" s="179"/>
      <c r="DN97" s="179"/>
      <c r="DO97" s="179"/>
      <c r="DP97" s="179"/>
      <c r="DQ97" s="179"/>
      <c r="DR97" s="179"/>
      <c r="DS97" s="179"/>
      <c r="DT97" s="179"/>
      <c r="DU97" s="179"/>
      <c r="DV97" s="179"/>
      <c r="DW97" s="179"/>
      <c r="DX97" s="179"/>
      <c r="DY97" s="179"/>
      <c r="DZ97" s="179"/>
      <c r="EA97" s="179"/>
      <c r="EB97" s="179"/>
      <c r="EC97" s="179"/>
      <c r="ED97" s="179"/>
      <c r="EE97" s="179"/>
      <c r="EF97" s="179"/>
      <c r="EG97" s="179"/>
    </row>
    <row r="98" spans="1:137" s="354" customFormat="1" ht="25.5">
      <c r="A98" s="494">
        <v>97</v>
      </c>
      <c r="B98" s="487" t="s">
        <v>1297</v>
      </c>
      <c r="C98" s="489"/>
      <c r="D98" s="385" t="s">
        <v>4064</v>
      </c>
      <c r="E98" s="505" t="s">
        <v>1621</v>
      </c>
      <c r="F98" s="489" t="s">
        <v>3922</v>
      </c>
      <c r="G98" s="489" t="s">
        <v>4025</v>
      </c>
      <c r="H98" s="490"/>
      <c r="I98" s="487"/>
      <c r="J98" s="491">
        <v>43497</v>
      </c>
      <c r="K98" s="494">
        <f t="shared" si="2"/>
        <v>2019</v>
      </c>
      <c r="L98" s="494">
        <f t="shared" si="3"/>
        <v>2</v>
      </c>
      <c r="M98" s="491"/>
      <c r="N98" s="492"/>
      <c r="O98" s="500"/>
      <c r="P98" s="179"/>
      <c r="Q98" s="179"/>
      <c r="R98" s="179"/>
      <c r="S98" s="179"/>
      <c r="T98" s="179"/>
      <c r="U98" s="179"/>
      <c r="V98" s="179"/>
      <c r="W98" s="179"/>
      <c r="X98" s="179"/>
      <c r="Y98" s="179"/>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9"/>
      <c r="BF98" s="179"/>
      <c r="BG98" s="179"/>
      <c r="BH98" s="179"/>
      <c r="BI98" s="179"/>
      <c r="BJ98" s="179"/>
      <c r="BK98" s="179"/>
      <c r="BL98" s="179"/>
      <c r="BM98" s="179"/>
      <c r="BN98" s="179"/>
      <c r="BO98" s="179"/>
      <c r="BP98" s="179"/>
      <c r="BQ98" s="179"/>
      <c r="BR98" s="179"/>
      <c r="BS98" s="179"/>
      <c r="BT98" s="179"/>
      <c r="BU98" s="179"/>
      <c r="BV98" s="179"/>
      <c r="BW98" s="179"/>
      <c r="BX98" s="179"/>
      <c r="BY98" s="179"/>
      <c r="BZ98" s="179"/>
      <c r="CA98" s="179"/>
      <c r="CB98" s="179"/>
      <c r="CC98" s="179"/>
      <c r="CD98" s="179"/>
      <c r="CE98" s="179"/>
      <c r="CF98" s="179"/>
      <c r="CG98" s="179"/>
      <c r="CH98" s="179"/>
      <c r="CI98" s="179"/>
      <c r="CJ98" s="179"/>
      <c r="CK98" s="179"/>
      <c r="CL98" s="179"/>
      <c r="CM98" s="179"/>
      <c r="CN98" s="179"/>
      <c r="CO98" s="179"/>
      <c r="CP98" s="179"/>
      <c r="CQ98" s="179"/>
      <c r="CR98" s="179"/>
      <c r="CS98" s="179"/>
      <c r="CT98" s="179"/>
      <c r="CU98" s="179"/>
      <c r="CV98" s="179"/>
      <c r="CW98" s="179"/>
      <c r="CX98" s="179"/>
      <c r="CY98" s="179"/>
      <c r="CZ98" s="179"/>
      <c r="DA98" s="179"/>
      <c r="DB98" s="179"/>
      <c r="DC98" s="179"/>
      <c r="DD98" s="179"/>
      <c r="DE98" s="179"/>
      <c r="DF98" s="179"/>
      <c r="DG98" s="179"/>
      <c r="DH98" s="179"/>
      <c r="DI98" s="179"/>
      <c r="DJ98" s="179"/>
      <c r="DK98" s="179"/>
      <c r="DL98" s="179"/>
      <c r="DM98" s="179"/>
      <c r="DN98" s="179"/>
      <c r="DO98" s="179"/>
      <c r="DP98" s="179"/>
      <c r="DQ98" s="179"/>
      <c r="DR98" s="179"/>
      <c r="DS98" s="179"/>
      <c r="DT98" s="179"/>
      <c r="DU98" s="179"/>
      <c r="DV98" s="179"/>
      <c r="DW98" s="179"/>
      <c r="DX98" s="179"/>
      <c r="DY98" s="179"/>
      <c r="DZ98" s="179"/>
      <c r="EA98" s="179"/>
      <c r="EB98" s="179"/>
      <c r="EC98" s="179"/>
      <c r="ED98" s="179"/>
      <c r="EE98" s="179"/>
      <c r="EF98" s="179"/>
      <c r="EG98" s="179"/>
    </row>
    <row r="99" spans="1:137" s="354" customFormat="1" ht="25.5">
      <c r="A99" s="178">
        <v>98</v>
      </c>
      <c r="B99" s="202" t="s">
        <v>2044</v>
      </c>
      <c r="C99" s="203" t="s">
        <v>2565</v>
      </c>
      <c r="D99" s="385" t="s">
        <v>4064</v>
      </c>
      <c r="E99" s="13" t="s">
        <v>1621</v>
      </c>
      <c r="F99" s="203" t="s">
        <v>3923</v>
      </c>
      <c r="G99" s="203" t="s">
        <v>4025</v>
      </c>
      <c r="H99" s="240">
        <v>43617</v>
      </c>
      <c r="I99" s="202" t="s">
        <v>4053</v>
      </c>
      <c r="J99" s="204">
        <v>43606</v>
      </c>
      <c r="K99" s="178">
        <f t="shared" si="2"/>
        <v>2019</v>
      </c>
      <c r="L99" s="178">
        <f t="shared" si="3"/>
        <v>5</v>
      </c>
      <c r="M99" s="204">
        <v>43619</v>
      </c>
      <c r="N99" s="336">
        <v>4</v>
      </c>
      <c r="O99" s="343">
        <v>40</v>
      </c>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9"/>
      <c r="BF99" s="179"/>
      <c r="BG99" s="179"/>
      <c r="BH99" s="179"/>
      <c r="BI99" s="179"/>
      <c r="BJ99" s="179"/>
      <c r="BK99" s="179"/>
      <c r="BL99" s="179"/>
      <c r="BM99" s="179"/>
      <c r="BN99" s="179"/>
      <c r="BO99" s="179"/>
      <c r="BP99" s="179"/>
      <c r="BQ99" s="179"/>
      <c r="BR99" s="179"/>
      <c r="BS99" s="179"/>
      <c r="BT99" s="179"/>
      <c r="BU99" s="179"/>
      <c r="BV99" s="179"/>
      <c r="BW99" s="179"/>
      <c r="BX99" s="179"/>
      <c r="BY99" s="179"/>
      <c r="BZ99" s="179"/>
      <c r="CA99" s="179"/>
      <c r="CB99" s="179"/>
      <c r="CC99" s="179"/>
      <c r="CD99" s="179"/>
      <c r="CE99" s="179"/>
      <c r="CF99" s="179"/>
      <c r="CG99" s="179"/>
      <c r="CH99" s="179"/>
      <c r="CI99" s="179"/>
      <c r="CJ99" s="179"/>
      <c r="CK99" s="179"/>
      <c r="CL99" s="179"/>
      <c r="CM99" s="179"/>
      <c r="CN99" s="179"/>
      <c r="CO99" s="179"/>
      <c r="CP99" s="179"/>
      <c r="CQ99" s="179"/>
      <c r="CR99" s="179"/>
      <c r="CS99" s="179"/>
      <c r="CT99" s="179"/>
      <c r="CU99" s="179"/>
      <c r="CV99" s="179"/>
      <c r="CW99" s="179"/>
      <c r="CX99" s="179"/>
      <c r="CY99" s="179"/>
      <c r="CZ99" s="179"/>
      <c r="DA99" s="179"/>
      <c r="DB99" s="179"/>
      <c r="DC99" s="179"/>
      <c r="DD99" s="179"/>
      <c r="DE99" s="179"/>
      <c r="DF99" s="179"/>
      <c r="DG99" s="179"/>
      <c r="DH99" s="179"/>
      <c r="DI99" s="179"/>
      <c r="DJ99" s="179"/>
      <c r="DK99" s="179"/>
      <c r="DL99" s="179"/>
      <c r="DM99" s="179"/>
      <c r="DN99" s="179"/>
      <c r="DO99" s="179"/>
      <c r="DP99" s="179"/>
      <c r="DQ99" s="179"/>
      <c r="DR99" s="179"/>
      <c r="DS99" s="179"/>
      <c r="DT99" s="179"/>
      <c r="DU99" s="179"/>
      <c r="DV99" s="179"/>
      <c r="DW99" s="179"/>
      <c r="DX99" s="179"/>
      <c r="DY99" s="179"/>
      <c r="DZ99" s="179"/>
      <c r="EA99" s="179"/>
      <c r="EB99" s="179"/>
      <c r="EC99" s="179"/>
      <c r="ED99" s="179"/>
      <c r="EE99" s="179"/>
      <c r="EF99" s="179"/>
      <c r="EG99" s="179"/>
    </row>
    <row r="100" spans="1:137" s="354" customFormat="1" ht="38.25">
      <c r="A100" s="178">
        <v>99</v>
      </c>
      <c r="B100" s="202" t="s">
        <v>2044</v>
      </c>
      <c r="C100" s="203" t="s">
        <v>2335</v>
      </c>
      <c r="D100" s="385" t="s">
        <v>4064</v>
      </c>
      <c r="E100" s="13" t="s">
        <v>1621</v>
      </c>
      <c r="F100" s="203" t="s">
        <v>3924</v>
      </c>
      <c r="G100" s="203" t="s">
        <v>4025</v>
      </c>
      <c r="H100" s="240" t="s">
        <v>2334</v>
      </c>
      <c r="I100" s="202" t="s">
        <v>2077</v>
      </c>
      <c r="J100" s="204">
        <v>43501</v>
      </c>
      <c r="K100" s="178">
        <f t="shared" si="2"/>
        <v>2019</v>
      </c>
      <c r="L100" s="178">
        <f t="shared" si="3"/>
        <v>2</v>
      </c>
      <c r="M100" s="204">
        <v>43508</v>
      </c>
      <c r="N100" s="336">
        <v>4</v>
      </c>
      <c r="O100" s="343">
        <v>42</v>
      </c>
      <c r="P100" s="179"/>
      <c r="Q100" s="179"/>
      <c r="R100" s="179"/>
      <c r="S100" s="179"/>
      <c r="T100" s="179"/>
      <c r="U100" s="179"/>
      <c r="V100" s="179"/>
      <c r="W100" s="179"/>
      <c r="X100" s="179"/>
      <c r="Y100" s="179"/>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9"/>
      <c r="BF100" s="179"/>
      <c r="BG100" s="179"/>
      <c r="BH100" s="179"/>
      <c r="BI100" s="179"/>
      <c r="BJ100" s="179"/>
      <c r="BK100" s="179"/>
      <c r="BL100" s="179"/>
      <c r="BM100" s="179"/>
      <c r="BN100" s="179"/>
      <c r="BO100" s="179"/>
      <c r="BP100" s="179"/>
      <c r="BQ100" s="179"/>
      <c r="BR100" s="179"/>
      <c r="BS100" s="179"/>
      <c r="BT100" s="179"/>
      <c r="BU100" s="179"/>
      <c r="BV100" s="179"/>
      <c r="BW100" s="179"/>
      <c r="BX100" s="179"/>
      <c r="BY100" s="179"/>
      <c r="BZ100" s="179"/>
      <c r="CA100" s="179"/>
      <c r="CB100" s="179"/>
      <c r="CC100" s="179"/>
      <c r="CD100" s="179"/>
      <c r="CE100" s="179"/>
      <c r="CF100" s="179"/>
      <c r="CG100" s="179"/>
      <c r="CH100" s="179"/>
      <c r="CI100" s="179"/>
      <c r="CJ100" s="179"/>
      <c r="CK100" s="179"/>
      <c r="CL100" s="179"/>
      <c r="CM100" s="179"/>
      <c r="CN100" s="179"/>
      <c r="CO100" s="179"/>
      <c r="CP100" s="179"/>
      <c r="CQ100" s="179"/>
      <c r="CR100" s="179"/>
      <c r="CS100" s="179"/>
      <c r="CT100" s="179"/>
      <c r="CU100" s="179"/>
      <c r="CV100" s="179"/>
      <c r="CW100" s="179"/>
      <c r="CX100" s="179"/>
      <c r="CY100" s="179"/>
      <c r="CZ100" s="179"/>
      <c r="DA100" s="179"/>
      <c r="DB100" s="179"/>
      <c r="DC100" s="179"/>
      <c r="DD100" s="179"/>
      <c r="DE100" s="179"/>
      <c r="DF100" s="179"/>
      <c r="DG100" s="179"/>
      <c r="DH100" s="179"/>
      <c r="DI100" s="179"/>
      <c r="DJ100" s="179"/>
      <c r="DK100" s="179"/>
      <c r="DL100" s="179"/>
      <c r="DM100" s="179"/>
      <c r="DN100" s="179"/>
      <c r="DO100" s="179"/>
      <c r="DP100" s="179"/>
      <c r="DQ100" s="179"/>
      <c r="DR100" s="179"/>
      <c r="DS100" s="179"/>
      <c r="DT100" s="179"/>
      <c r="DU100" s="179"/>
      <c r="DV100" s="179"/>
      <c r="DW100" s="179"/>
      <c r="DX100" s="179"/>
      <c r="DY100" s="179"/>
      <c r="DZ100" s="179"/>
      <c r="EA100" s="179"/>
      <c r="EB100" s="179"/>
      <c r="EC100" s="179"/>
      <c r="ED100" s="179"/>
      <c r="EE100" s="179"/>
      <c r="EF100" s="179"/>
      <c r="EG100" s="179"/>
    </row>
    <row r="101" spans="1:137" s="78" customFormat="1" ht="25.5">
      <c r="A101" s="178">
        <v>100</v>
      </c>
      <c r="B101" s="202" t="s">
        <v>2044</v>
      </c>
      <c r="C101" s="236" t="s">
        <v>2350</v>
      </c>
      <c r="D101" s="203" t="s">
        <v>4070</v>
      </c>
      <c r="E101" s="189" t="s">
        <v>3835</v>
      </c>
      <c r="F101" s="236" t="s">
        <v>3925</v>
      </c>
      <c r="G101" s="236" t="s">
        <v>4026</v>
      </c>
      <c r="H101" s="238"/>
      <c r="I101" s="235" t="s">
        <v>5</v>
      </c>
      <c r="J101" s="237">
        <v>43533</v>
      </c>
      <c r="K101" s="178">
        <f t="shared" si="2"/>
        <v>2019</v>
      </c>
      <c r="L101" s="178">
        <f t="shared" si="3"/>
        <v>3</v>
      </c>
      <c r="M101" s="237">
        <v>43547</v>
      </c>
      <c r="N101" s="333" t="s">
        <v>4058</v>
      </c>
      <c r="O101" s="343">
        <v>38</v>
      </c>
      <c r="P101" s="179"/>
      <c r="Q101" s="179"/>
      <c r="R101" s="179"/>
      <c r="S101" s="179"/>
      <c r="T101" s="179"/>
      <c r="U101" s="179"/>
      <c r="V101" s="179"/>
      <c r="W101" s="179"/>
      <c r="X101" s="179"/>
      <c r="Y101" s="179"/>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9"/>
      <c r="BF101" s="179"/>
      <c r="BG101" s="179"/>
      <c r="BH101" s="179"/>
      <c r="BI101" s="179"/>
      <c r="BJ101" s="179"/>
      <c r="BK101" s="179"/>
      <c r="BL101" s="179"/>
      <c r="BM101" s="179"/>
      <c r="BN101" s="179"/>
      <c r="BO101" s="179"/>
      <c r="BP101" s="179"/>
      <c r="BQ101" s="179"/>
      <c r="BR101" s="179"/>
      <c r="BS101" s="179"/>
      <c r="BT101" s="179"/>
      <c r="BU101" s="179"/>
      <c r="BV101" s="179"/>
      <c r="BW101" s="179"/>
      <c r="BX101" s="179"/>
      <c r="BY101" s="179"/>
      <c r="BZ101" s="179"/>
      <c r="CA101" s="179"/>
      <c r="CB101" s="179"/>
      <c r="CC101" s="179"/>
      <c r="CD101" s="179"/>
      <c r="CE101" s="179"/>
      <c r="CF101" s="179"/>
      <c r="CG101" s="179"/>
      <c r="CH101" s="179"/>
      <c r="CI101" s="179"/>
      <c r="CJ101" s="179"/>
      <c r="CK101" s="179"/>
      <c r="CL101" s="179"/>
      <c r="CM101" s="179"/>
      <c r="CN101" s="179"/>
      <c r="CO101" s="179"/>
      <c r="CP101" s="179"/>
      <c r="CQ101" s="179"/>
      <c r="CR101" s="179"/>
      <c r="CS101" s="179"/>
      <c r="CT101" s="179"/>
      <c r="CU101" s="179"/>
      <c r="CV101" s="179"/>
      <c r="CW101" s="179"/>
      <c r="CX101" s="179"/>
      <c r="CY101" s="179"/>
      <c r="CZ101" s="179"/>
      <c r="DA101" s="179"/>
      <c r="DB101" s="179"/>
      <c r="DC101" s="179"/>
      <c r="DD101" s="179"/>
      <c r="DE101" s="179"/>
      <c r="DF101" s="179"/>
      <c r="DG101" s="179"/>
      <c r="DH101" s="179"/>
      <c r="DI101" s="179"/>
      <c r="DJ101" s="179"/>
      <c r="DK101" s="179"/>
      <c r="DL101" s="179"/>
      <c r="DM101" s="179"/>
      <c r="DN101" s="179"/>
      <c r="DO101" s="179"/>
      <c r="DP101" s="179"/>
      <c r="DQ101" s="179"/>
      <c r="DR101" s="179"/>
      <c r="DS101" s="179"/>
      <c r="DT101" s="179"/>
      <c r="DU101" s="179"/>
      <c r="DV101" s="179"/>
      <c r="DW101" s="179"/>
      <c r="DX101" s="179"/>
      <c r="DY101" s="179"/>
      <c r="DZ101" s="179"/>
      <c r="EA101" s="179"/>
      <c r="EB101" s="179"/>
      <c r="EC101" s="179"/>
      <c r="ED101" s="179"/>
      <c r="EE101" s="179"/>
      <c r="EF101" s="179"/>
      <c r="EG101" s="179"/>
    </row>
    <row r="102" spans="1:137" s="354" customFormat="1" ht="25.5">
      <c r="A102" s="178">
        <v>101</v>
      </c>
      <c r="B102" s="202" t="s">
        <v>2044</v>
      </c>
      <c r="C102" s="203" t="s">
        <v>2372</v>
      </c>
      <c r="D102" s="203" t="s">
        <v>4070</v>
      </c>
      <c r="E102" s="189" t="s">
        <v>3835</v>
      </c>
      <c r="F102" s="203" t="s">
        <v>3926</v>
      </c>
      <c r="G102" s="203" t="s">
        <v>4027</v>
      </c>
      <c r="H102" s="240">
        <v>43554</v>
      </c>
      <c r="I102" s="202" t="s">
        <v>4053</v>
      </c>
      <c r="J102" s="204">
        <v>43552</v>
      </c>
      <c r="K102" s="178">
        <f t="shared" si="2"/>
        <v>2019</v>
      </c>
      <c r="L102" s="178">
        <f t="shared" si="3"/>
        <v>3</v>
      </c>
      <c r="M102" s="204">
        <v>43559</v>
      </c>
      <c r="N102" s="336">
        <v>1.7</v>
      </c>
      <c r="O102" s="343">
        <v>36</v>
      </c>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9"/>
      <c r="BN102" s="179"/>
      <c r="BO102" s="179"/>
      <c r="BP102" s="179"/>
      <c r="BQ102" s="179"/>
      <c r="BR102" s="179"/>
      <c r="BS102" s="179"/>
      <c r="BT102" s="179"/>
      <c r="BU102" s="179"/>
      <c r="BV102" s="179"/>
      <c r="BW102" s="179"/>
      <c r="BX102" s="179"/>
      <c r="BY102" s="179"/>
      <c r="BZ102" s="179"/>
      <c r="CA102" s="179"/>
      <c r="CB102" s="179"/>
      <c r="CC102" s="179"/>
      <c r="CD102" s="179"/>
      <c r="CE102" s="179"/>
      <c r="CF102" s="179"/>
      <c r="CG102" s="179"/>
      <c r="CH102" s="179"/>
      <c r="CI102" s="179"/>
      <c r="CJ102" s="179"/>
      <c r="CK102" s="179"/>
      <c r="CL102" s="179"/>
      <c r="CM102" s="179"/>
      <c r="CN102" s="179"/>
      <c r="CO102" s="179"/>
      <c r="CP102" s="179"/>
      <c r="CQ102" s="179"/>
      <c r="CR102" s="179"/>
      <c r="CS102" s="179"/>
      <c r="CT102" s="179"/>
      <c r="CU102" s="179"/>
      <c r="CV102" s="179"/>
      <c r="CW102" s="179"/>
      <c r="CX102" s="179"/>
      <c r="CY102" s="179"/>
      <c r="CZ102" s="179"/>
      <c r="DA102" s="179"/>
      <c r="DB102" s="179"/>
      <c r="DC102" s="179"/>
      <c r="DD102" s="179"/>
      <c r="DE102" s="179"/>
      <c r="DF102" s="179"/>
      <c r="DG102" s="179"/>
      <c r="DH102" s="179"/>
      <c r="DI102" s="179"/>
      <c r="DJ102" s="179"/>
      <c r="DK102" s="179"/>
      <c r="DL102" s="179"/>
      <c r="DM102" s="179"/>
      <c r="DN102" s="179"/>
      <c r="DO102" s="179"/>
      <c r="DP102" s="179"/>
      <c r="DQ102" s="179"/>
      <c r="DR102" s="179"/>
      <c r="DS102" s="179"/>
      <c r="DT102" s="179"/>
      <c r="DU102" s="179"/>
      <c r="DV102" s="179"/>
      <c r="DW102" s="179"/>
      <c r="DX102" s="179"/>
      <c r="DY102" s="179"/>
      <c r="DZ102" s="179"/>
      <c r="EA102" s="179"/>
      <c r="EB102" s="179"/>
      <c r="EC102" s="179"/>
      <c r="ED102" s="179"/>
      <c r="EE102" s="179"/>
      <c r="EF102" s="179"/>
      <c r="EG102" s="179"/>
    </row>
    <row r="103" spans="1:137" s="354" customFormat="1">
      <c r="A103" s="494">
        <v>102</v>
      </c>
      <c r="B103" s="487" t="s">
        <v>2049</v>
      </c>
      <c r="C103" s="489" t="s">
        <v>2379</v>
      </c>
      <c r="D103" s="13" t="s">
        <v>4064</v>
      </c>
      <c r="E103" s="505" t="s">
        <v>1745</v>
      </c>
      <c r="F103" s="489" t="s">
        <v>3927</v>
      </c>
      <c r="G103" s="489" t="s">
        <v>4028</v>
      </c>
      <c r="H103" s="490"/>
      <c r="I103" s="487"/>
      <c r="J103" s="491">
        <v>43556</v>
      </c>
      <c r="K103" s="494">
        <f t="shared" si="2"/>
        <v>2019</v>
      </c>
      <c r="L103" s="494">
        <f t="shared" si="3"/>
        <v>4</v>
      </c>
      <c r="M103" s="491"/>
      <c r="N103" s="492"/>
      <c r="O103" s="500"/>
      <c r="P103" s="179"/>
      <c r="Q103" s="179"/>
      <c r="R103" s="179"/>
      <c r="S103" s="179"/>
      <c r="T103" s="179"/>
      <c r="U103" s="179"/>
      <c r="V103" s="179"/>
      <c r="W103" s="179"/>
      <c r="X103" s="179"/>
      <c r="Y103" s="179"/>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9"/>
      <c r="BF103" s="179"/>
      <c r="BG103" s="179"/>
      <c r="BH103" s="179"/>
      <c r="BI103" s="179"/>
      <c r="BJ103" s="179"/>
      <c r="BK103" s="179"/>
      <c r="BL103" s="179"/>
      <c r="BM103" s="179"/>
      <c r="BN103" s="179"/>
      <c r="BO103" s="179"/>
      <c r="BP103" s="179"/>
      <c r="BQ103" s="179"/>
      <c r="BR103" s="179"/>
      <c r="BS103" s="179"/>
      <c r="BT103" s="179"/>
      <c r="BU103" s="179"/>
      <c r="BV103" s="179"/>
      <c r="BW103" s="179"/>
      <c r="BX103" s="179"/>
      <c r="BY103" s="179"/>
      <c r="BZ103" s="179"/>
      <c r="CA103" s="179"/>
      <c r="CB103" s="179"/>
      <c r="CC103" s="179"/>
      <c r="CD103" s="179"/>
      <c r="CE103" s="179"/>
      <c r="CF103" s="179"/>
      <c r="CG103" s="179"/>
      <c r="CH103" s="179"/>
      <c r="CI103" s="179"/>
      <c r="CJ103" s="179"/>
      <c r="CK103" s="179"/>
      <c r="CL103" s="179"/>
      <c r="CM103" s="179"/>
      <c r="CN103" s="179"/>
      <c r="CO103" s="179"/>
      <c r="CP103" s="179"/>
      <c r="CQ103" s="179"/>
      <c r="CR103" s="179"/>
      <c r="CS103" s="179"/>
      <c r="CT103" s="179"/>
      <c r="CU103" s="179"/>
      <c r="CV103" s="179"/>
      <c r="CW103" s="179"/>
      <c r="CX103" s="179"/>
      <c r="CY103" s="179"/>
      <c r="CZ103" s="179"/>
      <c r="DA103" s="179"/>
      <c r="DB103" s="179"/>
      <c r="DC103" s="179"/>
      <c r="DD103" s="179"/>
      <c r="DE103" s="179"/>
      <c r="DF103" s="179"/>
      <c r="DG103" s="179"/>
      <c r="DH103" s="179"/>
      <c r="DI103" s="179"/>
      <c r="DJ103" s="179"/>
      <c r="DK103" s="179"/>
      <c r="DL103" s="179"/>
      <c r="DM103" s="179"/>
      <c r="DN103" s="179"/>
      <c r="DO103" s="179"/>
      <c r="DP103" s="179"/>
      <c r="DQ103" s="179"/>
      <c r="DR103" s="179"/>
      <c r="DS103" s="179"/>
      <c r="DT103" s="179"/>
      <c r="DU103" s="179"/>
      <c r="DV103" s="179"/>
      <c r="DW103" s="179"/>
      <c r="DX103" s="179"/>
      <c r="DY103" s="179"/>
      <c r="DZ103" s="179"/>
      <c r="EA103" s="179"/>
      <c r="EB103" s="179"/>
      <c r="EC103" s="179"/>
      <c r="ED103" s="179"/>
      <c r="EE103" s="179"/>
      <c r="EF103" s="179"/>
      <c r="EG103" s="179"/>
    </row>
    <row r="104" spans="1:137" s="354" customFormat="1">
      <c r="A104" s="494">
        <v>103</v>
      </c>
      <c r="B104" s="487" t="s">
        <v>2049</v>
      </c>
      <c r="C104" s="489" t="s">
        <v>2379</v>
      </c>
      <c r="D104" s="191" t="s">
        <v>4064</v>
      </c>
      <c r="E104" s="489" t="s">
        <v>2381</v>
      </c>
      <c r="F104" s="489" t="s">
        <v>2393</v>
      </c>
      <c r="G104" s="489" t="s">
        <v>2381</v>
      </c>
      <c r="H104" s="490"/>
      <c r="I104" s="487"/>
      <c r="J104" s="491">
        <v>43556</v>
      </c>
      <c r="K104" s="494">
        <f t="shared" si="2"/>
        <v>2019</v>
      </c>
      <c r="L104" s="494">
        <f t="shared" si="3"/>
        <v>4</v>
      </c>
      <c r="M104" s="491"/>
      <c r="N104" s="492"/>
      <c r="O104" s="500"/>
      <c r="P104" s="179"/>
      <c r="Q104" s="179"/>
      <c r="R104" s="179"/>
      <c r="S104" s="179"/>
      <c r="T104" s="179"/>
      <c r="U104" s="179"/>
      <c r="V104" s="179"/>
      <c r="W104" s="179"/>
      <c r="X104" s="179"/>
      <c r="Y104" s="179"/>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9"/>
      <c r="BF104" s="179"/>
      <c r="BG104" s="179"/>
      <c r="BH104" s="179"/>
      <c r="BI104" s="179"/>
      <c r="BJ104" s="179"/>
      <c r="BK104" s="179"/>
      <c r="BL104" s="179"/>
      <c r="BM104" s="179"/>
      <c r="BN104" s="179"/>
      <c r="BO104" s="179"/>
      <c r="BP104" s="179"/>
      <c r="BQ104" s="179"/>
      <c r="BR104" s="179"/>
      <c r="BS104" s="179"/>
      <c r="BT104" s="179"/>
      <c r="BU104" s="179"/>
      <c r="BV104" s="179"/>
      <c r="BW104" s="179"/>
      <c r="BX104" s="179"/>
      <c r="BY104" s="179"/>
      <c r="BZ104" s="179"/>
      <c r="CA104" s="179"/>
      <c r="CB104" s="179"/>
      <c r="CC104" s="179"/>
      <c r="CD104" s="179"/>
      <c r="CE104" s="179"/>
      <c r="CF104" s="179"/>
      <c r="CG104" s="179"/>
      <c r="CH104" s="179"/>
      <c r="CI104" s="179"/>
      <c r="CJ104" s="179"/>
      <c r="CK104" s="179"/>
      <c r="CL104" s="179"/>
      <c r="CM104" s="179"/>
      <c r="CN104" s="179"/>
      <c r="CO104" s="179"/>
      <c r="CP104" s="179"/>
      <c r="CQ104" s="179"/>
      <c r="CR104" s="179"/>
      <c r="CS104" s="179"/>
      <c r="CT104" s="179"/>
      <c r="CU104" s="179"/>
      <c r="CV104" s="179"/>
      <c r="CW104" s="179"/>
      <c r="CX104" s="179"/>
      <c r="CY104" s="179"/>
      <c r="CZ104" s="179"/>
      <c r="DA104" s="179"/>
      <c r="DB104" s="179"/>
      <c r="DC104" s="179"/>
      <c r="DD104" s="179"/>
      <c r="DE104" s="179"/>
      <c r="DF104" s="179"/>
      <c r="DG104" s="179"/>
      <c r="DH104" s="179"/>
      <c r="DI104" s="179"/>
      <c r="DJ104" s="179"/>
      <c r="DK104" s="179"/>
      <c r="DL104" s="179"/>
      <c r="DM104" s="179"/>
      <c r="DN104" s="179"/>
      <c r="DO104" s="179"/>
      <c r="DP104" s="179"/>
      <c r="DQ104" s="179"/>
      <c r="DR104" s="179"/>
      <c r="DS104" s="179"/>
      <c r="DT104" s="179"/>
      <c r="DU104" s="179"/>
      <c r="DV104" s="179"/>
      <c r="DW104" s="179"/>
      <c r="DX104" s="179"/>
      <c r="DY104" s="179"/>
      <c r="DZ104" s="179"/>
      <c r="EA104" s="179"/>
      <c r="EB104" s="179"/>
      <c r="EC104" s="179"/>
      <c r="ED104" s="179"/>
      <c r="EE104" s="179"/>
      <c r="EF104" s="179"/>
      <c r="EG104" s="179"/>
    </row>
    <row r="105" spans="1:137" s="354" customFormat="1" ht="25.5">
      <c r="A105" s="178">
        <v>104</v>
      </c>
      <c r="B105" s="202" t="s">
        <v>2044</v>
      </c>
      <c r="C105" s="203" t="s">
        <v>2392</v>
      </c>
      <c r="D105" s="191" t="s">
        <v>4064</v>
      </c>
      <c r="E105" s="13" t="s">
        <v>3838</v>
      </c>
      <c r="F105" s="203" t="s">
        <v>3928</v>
      </c>
      <c r="G105" s="203" t="s">
        <v>4029</v>
      </c>
      <c r="H105" s="204">
        <v>43584</v>
      </c>
      <c r="I105" s="202" t="s">
        <v>4053</v>
      </c>
      <c r="J105" s="204">
        <v>43566</v>
      </c>
      <c r="K105" s="178">
        <f t="shared" si="2"/>
        <v>2019</v>
      </c>
      <c r="L105" s="178">
        <f t="shared" si="3"/>
        <v>4</v>
      </c>
      <c r="M105" s="204">
        <v>43584</v>
      </c>
      <c r="N105" s="336">
        <v>5</v>
      </c>
      <c r="O105" s="343">
        <v>45</v>
      </c>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9"/>
      <c r="BN105" s="179"/>
      <c r="BO105" s="179"/>
      <c r="BP105" s="179"/>
      <c r="BQ105" s="179"/>
      <c r="BR105" s="179"/>
      <c r="BS105" s="179"/>
      <c r="BT105" s="179"/>
      <c r="BU105" s="179"/>
      <c r="BV105" s="179"/>
      <c r="BW105" s="179"/>
      <c r="BX105" s="179"/>
      <c r="BY105" s="179"/>
      <c r="BZ105" s="179"/>
      <c r="CA105" s="179"/>
      <c r="CB105" s="179"/>
      <c r="CC105" s="179"/>
      <c r="CD105" s="179"/>
      <c r="CE105" s="179"/>
      <c r="CF105" s="179"/>
      <c r="CG105" s="179"/>
      <c r="CH105" s="179"/>
      <c r="CI105" s="179"/>
      <c r="CJ105" s="179"/>
      <c r="CK105" s="179"/>
      <c r="CL105" s="179"/>
      <c r="CM105" s="179"/>
      <c r="CN105" s="179"/>
      <c r="CO105" s="179"/>
      <c r="CP105" s="179"/>
      <c r="CQ105" s="179"/>
      <c r="CR105" s="179"/>
      <c r="CS105" s="179"/>
      <c r="CT105" s="179"/>
      <c r="CU105" s="179"/>
      <c r="CV105" s="179"/>
      <c r="CW105" s="179"/>
      <c r="CX105" s="179"/>
      <c r="CY105" s="179"/>
      <c r="CZ105" s="179"/>
      <c r="DA105" s="179"/>
      <c r="DB105" s="179"/>
      <c r="DC105" s="179"/>
      <c r="DD105" s="179"/>
      <c r="DE105" s="179"/>
      <c r="DF105" s="179"/>
      <c r="DG105" s="179"/>
      <c r="DH105" s="179"/>
      <c r="DI105" s="179"/>
      <c r="DJ105" s="179"/>
      <c r="DK105" s="179"/>
      <c r="DL105" s="179"/>
      <c r="DM105" s="179"/>
      <c r="DN105" s="179"/>
      <c r="DO105" s="179"/>
      <c r="DP105" s="179"/>
      <c r="DQ105" s="179"/>
      <c r="DR105" s="179"/>
      <c r="DS105" s="179"/>
      <c r="DT105" s="179"/>
      <c r="DU105" s="179"/>
      <c r="DV105" s="179"/>
      <c r="DW105" s="179"/>
      <c r="DX105" s="179"/>
      <c r="DY105" s="179"/>
      <c r="DZ105" s="179"/>
      <c r="EA105" s="179"/>
      <c r="EB105" s="179"/>
      <c r="EC105" s="179"/>
      <c r="ED105" s="179"/>
      <c r="EE105" s="179"/>
      <c r="EF105" s="179"/>
      <c r="EG105" s="179"/>
    </row>
    <row r="106" spans="1:137" s="354" customFormat="1">
      <c r="A106" s="487">
        <v>105</v>
      </c>
      <c r="B106" s="487" t="s">
        <v>2639</v>
      </c>
      <c r="C106" s="489" t="s">
        <v>2392</v>
      </c>
      <c r="D106" s="191" t="s">
        <v>4064</v>
      </c>
      <c r="E106" s="489" t="s">
        <v>2396</v>
      </c>
      <c r="F106" s="489" t="s">
        <v>2393</v>
      </c>
      <c r="G106" s="489" t="s">
        <v>2396</v>
      </c>
      <c r="H106" s="490"/>
      <c r="I106" s="487"/>
      <c r="J106" s="491">
        <v>43566</v>
      </c>
      <c r="K106" s="487">
        <f t="shared" si="2"/>
        <v>2019</v>
      </c>
      <c r="L106" s="487">
        <f t="shared" si="3"/>
        <v>4</v>
      </c>
      <c r="M106" s="491"/>
      <c r="N106" s="492"/>
      <c r="O106" s="493"/>
      <c r="P106" s="179"/>
      <c r="Q106" s="179"/>
      <c r="R106" s="179"/>
      <c r="S106" s="179"/>
      <c r="T106" s="179"/>
      <c r="U106" s="179"/>
      <c r="V106" s="179"/>
      <c r="W106" s="179"/>
      <c r="X106" s="179"/>
      <c r="Y106" s="179"/>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9"/>
      <c r="BF106" s="179"/>
      <c r="BG106" s="179"/>
      <c r="BH106" s="179"/>
      <c r="BI106" s="179"/>
      <c r="BJ106" s="179"/>
      <c r="BK106" s="179"/>
      <c r="BL106" s="179"/>
      <c r="BM106" s="179"/>
      <c r="BN106" s="179"/>
      <c r="BO106" s="179"/>
      <c r="BP106" s="179"/>
      <c r="BQ106" s="179"/>
      <c r="BR106" s="179"/>
      <c r="BS106" s="179"/>
      <c r="BT106" s="179"/>
      <c r="BU106" s="179"/>
      <c r="BV106" s="179"/>
      <c r="BW106" s="179"/>
      <c r="BX106" s="179"/>
      <c r="BY106" s="179"/>
      <c r="BZ106" s="179"/>
      <c r="CA106" s="179"/>
      <c r="CB106" s="179"/>
      <c r="CC106" s="179"/>
      <c r="CD106" s="179"/>
      <c r="CE106" s="179"/>
      <c r="CF106" s="179"/>
      <c r="CG106" s="179"/>
      <c r="CH106" s="179"/>
      <c r="CI106" s="179"/>
      <c r="CJ106" s="179"/>
      <c r="CK106" s="179"/>
      <c r="CL106" s="179"/>
      <c r="CM106" s="179"/>
      <c r="CN106" s="179"/>
      <c r="CO106" s="179"/>
      <c r="CP106" s="179"/>
      <c r="CQ106" s="179"/>
      <c r="CR106" s="179"/>
      <c r="CS106" s="179"/>
      <c r="CT106" s="179"/>
      <c r="CU106" s="179"/>
      <c r="CV106" s="179"/>
      <c r="CW106" s="179"/>
      <c r="CX106" s="179"/>
      <c r="CY106" s="179"/>
      <c r="CZ106" s="179"/>
      <c r="DA106" s="179"/>
      <c r="DB106" s="179"/>
      <c r="DC106" s="179"/>
      <c r="DD106" s="179"/>
      <c r="DE106" s="179"/>
      <c r="DF106" s="179"/>
      <c r="DG106" s="179"/>
      <c r="DH106" s="179"/>
      <c r="DI106" s="179"/>
      <c r="DJ106" s="179"/>
      <c r="DK106" s="179"/>
      <c r="DL106" s="179"/>
      <c r="DM106" s="179"/>
      <c r="DN106" s="179"/>
      <c r="DO106" s="179"/>
      <c r="DP106" s="179"/>
      <c r="DQ106" s="179"/>
      <c r="DR106" s="179"/>
      <c r="DS106" s="179"/>
      <c r="DT106" s="179"/>
      <c r="DU106" s="179"/>
      <c r="DV106" s="179"/>
      <c r="DW106" s="179"/>
      <c r="DX106" s="179"/>
      <c r="DY106" s="179"/>
      <c r="DZ106" s="179"/>
      <c r="EA106" s="179"/>
      <c r="EB106" s="179"/>
      <c r="EC106" s="179"/>
      <c r="ED106" s="179"/>
      <c r="EE106" s="179"/>
      <c r="EF106" s="179"/>
      <c r="EG106" s="179"/>
    </row>
    <row r="107" spans="1:137" s="354" customFormat="1" ht="25.5">
      <c r="A107" s="487">
        <v>106</v>
      </c>
      <c r="B107" s="489" t="s">
        <v>2639</v>
      </c>
      <c r="C107" s="489" t="s">
        <v>2566</v>
      </c>
      <c r="D107" s="385" t="s">
        <v>4064</v>
      </c>
      <c r="E107" s="489" t="s">
        <v>1621</v>
      </c>
      <c r="F107" s="489" t="s">
        <v>3929</v>
      </c>
      <c r="G107" s="489" t="s">
        <v>4030</v>
      </c>
      <c r="H107" s="490"/>
      <c r="I107" s="487"/>
      <c r="J107" s="490">
        <v>43619</v>
      </c>
      <c r="K107" s="487">
        <f t="shared" si="2"/>
        <v>2019</v>
      </c>
      <c r="L107" s="487">
        <f t="shared" si="3"/>
        <v>6</v>
      </c>
      <c r="M107" s="491"/>
      <c r="N107" s="492"/>
      <c r="O107" s="493"/>
      <c r="P107" s="179"/>
      <c r="Q107" s="179"/>
      <c r="R107" s="179"/>
      <c r="S107" s="179"/>
      <c r="T107" s="179"/>
      <c r="U107" s="179"/>
      <c r="V107" s="179"/>
      <c r="W107" s="179"/>
      <c r="X107" s="179"/>
      <c r="Y107" s="179"/>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9"/>
      <c r="BF107" s="179"/>
      <c r="BG107" s="179"/>
      <c r="BH107" s="179"/>
      <c r="BI107" s="179"/>
      <c r="BJ107" s="179"/>
      <c r="BK107" s="179"/>
      <c r="BL107" s="179"/>
      <c r="BM107" s="179"/>
      <c r="BN107" s="179"/>
      <c r="BO107" s="179"/>
      <c r="BP107" s="179"/>
      <c r="BQ107" s="179"/>
      <c r="BR107" s="179"/>
      <c r="BS107" s="179"/>
      <c r="BT107" s="179"/>
      <c r="BU107" s="179"/>
      <c r="BV107" s="179"/>
      <c r="BW107" s="179"/>
      <c r="BX107" s="179"/>
      <c r="BY107" s="179"/>
      <c r="BZ107" s="179"/>
      <c r="CA107" s="179"/>
      <c r="CB107" s="179"/>
      <c r="CC107" s="179"/>
      <c r="CD107" s="179"/>
      <c r="CE107" s="179"/>
      <c r="CF107" s="179"/>
      <c r="CG107" s="179"/>
      <c r="CH107" s="179"/>
      <c r="CI107" s="179"/>
      <c r="CJ107" s="179"/>
      <c r="CK107" s="179"/>
      <c r="CL107" s="179"/>
      <c r="CM107" s="179"/>
      <c r="CN107" s="179"/>
      <c r="CO107" s="179"/>
      <c r="CP107" s="179"/>
      <c r="CQ107" s="179"/>
      <c r="CR107" s="179"/>
      <c r="CS107" s="179"/>
      <c r="CT107" s="179"/>
      <c r="CU107" s="179"/>
      <c r="CV107" s="179"/>
      <c r="CW107" s="179"/>
      <c r="CX107" s="179"/>
      <c r="CY107" s="179"/>
      <c r="CZ107" s="179"/>
      <c r="DA107" s="179"/>
      <c r="DB107" s="179"/>
      <c r="DC107" s="179"/>
      <c r="DD107" s="179"/>
      <c r="DE107" s="179"/>
      <c r="DF107" s="179"/>
      <c r="DG107" s="179"/>
      <c r="DH107" s="179"/>
      <c r="DI107" s="179"/>
      <c r="DJ107" s="179"/>
      <c r="DK107" s="179"/>
      <c r="DL107" s="179"/>
      <c r="DM107" s="179"/>
      <c r="DN107" s="179"/>
      <c r="DO107" s="179"/>
      <c r="DP107" s="179"/>
      <c r="DQ107" s="179"/>
      <c r="DR107" s="179"/>
      <c r="DS107" s="179"/>
      <c r="DT107" s="179"/>
      <c r="DU107" s="179"/>
      <c r="DV107" s="179"/>
      <c r="DW107" s="179"/>
      <c r="DX107" s="179"/>
      <c r="DY107" s="179"/>
      <c r="DZ107" s="179"/>
      <c r="EA107" s="179"/>
      <c r="EB107" s="179"/>
      <c r="EC107" s="179"/>
      <c r="ED107" s="179"/>
      <c r="EE107" s="179"/>
      <c r="EF107" s="179"/>
      <c r="EG107" s="179"/>
    </row>
    <row r="108" spans="1:137" s="354" customFormat="1" ht="25.5">
      <c r="A108" s="178">
        <v>107</v>
      </c>
      <c r="B108" s="202" t="s">
        <v>2044</v>
      </c>
      <c r="C108" s="203" t="s">
        <v>2016</v>
      </c>
      <c r="D108" s="385" t="s">
        <v>4064</v>
      </c>
      <c r="E108" s="13" t="s">
        <v>1621</v>
      </c>
      <c r="F108" s="203" t="s">
        <v>3930</v>
      </c>
      <c r="G108" s="203" t="s">
        <v>4031</v>
      </c>
      <c r="H108" s="240">
        <v>43672</v>
      </c>
      <c r="I108" s="202" t="s">
        <v>4053</v>
      </c>
      <c r="J108" s="204">
        <v>43663</v>
      </c>
      <c r="K108" s="178">
        <f t="shared" si="2"/>
        <v>2019</v>
      </c>
      <c r="L108" s="178">
        <f t="shared" si="3"/>
        <v>7</v>
      </c>
      <c r="M108" s="204">
        <v>43675</v>
      </c>
      <c r="N108" s="336">
        <v>2</v>
      </c>
      <c r="O108" s="343">
        <v>38</v>
      </c>
      <c r="P108" s="179"/>
      <c r="Q108" s="179"/>
      <c r="R108" s="179"/>
      <c r="S108" s="179"/>
      <c r="T108" s="179"/>
      <c r="U108" s="179"/>
      <c r="V108" s="179"/>
      <c r="W108" s="179"/>
      <c r="X108" s="179"/>
      <c r="Y108" s="179"/>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9"/>
      <c r="BF108" s="179"/>
      <c r="BG108" s="179"/>
      <c r="BH108" s="179"/>
      <c r="BI108" s="179"/>
      <c r="BJ108" s="179"/>
      <c r="BK108" s="179"/>
      <c r="BL108" s="179"/>
      <c r="BM108" s="179"/>
      <c r="BN108" s="179"/>
      <c r="BO108" s="179"/>
      <c r="BP108" s="179"/>
      <c r="BQ108" s="179"/>
      <c r="BR108" s="179"/>
      <c r="BS108" s="179"/>
      <c r="BT108" s="179"/>
      <c r="BU108" s="179"/>
      <c r="BV108" s="179"/>
      <c r="BW108" s="179"/>
      <c r="BX108" s="179"/>
      <c r="BY108" s="179"/>
      <c r="BZ108" s="179"/>
      <c r="CA108" s="179"/>
      <c r="CB108" s="179"/>
      <c r="CC108" s="179"/>
      <c r="CD108" s="179"/>
      <c r="CE108" s="179"/>
      <c r="CF108" s="179"/>
      <c r="CG108" s="179"/>
      <c r="CH108" s="179"/>
      <c r="CI108" s="179"/>
      <c r="CJ108" s="179"/>
      <c r="CK108" s="179"/>
      <c r="CL108" s="179"/>
      <c r="CM108" s="179"/>
      <c r="CN108" s="179"/>
      <c r="CO108" s="179"/>
      <c r="CP108" s="179"/>
      <c r="CQ108" s="179"/>
      <c r="CR108" s="179"/>
      <c r="CS108" s="179"/>
      <c r="CT108" s="179"/>
      <c r="CU108" s="179"/>
      <c r="CV108" s="179"/>
      <c r="CW108" s="179"/>
      <c r="CX108" s="179"/>
      <c r="CY108" s="179"/>
      <c r="CZ108" s="179"/>
      <c r="DA108" s="179"/>
      <c r="DB108" s="179"/>
      <c r="DC108" s="179"/>
      <c r="DD108" s="179"/>
      <c r="DE108" s="179"/>
      <c r="DF108" s="179"/>
      <c r="DG108" s="179"/>
      <c r="DH108" s="179"/>
      <c r="DI108" s="179"/>
      <c r="DJ108" s="179"/>
      <c r="DK108" s="179"/>
      <c r="DL108" s="179"/>
      <c r="DM108" s="179"/>
      <c r="DN108" s="179"/>
      <c r="DO108" s="179"/>
      <c r="DP108" s="179"/>
      <c r="DQ108" s="179"/>
      <c r="DR108" s="179"/>
      <c r="DS108" s="179"/>
      <c r="DT108" s="179"/>
      <c r="DU108" s="179"/>
      <c r="DV108" s="179"/>
      <c r="DW108" s="179"/>
      <c r="DX108" s="179"/>
      <c r="DY108" s="179"/>
      <c r="DZ108" s="179"/>
      <c r="EA108" s="179"/>
      <c r="EB108" s="179"/>
      <c r="EC108" s="179"/>
      <c r="ED108" s="179"/>
      <c r="EE108" s="179"/>
      <c r="EF108" s="179"/>
      <c r="EG108" s="179"/>
    </row>
    <row r="109" spans="1:137" s="354" customFormat="1" ht="25.5">
      <c r="A109" s="235">
        <v>108</v>
      </c>
      <c r="B109" s="202" t="s">
        <v>2048</v>
      </c>
      <c r="C109" s="203" t="s">
        <v>2016</v>
      </c>
      <c r="D109" s="191" t="s">
        <v>4064</v>
      </c>
      <c r="E109" s="236" t="s">
        <v>3839</v>
      </c>
      <c r="F109" s="203" t="s">
        <v>3931</v>
      </c>
      <c r="G109" s="203" t="s">
        <v>3839</v>
      </c>
      <c r="H109" s="240" t="s">
        <v>2606</v>
      </c>
      <c r="I109" s="202"/>
      <c r="J109" s="204">
        <v>43684</v>
      </c>
      <c r="K109" s="235">
        <f t="shared" si="2"/>
        <v>2019</v>
      </c>
      <c r="L109" s="235">
        <f t="shared" si="3"/>
        <v>8</v>
      </c>
      <c r="M109" s="204"/>
      <c r="N109" s="336"/>
      <c r="O109" s="488"/>
      <c r="P109" s="179"/>
      <c r="Q109" s="179"/>
      <c r="R109" s="179"/>
      <c r="S109" s="179"/>
      <c r="T109" s="179"/>
      <c r="U109" s="179"/>
      <c r="V109" s="179"/>
      <c r="W109" s="179"/>
      <c r="X109" s="179"/>
      <c r="Y109" s="179"/>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9"/>
      <c r="BF109" s="179"/>
      <c r="BG109" s="179"/>
      <c r="BH109" s="179"/>
      <c r="BI109" s="179"/>
      <c r="BJ109" s="179"/>
      <c r="BK109" s="179"/>
      <c r="BL109" s="179"/>
      <c r="BM109" s="179"/>
      <c r="BN109" s="179"/>
      <c r="BO109" s="179"/>
      <c r="BP109" s="179"/>
      <c r="BQ109" s="179"/>
      <c r="BR109" s="179"/>
      <c r="BS109" s="179"/>
      <c r="BT109" s="179"/>
      <c r="BU109" s="179"/>
      <c r="BV109" s="179"/>
      <c r="BW109" s="179"/>
      <c r="BX109" s="179"/>
      <c r="BY109" s="179"/>
      <c r="BZ109" s="179"/>
      <c r="CA109" s="179"/>
      <c r="CB109" s="179"/>
      <c r="CC109" s="179"/>
      <c r="CD109" s="179"/>
      <c r="CE109" s="179"/>
      <c r="CF109" s="179"/>
      <c r="CG109" s="179"/>
      <c r="CH109" s="179"/>
      <c r="CI109" s="179"/>
      <c r="CJ109" s="179"/>
      <c r="CK109" s="179"/>
      <c r="CL109" s="179"/>
      <c r="CM109" s="179"/>
      <c r="CN109" s="179"/>
      <c r="CO109" s="179"/>
      <c r="CP109" s="179"/>
      <c r="CQ109" s="179"/>
      <c r="CR109" s="179"/>
      <c r="CS109" s="179"/>
      <c r="CT109" s="179"/>
      <c r="CU109" s="179"/>
      <c r="CV109" s="179"/>
      <c r="CW109" s="179"/>
      <c r="CX109" s="179"/>
      <c r="CY109" s="179"/>
      <c r="CZ109" s="179"/>
      <c r="DA109" s="179"/>
      <c r="DB109" s="179"/>
      <c r="DC109" s="179"/>
      <c r="DD109" s="179"/>
      <c r="DE109" s="179"/>
      <c r="DF109" s="179"/>
      <c r="DG109" s="179"/>
      <c r="DH109" s="179"/>
      <c r="DI109" s="179"/>
      <c r="DJ109" s="179"/>
      <c r="DK109" s="179"/>
      <c r="DL109" s="179"/>
      <c r="DM109" s="179"/>
      <c r="DN109" s="179"/>
      <c r="DO109" s="179"/>
      <c r="DP109" s="179"/>
      <c r="DQ109" s="179"/>
      <c r="DR109" s="179"/>
      <c r="DS109" s="179"/>
      <c r="DT109" s="179"/>
      <c r="DU109" s="179"/>
      <c r="DV109" s="179"/>
      <c r="DW109" s="179"/>
      <c r="DX109" s="179"/>
      <c r="DY109" s="179"/>
      <c r="DZ109" s="179"/>
      <c r="EA109" s="179"/>
      <c r="EB109" s="179"/>
      <c r="EC109" s="179"/>
      <c r="ED109" s="179"/>
      <c r="EE109" s="179"/>
      <c r="EF109" s="179"/>
      <c r="EG109" s="179"/>
    </row>
    <row r="110" spans="1:137" s="354" customFormat="1" ht="25.5">
      <c r="A110" s="235">
        <v>109</v>
      </c>
      <c r="B110" s="202" t="s">
        <v>2048</v>
      </c>
      <c r="C110" s="203" t="s">
        <v>2016</v>
      </c>
      <c r="D110" s="385" t="s">
        <v>4064</v>
      </c>
      <c r="E110" s="236" t="s">
        <v>3840</v>
      </c>
      <c r="F110" s="203" t="s">
        <v>3931</v>
      </c>
      <c r="G110" s="203" t="s">
        <v>3840</v>
      </c>
      <c r="H110" s="240" t="s">
        <v>2607</v>
      </c>
      <c r="I110" s="202"/>
      <c r="J110" s="204">
        <v>43684</v>
      </c>
      <c r="K110" s="235">
        <f t="shared" si="2"/>
        <v>2019</v>
      </c>
      <c r="L110" s="235">
        <f t="shared" si="3"/>
        <v>8</v>
      </c>
      <c r="M110" s="204"/>
      <c r="N110" s="336"/>
      <c r="O110" s="488"/>
      <c r="P110" s="179"/>
      <c r="Q110" s="179"/>
      <c r="R110" s="179"/>
      <c r="S110" s="179"/>
      <c r="T110" s="179"/>
      <c r="U110" s="179"/>
      <c r="V110" s="179"/>
      <c r="W110" s="179"/>
      <c r="X110" s="179"/>
      <c r="Y110" s="179"/>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9"/>
      <c r="BF110" s="179"/>
      <c r="BG110" s="179"/>
      <c r="BH110" s="179"/>
      <c r="BI110" s="179"/>
      <c r="BJ110" s="179"/>
      <c r="BK110" s="179"/>
      <c r="BL110" s="179"/>
      <c r="BM110" s="179"/>
      <c r="BN110" s="179"/>
      <c r="BO110" s="179"/>
      <c r="BP110" s="179"/>
      <c r="BQ110" s="179"/>
      <c r="BR110" s="179"/>
      <c r="BS110" s="179"/>
      <c r="BT110" s="179"/>
      <c r="BU110" s="179"/>
      <c r="BV110" s="179"/>
      <c r="BW110" s="179"/>
      <c r="BX110" s="179"/>
      <c r="BY110" s="179"/>
      <c r="BZ110" s="179"/>
      <c r="CA110" s="179"/>
      <c r="CB110" s="179"/>
      <c r="CC110" s="179"/>
      <c r="CD110" s="179"/>
      <c r="CE110" s="179"/>
      <c r="CF110" s="179"/>
      <c r="CG110" s="179"/>
      <c r="CH110" s="179"/>
      <c r="CI110" s="179"/>
      <c r="CJ110" s="179"/>
      <c r="CK110" s="179"/>
      <c r="CL110" s="179"/>
      <c r="CM110" s="179"/>
      <c r="CN110" s="179"/>
      <c r="CO110" s="179"/>
      <c r="CP110" s="179"/>
      <c r="CQ110" s="179"/>
      <c r="CR110" s="179"/>
      <c r="CS110" s="179"/>
      <c r="CT110" s="179"/>
      <c r="CU110" s="179"/>
      <c r="CV110" s="179"/>
      <c r="CW110" s="179"/>
      <c r="CX110" s="179"/>
      <c r="CY110" s="179"/>
      <c r="CZ110" s="179"/>
      <c r="DA110" s="179"/>
      <c r="DB110" s="179"/>
      <c r="DC110" s="179"/>
      <c r="DD110" s="179"/>
      <c r="DE110" s="179"/>
      <c r="DF110" s="179"/>
      <c r="DG110" s="179"/>
      <c r="DH110" s="179"/>
      <c r="DI110" s="179"/>
      <c r="DJ110" s="179"/>
      <c r="DK110" s="179"/>
      <c r="DL110" s="179"/>
      <c r="DM110" s="179"/>
      <c r="DN110" s="179"/>
      <c r="DO110" s="179"/>
      <c r="DP110" s="179"/>
      <c r="DQ110" s="179"/>
      <c r="DR110" s="179"/>
      <c r="DS110" s="179"/>
      <c r="DT110" s="179"/>
      <c r="DU110" s="179"/>
      <c r="DV110" s="179"/>
      <c r="DW110" s="179"/>
      <c r="DX110" s="179"/>
      <c r="DY110" s="179"/>
      <c r="DZ110" s="179"/>
      <c r="EA110" s="179"/>
      <c r="EB110" s="179"/>
      <c r="EC110" s="179"/>
      <c r="ED110" s="179"/>
      <c r="EE110" s="179"/>
      <c r="EF110" s="179"/>
      <c r="EG110" s="179"/>
    </row>
    <row r="111" spans="1:137" s="354" customFormat="1">
      <c r="A111" s="487">
        <v>110</v>
      </c>
      <c r="B111" s="487" t="s">
        <v>2639</v>
      </c>
      <c r="C111" s="489" t="s">
        <v>2603</v>
      </c>
      <c r="D111" s="489"/>
      <c r="E111" s="489" t="e">
        <v>#N/A</v>
      </c>
      <c r="F111" s="489" t="s">
        <v>3932</v>
      </c>
      <c r="G111" s="489" t="s">
        <v>2393</v>
      </c>
      <c r="H111" s="490" t="s">
        <v>2605</v>
      </c>
      <c r="I111" s="487"/>
      <c r="J111" s="491">
        <v>43684</v>
      </c>
      <c r="K111" s="487">
        <f t="shared" si="2"/>
        <v>2019</v>
      </c>
      <c r="L111" s="487">
        <f t="shared" si="3"/>
        <v>8</v>
      </c>
      <c r="M111" s="491"/>
      <c r="N111" s="492"/>
      <c r="O111" s="493"/>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79"/>
      <c r="CM111" s="179"/>
      <c r="CN111" s="179"/>
      <c r="CO111" s="179"/>
      <c r="CP111" s="179"/>
      <c r="CQ111" s="179"/>
      <c r="CR111" s="179"/>
      <c r="CS111" s="179"/>
      <c r="CT111" s="179"/>
      <c r="CU111" s="179"/>
      <c r="CV111" s="179"/>
      <c r="CW111" s="179"/>
      <c r="CX111" s="179"/>
      <c r="CY111" s="179"/>
      <c r="CZ111" s="179"/>
      <c r="DA111" s="179"/>
      <c r="DB111" s="179"/>
      <c r="DC111" s="179"/>
      <c r="DD111" s="179"/>
      <c r="DE111" s="179"/>
      <c r="DF111" s="179"/>
      <c r="DG111" s="179"/>
      <c r="DH111" s="179"/>
      <c r="DI111" s="179"/>
      <c r="DJ111" s="179"/>
      <c r="DK111" s="179"/>
      <c r="DL111" s="179"/>
      <c r="DM111" s="179"/>
      <c r="DN111" s="179"/>
      <c r="DO111" s="179"/>
      <c r="DP111" s="179"/>
      <c r="DQ111" s="179"/>
      <c r="DR111" s="179"/>
      <c r="DS111" s="179"/>
      <c r="DT111" s="179"/>
      <c r="DU111" s="179"/>
      <c r="DV111" s="179"/>
      <c r="DW111" s="179"/>
      <c r="DX111" s="179"/>
      <c r="DY111" s="179"/>
      <c r="DZ111" s="179"/>
      <c r="EA111" s="179"/>
      <c r="EB111" s="179"/>
      <c r="EC111" s="179"/>
      <c r="ED111" s="179"/>
      <c r="EE111" s="179"/>
      <c r="EF111" s="179"/>
      <c r="EG111" s="179"/>
    </row>
    <row r="112" spans="1:137" s="354" customFormat="1">
      <c r="A112" s="178">
        <v>111</v>
      </c>
      <c r="B112" s="202" t="s">
        <v>2044</v>
      </c>
      <c r="C112" s="203" t="s">
        <v>2640</v>
      </c>
      <c r="D112" s="13" t="s">
        <v>4064</v>
      </c>
      <c r="E112" s="13" t="s">
        <v>1745</v>
      </c>
      <c r="F112" s="203" t="s">
        <v>3632</v>
      </c>
      <c r="G112" s="203" t="s">
        <v>4032</v>
      </c>
      <c r="H112" s="240">
        <v>43733</v>
      </c>
      <c r="I112" s="202" t="s">
        <v>4054</v>
      </c>
      <c r="J112" s="204">
        <v>43722</v>
      </c>
      <c r="K112" s="178">
        <f t="shared" si="2"/>
        <v>2019</v>
      </c>
      <c r="L112" s="178">
        <f t="shared" si="3"/>
        <v>9</v>
      </c>
      <c r="M112" s="204">
        <v>43743</v>
      </c>
      <c r="N112" s="333" t="s">
        <v>4058</v>
      </c>
      <c r="O112" s="343">
        <v>30</v>
      </c>
      <c r="P112" s="179"/>
      <c r="Q112" s="179"/>
      <c r="R112" s="179"/>
      <c r="S112" s="179"/>
      <c r="T112" s="179"/>
      <c r="U112" s="179"/>
      <c r="V112" s="179"/>
      <c r="W112" s="179"/>
      <c r="X112" s="179"/>
      <c r="Y112" s="179"/>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9"/>
      <c r="BF112" s="179"/>
      <c r="BG112" s="179"/>
      <c r="BH112" s="179"/>
      <c r="BI112" s="179"/>
      <c r="BJ112" s="179"/>
      <c r="BK112" s="179"/>
      <c r="BL112" s="179"/>
      <c r="BM112" s="179"/>
      <c r="BN112" s="179"/>
      <c r="BO112" s="179"/>
      <c r="BP112" s="179"/>
      <c r="BQ112" s="179"/>
      <c r="BR112" s="179"/>
      <c r="BS112" s="179"/>
      <c r="BT112" s="179"/>
      <c r="BU112" s="179"/>
      <c r="BV112" s="179"/>
      <c r="BW112" s="179"/>
      <c r="BX112" s="179"/>
      <c r="BY112" s="179"/>
      <c r="BZ112" s="179"/>
      <c r="CA112" s="179"/>
      <c r="CB112" s="179"/>
      <c r="CC112" s="179"/>
      <c r="CD112" s="179"/>
      <c r="CE112" s="179"/>
      <c r="CF112" s="179"/>
      <c r="CG112" s="179"/>
      <c r="CH112" s="179"/>
      <c r="CI112" s="179"/>
      <c r="CJ112" s="179"/>
      <c r="CK112" s="179"/>
      <c r="CL112" s="179"/>
      <c r="CM112" s="179"/>
      <c r="CN112" s="179"/>
      <c r="CO112" s="179"/>
      <c r="CP112" s="179"/>
      <c r="CQ112" s="179"/>
      <c r="CR112" s="179"/>
      <c r="CS112" s="179"/>
      <c r="CT112" s="179"/>
      <c r="CU112" s="179"/>
      <c r="CV112" s="179"/>
      <c r="CW112" s="179"/>
      <c r="CX112" s="179"/>
      <c r="CY112" s="179"/>
      <c r="CZ112" s="179"/>
      <c r="DA112" s="179"/>
      <c r="DB112" s="179"/>
      <c r="DC112" s="179"/>
      <c r="DD112" s="179"/>
      <c r="DE112" s="179"/>
      <c r="DF112" s="179"/>
      <c r="DG112" s="179"/>
      <c r="DH112" s="179"/>
      <c r="DI112" s="179"/>
      <c r="DJ112" s="179"/>
      <c r="DK112" s="179"/>
      <c r="DL112" s="179"/>
      <c r="DM112" s="179"/>
      <c r="DN112" s="179"/>
      <c r="DO112" s="179"/>
      <c r="DP112" s="179"/>
      <c r="DQ112" s="179"/>
      <c r="DR112" s="179"/>
      <c r="DS112" s="179"/>
      <c r="DT112" s="179"/>
      <c r="DU112" s="179"/>
      <c r="DV112" s="179"/>
      <c r="DW112" s="179"/>
      <c r="DX112" s="179"/>
      <c r="DY112" s="179"/>
      <c r="DZ112" s="179"/>
      <c r="EA112" s="179"/>
      <c r="EB112" s="179"/>
      <c r="EC112" s="179"/>
      <c r="ED112" s="179"/>
      <c r="EE112" s="179"/>
      <c r="EF112" s="179"/>
      <c r="EG112" s="179"/>
    </row>
    <row r="113" spans="1:137" s="354" customFormat="1" ht="38.25">
      <c r="A113" s="178">
        <v>112</v>
      </c>
      <c r="B113" s="202" t="s">
        <v>2044</v>
      </c>
      <c r="C113" s="203" t="s">
        <v>3459</v>
      </c>
      <c r="D113" s="385" t="s">
        <v>4064</v>
      </c>
      <c r="E113" s="203" t="s">
        <v>3841</v>
      </c>
      <c r="F113" s="203" t="s">
        <v>3933</v>
      </c>
      <c r="G113" s="203" t="s">
        <v>3841</v>
      </c>
      <c r="H113" s="240">
        <v>43742</v>
      </c>
      <c r="I113" s="202" t="s">
        <v>4053</v>
      </c>
      <c r="J113" s="204">
        <v>43740</v>
      </c>
      <c r="K113" s="178">
        <f t="shared" si="2"/>
        <v>2019</v>
      </c>
      <c r="L113" s="178">
        <f t="shared" si="3"/>
        <v>10</v>
      </c>
      <c r="M113" s="204">
        <v>43767</v>
      </c>
      <c r="N113" s="445">
        <v>5</v>
      </c>
      <c r="O113" s="343">
        <v>55</v>
      </c>
      <c r="P113" s="179"/>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c r="AL113" s="179"/>
      <c r="AM113" s="179"/>
      <c r="AN113" s="179"/>
      <c r="AO113" s="179"/>
      <c r="AP113" s="179"/>
      <c r="AQ113" s="179"/>
      <c r="AR113" s="179"/>
      <c r="AS113" s="179"/>
      <c r="AT113" s="179"/>
      <c r="AU113" s="179"/>
      <c r="AV113" s="179"/>
      <c r="AW113" s="179"/>
      <c r="AX113" s="179"/>
      <c r="AY113" s="179"/>
      <c r="AZ113" s="179"/>
      <c r="BA113" s="179"/>
      <c r="BB113" s="179"/>
      <c r="BC113" s="179"/>
      <c r="BD113" s="179"/>
      <c r="BE113" s="179"/>
      <c r="BF113" s="179"/>
      <c r="BG113" s="179"/>
      <c r="BH113" s="179"/>
      <c r="BI113" s="179"/>
      <c r="BJ113" s="179"/>
      <c r="BK113" s="179"/>
      <c r="BL113" s="179"/>
      <c r="BM113" s="179"/>
      <c r="BN113" s="179"/>
      <c r="BO113" s="179"/>
      <c r="BP113" s="179"/>
      <c r="BQ113" s="179"/>
      <c r="BR113" s="179"/>
      <c r="BS113" s="179"/>
      <c r="BT113" s="179"/>
      <c r="BU113" s="179"/>
      <c r="BV113" s="179"/>
      <c r="BW113" s="179"/>
      <c r="BX113" s="179"/>
      <c r="BY113" s="179"/>
      <c r="BZ113" s="179"/>
      <c r="CA113" s="179"/>
      <c r="CB113" s="179"/>
      <c r="CC113" s="179"/>
      <c r="CD113" s="179"/>
      <c r="CE113" s="179"/>
      <c r="CF113" s="179"/>
      <c r="CG113" s="179"/>
      <c r="CH113" s="179"/>
      <c r="CI113" s="179"/>
      <c r="CJ113" s="179"/>
      <c r="CK113" s="179"/>
      <c r="CL113" s="179"/>
      <c r="CM113" s="179"/>
      <c r="CN113" s="179"/>
      <c r="CO113" s="179"/>
      <c r="CP113" s="179"/>
      <c r="CQ113" s="179"/>
      <c r="CR113" s="179"/>
      <c r="CS113" s="179"/>
      <c r="CT113" s="179"/>
      <c r="CU113" s="179"/>
      <c r="CV113" s="179"/>
      <c r="CW113" s="179"/>
      <c r="CX113" s="179"/>
      <c r="CY113" s="179"/>
      <c r="CZ113" s="179"/>
      <c r="DA113" s="179"/>
      <c r="DB113" s="179"/>
      <c r="DC113" s="179"/>
      <c r="DD113" s="179"/>
      <c r="DE113" s="179"/>
      <c r="DF113" s="179"/>
      <c r="DG113" s="179"/>
      <c r="DH113" s="179"/>
      <c r="DI113" s="179"/>
      <c r="DJ113" s="179"/>
      <c r="DK113" s="179"/>
      <c r="DL113" s="179"/>
      <c r="DM113" s="179"/>
      <c r="DN113" s="179"/>
      <c r="DO113" s="179"/>
      <c r="DP113" s="179"/>
      <c r="DQ113" s="179"/>
      <c r="DR113" s="179"/>
      <c r="DS113" s="179"/>
      <c r="DT113" s="179"/>
      <c r="DU113" s="179"/>
      <c r="DV113" s="179"/>
      <c r="DW113" s="179"/>
      <c r="DX113" s="179"/>
      <c r="DY113" s="179"/>
      <c r="DZ113" s="179"/>
      <c r="EA113" s="179"/>
      <c r="EB113" s="179"/>
      <c r="EC113" s="179"/>
      <c r="ED113" s="179"/>
      <c r="EE113" s="179"/>
      <c r="EF113" s="179"/>
      <c r="EG113" s="179"/>
    </row>
    <row r="114" spans="1:137" s="354" customFormat="1" ht="38.25">
      <c r="A114" s="178">
        <v>113</v>
      </c>
      <c r="B114" s="202" t="s">
        <v>2044</v>
      </c>
      <c r="C114" s="203" t="s">
        <v>3459</v>
      </c>
      <c r="D114" s="191" t="s">
        <v>4064</v>
      </c>
      <c r="E114" s="191" t="s">
        <v>3829</v>
      </c>
      <c r="F114" s="203" t="s">
        <v>3933</v>
      </c>
      <c r="G114" s="203" t="s">
        <v>3829</v>
      </c>
      <c r="H114" s="240">
        <v>43767</v>
      </c>
      <c r="I114" s="202" t="s">
        <v>4053</v>
      </c>
      <c r="J114" s="204">
        <v>43740</v>
      </c>
      <c r="K114" s="178">
        <f t="shared" si="2"/>
        <v>2019</v>
      </c>
      <c r="L114" s="178">
        <f t="shared" si="3"/>
        <v>10</v>
      </c>
      <c r="M114" s="204">
        <v>43767</v>
      </c>
      <c r="N114" s="447"/>
      <c r="O114" s="343">
        <v>38</v>
      </c>
      <c r="P114" s="179"/>
      <c r="Q114" s="179"/>
      <c r="R114" s="179"/>
      <c r="S114" s="179"/>
      <c r="T114" s="179"/>
      <c r="U114" s="179"/>
      <c r="V114" s="179"/>
      <c r="W114" s="179"/>
      <c r="X114" s="179"/>
      <c r="Y114" s="179"/>
      <c r="Z114" s="179"/>
      <c r="AA114" s="179"/>
      <c r="AB114" s="179"/>
      <c r="AC114" s="179"/>
      <c r="AD114" s="179"/>
      <c r="AE114" s="179"/>
      <c r="AF114" s="179"/>
      <c r="AG114" s="179"/>
      <c r="AH114" s="179"/>
      <c r="AI114" s="179"/>
      <c r="AJ114" s="179"/>
      <c r="AK114" s="179"/>
      <c r="AL114" s="179"/>
      <c r="AM114" s="179"/>
      <c r="AN114" s="179"/>
      <c r="AO114" s="179"/>
      <c r="AP114" s="179"/>
      <c r="AQ114" s="179"/>
      <c r="AR114" s="179"/>
      <c r="AS114" s="179"/>
      <c r="AT114" s="179"/>
      <c r="AU114" s="179"/>
      <c r="AV114" s="179"/>
      <c r="AW114" s="179"/>
      <c r="AX114" s="179"/>
      <c r="AY114" s="179"/>
      <c r="AZ114" s="179"/>
      <c r="BA114" s="179"/>
      <c r="BB114" s="179"/>
      <c r="BC114" s="179"/>
      <c r="BD114" s="179"/>
      <c r="BE114" s="179"/>
      <c r="BF114" s="179"/>
      <c r="BG114" s="179"/>
      <c r="BH114" s="179"/>
      <c r="BI114" s="179"/>
      <c r="BJ114" s="179"/>
      <c r="BK114" s="179"/>
      <c r="BL114" s="179"/>
      <c r="BM114" s="179"/>
      <c r="BN114" s="179"/>
      <c r="BO114" s="179"/>
      <c r="BP114" s="179"/>
      <c r="BQ114" s="179"/>
      <c r="BR114" s="179"/>
      <c r="BS114" s="179"/>
      <c r="BT114" s="179"/>
      <c r="BU114" s="179"/>
      <c r="BV114" s="179"/>
      <c r="BW114" s="179"/>
      <c r="BX114" s="179"/>
      <c r="BY114" s="179"/>
      <c r="BZ114" s="179"/>
      <c r="CA114" s="179"/>
      <c r="CB114" s="179"/>
      <c r="CC114" s="179"/>
      <c r="CD114" s="179"/>
      <c r="CE114" s="179"/>
      <c r="CF114" s="179"/>
      <c r="CG114" s="179"/>
      <c r="CH114" s="179"/>
      <c r="CI114" s="179"/>
      <c r="CJ114" s="179"/>
      <c r="CK114" s="179"/>
      <c r="CL114" s="179"/>
      <c r="CM114" s="179"/>
      <c r="CN114" s="179"/>
      <c r="CO114" s="179"/>
      <c r="CP114" s="179"/>
      <c r="CQ114" s="179"/>
      <c r="CR114" s="179"/>
      <c r="CS114" s="179"/>
      <c r="CT114" s="179"/>
      <c r="CU114" s="179"/>
      <c r="CV114" s="179"/>
      <c r="CW114" s="179"/>
      <c r="CX114" s="179"/>
      <c r="CY114" s="179"/>
      <c r="CZ114" s="179"/>
      <c r="DA114" s="179"/>
      <c r="DB114" s="179"/>
      <c r="DC114" s="179"/>
      <c r="DD114" s="179"/>
      <c r="DE114" s="179"/>
      <c r="DF114" s="179"/>
      <c r="DG114" s="179"/>
      <c r="DH114" s="179"/>
      <c r="DI114" s="179"/>
      <c r="DJ114" s="179"/>
      <c r="DK114" s="179"/>
      <c r="DL114" s="179"/>
      <c r="DM114" s="179"/>
      <c r="DN114" s="179"/>
      <c r="DO114" s="179"/>
      <c r="DP114" s="179"/>
      <c r="DQ114" s="179"/>
      <c r="DR114" s="179"/>
      <c r="DS114" s="179"/>
      <c r="DT114" s="179"/>
      <c r="DU114" s="179"/>
      <c r="DV114" s="179"/>
      <c r="DW114" s="179"/>
      <c r="DX114" s="179"/>
      <c r="DY114" s="179"/>
      <c r="DZ114" s="179"/>
      <c r="EA114" s="179"/>
      <c r="EB114" s="179"/>
      <c r="EC114" s="179"/>
      <c r="ED114" s="179"/>
      <c r="EE114" s="179"/>
      <c r="EF114" s="179"/>
      <c r="EG114" s="179"/>
    </row>
    <row r="115" spans="1:137" s="354" customFormat="1" ht="25.5">
      <c r="A115" s="494">
        <v>114</v>
      </c>
      <c r="B115" s="487" t="s">
        <v>2049</v>
      </c>
      <c r="C115" s="489" t="s">
        <v>3461</v>
      </c>
      <c r="D115" s="489"/>
      <c r="E115" s="496" t="e">
        <v>#N/A</v>
      </c>
      <c r="F115" s="489" t="s">
        <v>3871</v>
      </c>
      <c r="G115" s="489" t="s">
        <v>4033</v>
      </c>
      <c r="H115" s="490"/>
      <c r="I115" s="487"/>
      <c r="J115" s="491">
        <v>43740</v>
      </c>
      <c r="K115" s="494">
        <f t="shared" si="2"/>
        <v>2019</v>
      </c>
      <c r="L115" s="494">
        <f t="shared" si="3"/>
        <v>10</v>
      </c>
      <c r="M115" s="491"/>
      <c r="N115" s="492"/>
      <c r="O115" s="500"/>
      <c r="P115" s="179"/>
      <c r="Q115" s="179"/>
      <c r="R115" s="179"/>
      <c r="S115" s="179"/>
      <c r="T115" s="179"/>
      <c r="U115" s="179"/>
      <c r="V115" s="179"/>
      <c r="W115" s="179"/>
      <c r="X115" s="179"/>
      <c r="Y115" s="179"/>
      <c r="Z115" s="179"/>
      <c r="AA115" s="179"/>
      <c r="AB115" s="179"/>
      <c r="AC115" s="179"/>
      <c r="AD115" s="179"/>
      <c r="AE115" s="179"/>
      <c r="AF115" s="179"/>
      <c r="AG115" s="179"/>
      <c r="AH115" s="179"/>
      <c r="AI115" s="179"/>
      <c r="AJ115" s="179"/>
      <c r="AK115" s="179"/>
      <c r="AL115" s="179"/>
      <c r="AM115" s="179"/>
      <c r="AN115" s="179"/>
      <c r="AO115" s="179"/>
      <c r="AP115" s="179"/>
      <c r="AQ115" s="179"/>
      <c r="AR115" s="179"/>
      <c r="AS115" s="179"/>
      <c r="AT115" s="179"/>
      <c r="AU115" s="179"/>
      <c r="AV115" s="179"/>
      <c r="AW115" s="179"/>
      <c r="AX115" s="179"/>
      <c r="AY115" s="179"/>
      <c r="AZ115" s="179"/>
      <c r="BA115" s="179"/>
      <c r="BB115" s="179"/>
      <c r="BC115" s="179"/>
      <c r="BD115" s="179"/>
      <c r="BE115" s="179"/>
      <c r="BF115" s="179"/>
      <c r="BG115" s="179"/>
      <c r="BH115" s="179"/>
      <c r="BI115" s="179"/>
      <c r="BJ115" s="179"/>
      <c r="BK115" s="179"/>
      <c r="BL115" s="179"/>
      <c r="BM115" s="179"/>
      <c r="BN115" s="179"/>
      <c r="BO115" s="179"/>
      <c r="BP115" s="179"/>
      <c r="BQ115" s="179"/>
      <c r="BR115" s="179"/>
      <c r="BS115" s="179"/>
      <c r="BT115" s="179"/>
      <c r="BU115" s="179"/>
      <c r="BV115" s="179"/>
      <c r="BW115" s="179"/>
      <c r="BX115" s="179"/>
      <c r="BY115" s="179"/>
      <c r="BZ115" s="179"/>
      <c r="CA115" s="179"/>
      <c r="CB115" s="179"/>
      <c r="CC115" s="179"/>
      <c r="CD115" s="179"/>
      <c r="CE115" s="179"/>
      <c r="CF115" s="179"/>
      <c r="CG115" s="179"/>
      <c r="CH115" s="179"/>
      <c r="CI115" s="179"/>
      <c r="CJ115" s="179"/>
      <c r="CK115" s="179"/>
      <c r="CL115" s="179"/>
      <c r="CM115" s="179"/>
      <c r="CN115" s="179"/>
      <c r="CO115" s="179"/>
      <c r="CP115" s="179"/>
      <c r="CQ115" s="179"/>
      <c r="CR115" s="179"/>
      <c r="CS115" s="179"/>
      <c r="CT115" s="179"/>
      <c r="CU115" s="179"/>
      <c r="CV115" s="179"/>
      <c r="CW115" s="179"/>
      <c r="CX115" s="179"/>
      <c r="CY115" s="179"/>
      <c r="CZ115" s="179"/>
      <c r="DA115" s="179"/>
      <c r="DB115" s="179"/>
      <c r="DC115" s="179"/>
      <c r="DD115" s="179"/>
      <c r="DE115" s="179"/>
      <c r="DF115" s="179"/>
      <c r="DG115" s="179"/>
      <c r="DH115" s="179"/>
      <c r="DI115" s="179"/>
      <c r="DJ115" s="179"/>
      <c r="DK115" s="179"/>
      <c r="DL115" s="179"/>
      <c r="DM115" s="179"/>
      <c r="DN115" s="179"/>
      <c r="DO115" s="179"/>
      <c r="DP115" s="179"/>
      <c r="DQ115" s="179"/>
      <c r="DR115" s="179"/>
      <c r="DS115" s="179"/>
      <c r="DT115" s="179"/>
      <c r="DU115" s="179"/>
      <c r="DV115" s="179"/>
      <c r="DW115" s="179"/>
      <c r="DX115" s="179"/>
      <c r="DY115" s="179"/>
      <c r="DZ115" s="179"/>
      <c r="EA115" s="179"/>
      <c r="EB115" s="179"/>
      <c r="EC115" s="179"/>
      <c r="ED115" s="179"/>
      <c r="EE115" s="179"/>
      <c r="EF115" s="179"/>
      <c r="EG115" s="179"/>
    </row>
    <row r="116" spans="1:137" s="354" customFormat="1" ht="25.5">
      <c r="A116" s="178">
        <v>115</v>
      </c>
      <c r="B116" s="202" t="s">
        <v>2044</v>
      </c>
      <c r="C116" s="202" t="s">
        <v>3501</v>
      </c>
      <c r="D116" s="385" t="s">
        <v>4064</v>
      </c>
      <c r="E116" s="13" t="s">
        <v>1621</v>
      </c>
      <c r="F116" s="203" t="s">
        <v>3934</v>
      </c>
      <c r="G116" s="203" t="s">
        <v>4034</v>
      </c>
      <c r="H116" s="240">
        <v>43770</v>
      </c>
      <c r="I116" s="202" t="s">
        <v>4054</v>
      </c>
      <c r="J116" s="240">
        <v>43759</v>
      </c>
      <c r="K116" s="178">
        <f t="shared" si="2"/>
        <v>2019</v>
      </c>
      <c r="L116" s="178">
        <f t="shared" si="3"/>
        <v>10</v>
      </c>
      <c r="M116" s="204">
        <v>43771</v>
      </c>
      <c r="N116" s="336">
        <v>4</v>
      </c>
      <c r="O116" s="343">
        <v>45</v>
      </c>
      <c r="P116" s="179"/>
      <c r="Q116" s="179"/>
      <c r="R116" s="179"/>
      <c r="S116" s="179"/>
      <c r="T116" s="179"/>
      <c r="U116" s="179"/>
      <c r="V116" s="179"/>
      <c r="W116" s="179"/>
      <c r="X116" s="179"/>
      <c r="Y116" s="179"/>
      <c r="Z116" s="179"/>
      <c r="AA116" s="179"/>
      <c r="AB116" s="179"/>
      <c r="AC116" s="179"/>
      <c r="AD116" s="179"/>
      <c r="AE116" s="179"/>
      <c r="AF116" s="179"/>
      <c r="AG116" s="179"/>
      <c r="AH116" s="179"/>
      <c r="AI116" s="179"/>
      <c r="AJ116" s="179"/>
      <c r="AK116" s="179"/>
      <c r="AL116" s="179"/>
      <c r="AM116" s="179"/>
      <c r="AN116" s="179"/>
      <c r="AO116" s="179"/>
      <c r="AP116" s="179"/>
      <c r="AQ116" s="179"/>
      <c r="AR116" s="179"/>
      <c r="AS116" s="179"/>
      <c r="AT116" s="179"/>
      <c r="AU116" s="179"/>
      <c r="AV116" s="179"/>
      <c r="AW116" s="179"/>
      <c r="AX116" s="179"/>
      <c r="AY116" s="179"/>
      <c r="AZ116" s="179"/>
      <c r="BA116" s="179"/>
      <c r="BB116" s="179"/>
      <c r="BC116" s="179"/>
      <c r="BD116" s="179"/>
      <c r="BE116" s="179"/>
      <c r="BF116" s="179"/>
      <c r="BG116" s="179"/>
      <c r="BH116" s="179"/>
      <c r="BI116" s="179"/>
      <c r="BJ116" s="179"/>
      <c r="BK116" s="179"/>
      <c r="BL116" s="179"/>
      <c r="BM116" s="179"/>
      <c r="BN116" s="179"/>
      <c r="BO116" s="179"/>
      <c r="BP116" s="179"/>
      <c r="BQ116" s="179"/>
      <c r="BR116" s="179"/>
      <c r="BS116" s="179"/>
      <c r="BT116" s="179"/>
      <c r="BU116" s="179"/>
      <c r="BV116" s="179"/>
      <c r="BW116" s="179"/>
      <c r="BX116" s="179"/>
      <c r="BY116" s="179"/>
      <c r="BZ116" s="179"/>
      <c r="CA116" s="179"/>
      <c r="CB116" s="179"/>
      <c r="CC116" s="179"/>
      <c r="CD116" s="179"/>
      <c r="CE116" s="179"/>
      <c r="CF116" s="179"/>
      <c r="CG116" s="179"/>
      <c r="CH116" s="179"/>
      <c r="CI116" s="179"/>
      <c r="CJ116" s="179"/>
      <c r="CK116" s="179"/>
      <c r="CL116" s="179"/>
      <c r="CM116" s="179"/>
      <c r="CN116" s="179"/>
      <c r="CO116" s="179"/>
      <c r="CP116" s="179"/>
      <c r="CQ116" s="179"/>
      <c r="CR116" s="179"/>
      <c r="CS116" s="179"/>
      <c r="CT116" s="179"/>
      <c r="CU116" s="179"/>
      <c r="CV116" s="179"/>
      <c r="CW116" s="179"/>
      <c r="CX116" s="179"/>
      <c r="CY116" s="179"/>
      <c r="CZ116" s="179"/>
      <c r="DA116" s="179"/>
      <c r="DB116" s="179"/>
      <c r="DC116" s="179"/>
      <c r="DD116" s="179"/>
      <c r="DE116" s="179"/>
      <c r="DF116" s="179"/>
      <c r="DG116" s="179"/>
      <c r="DH116" s="179"/>
      <c r="DI116" s="179"/>
      <c r="DJ116" s="179"/>
      <c r="DK116" s="179"/>
      <c r="DL116" s="179"/>
      <c r="DM116" s="179"/>
      <c r="DN116" s="179"/>
      <c r="DO116" s="179"/>
      <c r="DP116" s="179"/>
      <c r="DQ116" s="179"/>
      <c r="DR116" s="179"/>
      <c r="DS116" s="179"/>
      <c r="DT116" s="179"/>
      <c r="DU116" s="179"/>
      <c r="DV116" s="179"/>
      <c r="DW116" s="179"/>
      <c r="DX116" s="179"/>
      <c r="DY116" s="179"/>
      <c r="DZ116" s="179"/>
      <c r="EA116" s="179"/>
      <c r="EB116" s="179"/>
      <c r="EC116" s="179"/>
      <c r="ED116" s="179"/>
      <c r="EE116" s="179"/>
      <c r="EF116" s="179"/>
      <c r="EG116" s="179"/>
    </row>
    <row r="117" spans="1:137" s="354" customFormat="1">
      <c r="A117" s="178">
        <v>116</v>
      </c>
      <c r="B117" s="202" t="s">
        <v>2044</v>
      </c>
      <c r="C117" s="203" t="s">
        <v>3510</v>
      </c>
      <c r="D117" s="13" t="s">
        <v>4064</v>
      </c>
      <c r="E117" s="13" t="s">
        <v>1745</v>
      </c>
      <c r="F117" s="203" t="s">
        <v>3935</v>
      </c>
      <c r="G117" s="203" t="s">
        <v>4032</v>
      </c>
      <c r="H117" s="240">
        <v>43780</v>
      </c>
      <c r="I117" s="202" t="s">
        <v>4053</v>
      </c>
      <c r="J117" s="204">
        <v>43766</v>
      </c>
      <c r="K117" s="178">
        <f t="shared" si="2"/>
        <v>2019</v>
      </c>
      <c r="L117" s="178">
        <f t="shared" si="3"/>
        <v>10</v>
      </c>
      <c r="M117" s="204">
        <v>43781</v>
      </c>
      <c r="N117" s="336">
        <v>4</v>
      </c>
      <c r="O117" s="343">
        <v>55</v>
      </c>
      <c r="P117" s="179"/>
      <c r="Q117" s="179"/>
      <c r="R117" s="179"/>
      <c r="S117" s="179"/>
      <c r="T117" s="179"/>
      <c r="U117" s="179"/>
      <c r="V117" s="179"/>
      <c r="W117" s="179"/>
      <c r="X117" s="179"/>
      <c r="Y117" s="179"/>
      <c r="Z117" s="179"/>
      <c r="AA117" s="179"/>
      <c r="AB117" s="179"/>
      <c r="AC117" s="179"/>
      <c r="AD117" s="179"/>
      <c r="AE117" s="179"/>
      <c r="AF117" s="179"/>
      <c r="AG117" s="179"/>
      <c r="AH117" s="179"/>
      <c r="AI117" s="179"/>
      <c r="AJ117" s="179"/>
      <c r="AK117" s="179"/>
      <c r="AL117" s="179"/>
      <c r="AM117" s="179"/>
      <c r="AN117" s="179"/>
      <c r="AO117" s="179"/>
      <c r="AP117" s="179"/>
      <c r="AQ117" s="179"/>
      <c r="AR117" s="179"/>
      <c r="AS117" s="179"/>
      <c r="AT117" s="179"/>
      <c r="AU117" s="179"/>
      <c r="AV117" s="179"/>
      <c r="AW117" s="179"/>
      <c r="AX117" s="179"/>
      <c r="AY117" s="179"/>
      <c r="AZ117" s="179"/>
      <c r="BA117" s="179"/>
      <c r="BB117" s="179"/>
      <c r="BC117" s="179"/>
      <c r="BD117" s="179"/>
      <c r="BE117" s="179"/>
      <c r="BF117" s="179"/>
      <c r="BG117" s="179"/>
      <c r="BH117" s="179"/>
      <c r="BI117" s="179"/>
      <c r="BJ117" s="179"/>
      <c r="BK117" s="179"/>
      <c r="BL117" s="179"/>
      <c r="BM117" s="179"/>
      <c r="BN117" s="179"/>
      <c r="BO117" s="179"/>
      <c r="BP117" s="179"/>
      <c r="BQ117" s="179"/>
      <c r="BR117" s="179"/>
      <c r="BS117" s="179"/>
      <c r="BT117" s="179"/>
      <c r="BU117" s="179"/>
      <c r="BV117" s="179"/>
      <c r="BW117" s="179"/>
      <c r="BX117" s="179"/>
      <c r="BY117" s="179"/>
      <c r="BZ117" s="179"/>
      <c r="CA117" s="179"/>
      <c r="CB117" s="179"/>
      <c r="CC117" s="179"/>
      <c r="CD117" s="179"/>
      <c r="CE117" s="179"/>
      <c r="CF117" s="179"/>
      <c r="CG117" s="179"/>
      <c r="CH117" s="179"/>
      <c r="CI117" s="179"/>
      <c r="CJ117" s="179"/>
      <c r="CK117" s="179"/>
      <c r="CL117" s="179"/>
      <c r="CM117" s="179"/>
      <c r="CN117" s="179"/>
      <c r="CO117" s="179"/>
      <c r="CP117" s="179"/>
      <c r="CQ117" s="179"/>
      <c r="CR117" s="179"/>
      <c r="CS117" s="179"/>
      <c r="CT117" s="179"/>
      <c r="CU117" s="179"/>
      <c r="CV117" s="179"/>
      <c r="CW117" s="179"/>
      <c r="CX117" s="179"/>
      <c r="CY117" s="179"/>
      <c r="CZ117" s="179"/>
      <c r="DA117" s="179"/>
      <c r="DB117" s="179"/>
      <c r="DC117" s="179"/>
      <c r="DD117" s="179"/>
      <c r="DE117" s="179"/>
      <c r="DF117" s="179"/>
      <c r="DG117" s="179"/>
      <c r="DH117" s="179"/>
      <c r="DI117" s="179"/>
      <c r="DJ117" s="179"/>
      <c r="DK117" s="179"/>
      <c r="DL117" s="179"/>
      <c r="DM117" s="179"/>
      <c r="DN117" s="179"/>
      <c r="DO117" s="179"/>
      <c r="DP117" s="179"/>
      <c r="DQ117" s="179"/>
      <c r="DR117" s="179"/>
      <c r="DS117" s="179"/>
      <c r="DT117" s="179"/>
      <c r="DU117" s="179"/>
      <c r="DV117" s="179"/>
      <c r="DW117" s="179"/>
      <c r="DX117" s="179"/>
      <c r="DY117" s="179"/>
      <c r="DZ117" s="179"/>
      <c r="EA117" s="179"/>
      <c r="EB117" s="179"/>
      <c r="EC117" s="179"/>
      <c r="ED117" s="179"/>
      <c r="EE117" s="179"/>
      <c r="EF117" s="179"/>
      <c r="EG117" s="179"/>
    </row>
    <row r="118" spans="1:137" s="354" customFormat="1" ht="25.5">
      <c r="A118" s="178">
        <v>117</v>
      </c>
      <c r="B118" s="202" t="s">
        <v>2044</v>
      </c>
      <c r="C118" s="203" t="s">
        <v>3513</v>
      </c>
      <c r="D118" s="13" t="s">
        <v>3971</v>
      </c>
      <c r="E118" s="189" t="s">
        <v>3816</v>
      </c>
      <c r="F118" s="203" t="s">
        <v>3936</v>
      </c>
      <c r="G118" s="203" t="s">
        <v>4035</v>
      </c>
      <c r="H118" s="240">
        <v>43794</v>
      </c>
      <c r="I118" s="202" t="s">
        <v>5</v>
      </c>
      <c r="J118" s="204">
        <v>43782</v>
      </c>
      <c r="K118" s="178">
        <f t="shared" si="2"/>
        <v>2019</v>
      </c>
      <c r="L118" s="178">
        <f t="shared" si="3"/>
        <v>11</v>
      </c>
      <c r="M118" s="204"/>
      <c r="N118" s="336"/>
      <c r="O118" s="343">
        <v>32</v>
      </c>
      <c r="P118" s="179"/>
      <c r="Q118" s="179"/>
      <c r="R118" s="179"/>
      <c r="S118" s="179"/>
      <c r="T118" s="179"/>
      <c r="U118" s="179"/>
      <c r="V118" s="179"/>
      <c r="W118" s="179"/>
      <c r="X118" s="179"/>
      <c r="Y118" s="179"/>
      <c r="Z118" s="179"/>
      <c r="AA118" s="179"/>
      <c r="AB118" s="179"/>
      <c r="AC118" s="179"/>
      <c r="AD118" s="179"/>
      <c r="AE118" s="179"/>
      <c r="AF118" s="179"/>
      <c r="AG118" s="179"/>
      <c r="AH118" s="179"/>
      <c r="AI118" s="179"/>
      <c r="AJ118" s="179"/>
      <c r="AK118" s="179"/>
      <c r="AL118" s="179"/>
      <c r="AM118" s="179"/>
      <c r="AN118" s="179"/>
      <c r="AO118" s="179"/>
      <c r="AP118" s="179"/>
      <c r="AQ118" s="179"/>
      <c r="AR118" s="179"/>
      <c r="AS118" s="179"/>
      <c r="AT118" s="179"/>
      <c r="AU118" s="179"/>
      <c r="AV118" s="179"/>
      <c r="AW118" s="179"/>
      <c r="AX118" s="179"/>
      <c r="AY118" s="179"/>
      <c r="AZ118" s="179"/>
      <c r="BA118" s="179"/>
      <c r="BB118" s="179"/>
      <c r="BC118" s="179"/>
      <c r="BD118" s="179"/>
      <c r="BE118" s="179"/>
      <c r="BF118" s="179"/>
      <c r="BG118" s="179"/>
      <c r="BH118" s="179"/>
      <c r="BI118" s="179"/>
      <c r="BJ118" s="179"/>
      <c r="BK118" s="179"/>
      <c r="BL118" s="179"/>
      <c r="BM118" s="179"/>
      <c r="BN118" s="179"/>
      <c r="BO118" s="179"/>
      <c r="BP118" s="179"/>
      <c r="BQ118" s="179"/>
      <c r="BR118" s="179"/>
      <c r="BS118" s="179"/>
      <c r="BT118" s="179"/>
      <c r="BU118" s="179"/>
      <c r="BV118" s="179"/>
      <c r="BW118" s="179"/>
      <c r="BX118" s="179"/>
      <c r="BY118" s="179"/>
      <c r="BZ118" s="179"/>
      <c r="CA118" s="179"/>
      <c r="CB118" s="179"/>
      <c r="CC118" s="179"/>
      <c r="CD118" s="179"/>
      <c r="CE118" s="179"/>
      <c r="CF118" s="179"/>
      <c r="CG118" s="179"/>
      <c r="CH118" s="179"/>
      <c r="CI118" s="179"/>
      <c r="CJ118" s="179"/>
      <c r="CK118" s="179"/>
      <c r="CL118" s="179"/>
      <c r="CM118" s="179"/>
      <c r="CN118" s="179"/>
      <c r="CO118" s="179"/>
      <c r="CP118" s="179"/>
      <c r="CQ118" s="179"/>
      <c r="CR118" s="179"/>
      <c r="CS118" s="179"/>
      <c r="CT118" s="179"/>
      <c r="CU118" s="179"/>
      <c r="CV118" s="179"/>
      <c r="CW118" s="179"/>
      <c r="CX118" s="179"/>
      <c r="CY118" s="179"/>
      <c r="CZ118" s="179"/>
      <c r="DA118" s="179"/>
      <c r="DB118" s="179"/>
      <c r="DC118" s="179"/>
      <c r="DD118" s="179"/>
      <c r="DE118" s="179"/>
      <c r="DF118" s="179"/>
      <c r="DG118" s="179"/>
      <c r="DH118" s="179"/>
      <c r="DI118" s="179"/>
      <c r="DJ118" s="179"/>
      <c r="DK118" s="179"/>
      <c r="DL118" s="179"/>
      <c r="DM118" s="179"/>
      <c r="DN118" s="179"/>
      <c r="DO118" s="179"/>
      <c r="DP118" s="179"/>
      <c r="DQ118" s="179"/>
      <c r="DR118" s="179"/>
      <c r="DS118" s="179"/>
      <c r="DT118" s="179"/>
      <c r="DU118" s="179"/>
      <c r="DV118" s="179"/>
      <c r="DW118" s="179"/>
      <c r="DX118" s="179"/>
      <c r="DY118" s="179"/>
      <c r="DZ118" s="179"/>
      <c r="EA118" s="179"/>
      <c r="EB118" s="179"/>
      <c r="EC118" s="179"/>
      <c r="ED118" s="179"/>
      <c r="EE118" s="179"/>
      <c r="EF118" s="179"/>
      <c r="EG118" s="179"/>
    </row>
    <row r="119" spans="1:137" s="354" customFormat="1" ht="38.25">
      <c r="A119" s="178">
        <v>118</v>
      </c>
      <c r="B119" s="202" t="s">
        <v>2044</v>
      </c>
      <c r="C119" s="203" t="s">
        <v>3517</v>
      </c>
      <c r="D119" s="385" t="s">
        <v>4064</v>
      </c>
      <c r="E119" s="13" t="s">
        <v>1621</v>
      </c>
      <c r="F119" s="203" t="s">
        <v>3937</v>
      </c>
      <c r="G119" s="203" t="s">
        <v>4036</v>
      </c>
      <c r="H119" s="466" t="s">
        <v>3539</v>
      </c>
      <c r="I119" s="202" t="s">
        <v>4054</v>
      </c>
      <c r="J119" s="204">
        <v>43789</v>
      </c>
      <c r="K119" s="178">
        <f t="shared" si="2"/>
        <v>2019</v>
      </c>
      <c r="L119" s="178">
        <f t="shared" si="3"/>
        <v>11</v>
      </c>
      <c r="M119" s="204">
        <v>43866</v>
      </c>
      <c r="N119" s="460">
        <v>7</v>
      </c>
      <c r="O119" s="343">
        <v>45</v>
      </c>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c r="AL119" s="179"/>
      <c r="AM119" s="179"/>
      <c r="AN119" s="179"/>
      <c r="AO119" s="179"/>
      <c r="AP119" s="179"/>
      <c r="AQ119" s="179"/>
      <c r="AR119" s="179"/>
      <c r="AS119" s="179"/>
      <c r="AT119" s="179"/>
      <c r="AU119" s="179"/>
      <c r="AV119" s="179"/>
      <c r="AW119" s="179"/>
      <c r="AX119" s="179"/>
      <c r="AY119" s="179"/>
      <c r="AZ119" s="179"/>
      <c r="BA119" s="179"/>
      <c r="BB119" s="179"/>
      <c r="BC119" s="179"/>
      <c r="BD119" s="179"/>
      <c r="BE119" s="179"/>
      <c r="BF119" s="179"/>
      <c r="BG119" s="179"/>
      <c r="BH119" s="179"/>
      <c r="BI119" s="179"/>
      <c r="BJ119" s="179"/>
      <c r="BK119" s="179"/>
      <c r="BL119" s="179"/>
      <c r="BM119" s="179"/>
      <c r="BN119" s="179"/>
      <c r="BO119" s="179"/>
      <c r="BP119" s="179"/>
      <c r="BQ119" s="179"/>
      <c r="BR119" s="179"/>
      <c r="BS119" s="179"/>
      <c r="BT119" s="179"/>
      <c r="BU119" s="179"/>
      <c r="BV119" s="179"/>
      <c r="BW119" s="179"/>
      <c r="BX119" s="179"/>
      <c r="BY119" s="179"/>
      <c r="BZ119" s="179"/>
      <c r="CA119" s="179"/>
      <c r="CB119" s="179"/>
      <c r="CC119" s="179"/>
      <c r="CD119" s="179"/>
      <c r="CE119" s="179"/>
      <c r="CF119" s="179"/>
      <c r="CG119" s="179"/>
      <c r="CH119" s="179"/>
      <c r="CI119" s="179"/>
      <c r="CJ119" s="179"/>
      <c r="CK119" s="179"/>
      <c r="CL119" s="179"/>
      <c r="CM119" s="179"/>
      <c r="CN119" s="179"/>
      <c r="CO119" s="179"/>
      <c r="CP119" s="179"/>
      <c r="CQ119" s="179"/>
      <c r="CR119" s="179"/>
      <c r="CS119" s="179"/>
      <c r="CT119" s="179"/>
      <c r="CU119" s="179"/>
      <c r="CV119" s="179"/>
      <c r="CW119" s="179"/>
      <c r="CX119" s="179"/>
      <c r="CY119" s="179"/>
      <c r="CZ119" s="179"/>
      <c r="DA119" s="179"/>
      <c r="DB119" s="179"/>
      <c r="DC119" s="179"/>
      <c r="DD119" s="179"/>
      <c r="DE119" s="179"/>
      <c r="DF119" s="179"/>
      <c r="DG119" s="179"/>
      <c r="DH119" s="179"/>
      <c r="DI119" s="179"/>
      <c r="DJ119" s="179"/>
      <c r="DK119" s="179"/>
      <c r="DL119" s="179"/>
      <c r="DM119" s="179"/>
      <c r="DN119" s="179"/>
      <c r="DO119" s="179"/>
      <c r="DP119" s="179"/>
      <c r="DQ119" s="179"/>
      <c r="DR119" s="179"/>
      <c r="DS119" s="179"/>
      <c r="DT119" s="179"/>
      <c r="DU119" s="179"/>
      <c r="DV119" s="179"/>
      <c r="DW119" s="179"/>
      <c r="DX119" s="179"/>
      <c r="DY119" s="179"/>
      <c r="DZ119" s="179"/>
      <c r="EA119" s="179"/>
      <c r="EB119" s="179"/>
      <c r="EC119" s="179"/>
      <c r="ED119" s="179"/>
      <c r="EE119" s="179"/>
      <c r="EF119" s="179"/>
      <c r="EG119" s="179"/>
    </row>
    <row r="120" spans="1:137" s="354" customFormat="1" ht="38.25">
      <c r="A120" s="178">
        <v>119</v>
      </c>
      <c r="B120" s="202" t="s">
        <v>2044</v>
      </c>
      <c r="C120" s="203" t="s">
        <v>3517</v>
      </c>
      <c r="D120" s="203" t="s">
        <v>4066</v>
      </c>
      <c r="E120" s="189" t="s">
        <v>3825</v>
      </c>
      <c r="F120" s="203" t="s">
        <v>3937</v>
      </c>
      <c r="G120" s="203" t="s">
        <v>4037</v>
      </c>
      <c r="H120" s="467"/>
      <c r="I120" s="202" t="s">
        <v>4054</v>
      </c>
      <c r="J120" s="204">
        <v>43789</v>
      </c>
      <c r="K120" s="178">
        <f t="shared" si="2"/>
        <v>2019</v>
      </c>
      <c r="L120" s="178">
        <f t="shared" si="3"/>
        <v>11</v>
      </c>
      <c r="M120" s="204">
        <v>43866</v>
      </c>
      <c r="N120" s="461"/>
      <c r="O120" s="343">
        <v>60</v>
      </c>
      <c r="P120" s="179"/>
      <c r="Q120" s="179"/>
      <c r="R120" s="179"/>
      <c r="S120" s="179"/>
      <c r="T120" s="179"/>
      <c r="U120" s="179"/>
      <c r="V120" s="179"/>
      <c r="W120" s="179"/>
      <c r="X120" s="179"/>
      <c r="Y120" s="179"/>
      <c r="Z120" s="179"/>
      <c r="AA120" s="179"/>
      <c r="AB120" s="179"/>
      <c r="AC120" s="179"/>
      <c r="AD120" s="179"/>
      <c r="AE120" s="179"/>
      <c r="AF120" s="179"/>
      <c r="AG120" s="179"/>
      <c r="AH120" s="179"/>
      <c r="AI120" s="179"/>
      <c r="AJ120" s="179"/>
      <c r="AK120" s="179"/>
      <c r="AL120" s="179"/>
      <c r="AM120" s="179"/>
      <c r="AN120" s="179"/>
      <c r="AO120" s="179"/>
      <c r="AP120" s="179"/>
      <c r="AQ120" s="179"/>
      <c r="AR120" s="179"/>
      <c r="AS120" s="179"/>
      <c r="AT120" s="179"/>
      <c r="AU120" s="179"/>
      <c r="AV120" s="179"/>
      <c r="AW120" s="179"/>
      <c r="AX120" s="179"/>
      <c r="AY120" s="179"/>
      <c r="AZ120" s="179"/>
      <c r="BA120" s="179"/>
      <c r="BB120" s="179"/>
      <c r="BC120" s="179"/>
      <c r="BD120" s="179"/>
      <c r="BE120" s="179"/>
      <c r="BF120" s="179"/>
      <c r="BG120" s="179"/>
      <c r="BH120" s="179"/>
      <c r="BI120" s="179"/>
      <c r="BJ120" s="179"/>
      <c r="BK120" s="179"/>
      <c r="BL120" s="179"/>
      <c r="BM120" s="179"/>
      <c r="BN120" s="179"/>
      <c r="BO120" s="179"/>
      <c r="BP120" s="179"/>
      <c r="BQ120" s="179"/>
      <c r="BR120" s="179"/>
      <c r="BS120" s="179"/>
      <c r="BT120" s="179"/>
      <c r="BU120" s="179"/>
      <c r="BV120" s="179"/>
      <c r="BW120" s="179"/>
      <c r="BX120" s="179"/>
      <c r="BY120" s="179"/>
      <c r="BZ120" s="179"/>
      <c r="CA120" s="179"/>
      <c r="CB120" s="179"/>
      <c r="CC120" s="179"/>
      <c r="CD120" s="179"/>
      <c r="CE120" s="179"/>
      <c r="CF120" s="179"/>
      <c r="CG120" s="179"/>
      <c r="CH120" s="179"/>
      <c r="CI120" s="179"/>
      <c r="CJ120" s="179"/>
      <c r="CK120" s="179"/>
      <c r="CL120" s="179"/>
      <c r="CM120" s="179"/>
      <c r="CN120" s="179"/>
      <c r="CO120" s="179"/>
      <c r="CP120" s="179"/>
      <c r="CQ120" s="179"/>
      <c r="CR120" s="179"/>
      <c r="CS120" s="179"/>
      <c r="CT120" s="179"/>
      <c r="CU120" s="179"/>
      <c r="CV120" s="179"/>
      <c r="CW120" s="179"/>
      <c r="CX120" s="179"/>
      <c r="CY120" s="179"/>
      <c r="CZ120" s="179"/>
      <c r="DA120" s="179"/>
      <c r="DB120" s="179"/>
      <c r="DC120" s="179"/>
      <c r="DD120" s="179"/>
      <c r="DE120" s="179"/>
      <c r="DF120" s="179"/>
      <c r="DG120" s="179"/>
      <c r="DH120" s="179"/>
      <c r="DI120" s="179"/>
      <c r="DJ120" s="179"/>
      <c r="DK120" s="179"/>
      <c r="DL120" s="179"/>
      <c r="DM120" s="179"/>
      <c r="DN120" s="179"/>
      <c r="DO120" s="179"/>
      <c r="DP120" s="179"/>
      <c r="DQ120" s="179"/>
      <c r="DR120" s="179"/>
      <c r="DS120" s="179"/>
      <c r="DT120" s="179"/>
      <c r="DU120" s="179"/>
      <c r="DV120" s="179"/>
      <c r="DW120" s="179"/>
      <c r="DX120" s="179"/>
      <c r="DY120" s="179"/>
      <c r="DZ120" s="179"/>
      <c r="EA120" s="179"/>
      <c r="EB120" s="179"/>
      <c r="EC120" s="179"/>
      <c r="ED120" s="179"/>
      <c r="EE120" s="179"/>
      <c r="EF120" s="179"/>
      <c r="EG120" s="179"/>
    </row>
    <row r="121" spans="1:137" s="354" customFormat="1" ht="38.25">
      <c r="A121" s="178">
        <v>120</v>
      </c>
      <c r="B121" s="202" t="s">
        <v>2044</v>
      </c>
      <c r="C121" s="203" t="s">
        <v>3517</v>
      </c>
      <c r="D121" s="203" t="s">
        <v>4072</v>
      </c>
      <c r="E121" s="189" t="s">
        <v>2076</v>
      </c>
      <c r="F121" s="203" t="s">
        <v>3937</v>
      </c>
      <c r="G121" s="203" t="s">
        <v>4010</v>
      </c>
      <c r="H121" s="468"/>
      <c r="I121" s="202" t="s">
        <v>4054</v>
      </c>
      <c r="J121" s="204">
        <v>43802</v>
      </c>
      <c r="K121" s="178">
        <f t="shared" si="2"/>
        <v>2019</v>
      </c>
      <c r="L121" s="178">
        <f t="shared" si="3"/>
        <v>12</v>
      </c>
      <c r="M121" s="204">
        <v>43866</v>
      </c>
      <c r="N121" s="462"/>
      <c r="O121" s="343">
        <v>20</v>
      </c>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c r="AL121" s="179"/>
      <c r="AM121" s="179"/>
      <c r="AN121" s="179"/>
      <c r="AO121" s="179"/>
      <c r="AP121" s="179"/>
      <c r="AQ121" s="179"/>
      <c r="AR121" s="179"/>
      <c r="AS121" s="179"/>
      <c r="AT121" s="179"/>
      <c r="AU121" s="179"/>
      <c r="AV121" s="179"/>
      <c r="AW121" s="179"/>
      <c r="AX121" s="179"/>
      <c r="AY121" s="179"/>
      <c r="AZ121" s="179"/>
      <c r="BA121" s="179"/>
      <c r="BB121" s="179"/>
      <c r="BC121" s="179"/>
      <c r="BD121" s="179"/>
      <c r="BE121" s="179"/>
      <c r="BF121" s="179"/>
      <c r="BG121" s="179"/>
      <c r="BH121" s="179"/>
      <c r="BI121" s="179"/>
      <c r="BJ121" s="179"/>
      <c r="BK121" s="179"/>
      <c r="BL121" s="179"/>
      <c r="BM121" s="179"/>
      <c r="BN121" s="179"/>
      <c r="BO121" s="179"/>
      <c r="BP121" s="179"/>
      <c r="BQ121" s="179"/>
      <c r="BR121" s="179"/>
      <c r="BS121" s="179"/>
      <c r="BT121" s="179"/>
      <c r="BU121" s="179"/>
      <c r="BV121" s="179"/>
      <c r="BW121" s="179"/>
      <c r="BX121" s="179"/>
      <c r="BY121" s="179"/>
      <c r="BZ121" s="179"/>
      <c r="CA121" s="179"/>
      <c r="CB121" s="179"/>
      <c r="CC121" s="179"/>
      <c r="CD121" s="179"/>
      <c r="CE121" s="179"/>
      <c r="CF121" s="179"/>
      <c r="CG121" s="179"/>
      <c r="CH121" s="179"/>
      <c r="CI121" s="179"/>
      <c r="CJ121" s="179"/>
      <c r="CK121" s="179"/>
      <c r="CL121" s="179"/>
      <c r="CM121" s="179"/>
      <c r="CN121" s="179"/>
      <c r="CO121" s="179"/>
      <c r="CP121" s="179"/>
      <c r="CQ121" s="179"/>
      <c r="CR121" s="179"/>
      <c r="CS121" s="179"/>
      <c r="CT121" s="179"/>
      <c r="CU121" s="179"/>
      <c r="CV121" s="179"/>
      <c r="CW121" s="179"/>
      <c r="CX121" s="179"/>
      <c r="CY121" s="179"/>
      <c r="CZ121" s="179"/>
      <c r="DA121" s="179"/>
      <c r="DB121" s="179"/>
      <c r="DC121" s="179"/>
      <c r="DD121" s="179"/>
      <c r="DE121" s="179"/>
      <c r="DF121" s="179"/>
      <c r="DG121" s="179"/>
      <c r="DH121" s="179"/>
      <c r="DI121" s="179"/>
      <c r="DJ121" s="179"/>
      <c r="DK121" s="179"/>
      <c r="DL121" s="179"/>
      <c r="DM121" s="179"/>
      <c r="DN121" s="179"/>
      <c r="DO121" s="179"/>
      <c r="DP121" s="179"/>
      <c r="DQ121" s="179"/>
      <c r="DR121" s="179"/>
      <c r="DS121" s="179"/>
      <c r="DT121" s="179"/>
      <c r="DU121" s="179"/>
      <c r="DV121" s="179"/>
      <c r="DW121" s="179"/>
      <c r="DX121" s="179"/>
      <c r="DY121" s="179"/>
      <c r="DZ121" s="179"/>
      <c r="EA121" s="179"/>
      <c r="EB121" s="179"/>
      <c r="EC121" s="179"/>
      <c r="ED121" s="179"/>
      <c r="EE121" s="179"/>
      <c r="EF121" s="179"/>
      <c r="EG121" s="179"/>
    </row>
    <row r="122" spans="1:137" s="74" customFormat="1" ht="51">
      <c r="A122" s="235">
        <v>121</v>
      </c>
      <c r="B122" s="235" t="s">
        <v>2048</v>
      </c>
      <c r="C122" s="236" t="s">
        <v>3524</v>
      </c>
      <c r="D122" s="203" t="s">
        <v>4070</v>
      </c>
      <c r="E122" s="236" t="s">
        <v>3835</v>
      </c>
      <c r="F122" s="236" t="s">
        <v>3938</v>
      </c>
      <c r="G122" s="236" t="s">
        <v>4038</v>
      </c>
      <c r="H122" s="238" t="s">
        <v>3529</v>
      </c>
      <c r="I122" s="235"/>
      <c r="J122" s="237">
        <v>43798</v>
      </c>
      <c r="K122" s="235">
        <f t="shared" si="2"/>
        <v>2019</v>
      </c>
      <c r="L122" s="235">
        <f t="shared" si="3"/>
        <v>11</v>
      </c>
      <c r="M122" s="237"/>
      <c r="N122" s="342"/>
      <c r="O122" s="488"/>
      <c r="P122" s="179"/>
      <c r="Q122" s="179"/>
      <c r="R122" s="179"/>
      <c r="S122" s="179"/>
      <c r="T122" s="179"/>
      <c r="U122" s="179"/>
      <c r="V122" s="179"/>
      <c r="W122" s="179"/>
      <c r="X122" s="179"/>
      <c r="Y122" s="179"/>
      <c r="Z122" s="179"/>
      <c r="AA122" s="179"/>
      <c r="AB122" s="179"/>
      <c r="AC122" s="179"/>
      <c r="AD122" s="179"/>
      <c r="AE122" s="179"/>
      <c r="AF122" s="179"/>
      <c r="AG122" s="179"/>
      <c r="AH122" s="179"/>
      <c r="AI122" s="179"/>
      <c r="AJ122" s="179"/>
      <c r="AK122" s="179"/>
      <c r="AL122" s="179"/>
      <c r="AM122" s="179"/>
      <c r="AN122" s="179"/>
      <c r="AO122" s="179"/>
      <c r="AP122" s="179"/>
      <c r="AQ122" s="179"/>
      <c r="AR122" s="179"/>
      <c r="AS122" s="179"/>
      <c r="AT122" s="179"/>
      <c r="AU122" s="179"/>
      <c r="AV122" s="179"/>
      <c r="AW122" s="179"/>
      <c r="AX122" s="179"/>
      <c r="AY122" s="179"/>
      <c r="AZ122" s="179"/>
      <c r="BA122" s="179"/>
      <c r="BB122" s="179"/>
      <c r="BC122" s="179"/>
      <c r="BD122" s="179"/>
      <c r="BE122" s="179"/>
      <c r="BF122" s="179"/>
      <c r="BG122" s="179"/>
      <c r="BH122" s="179"/>
      <c r="BI122" s="179"/>
      <c r="BJ122" s="179"/>
      <c r="BK122" s="179"/>
      <c r="BL122" s="179"/>
      <c r="BM122" s="179"/>
      <c r="BN122" s="179"/>
      <c r="BO122" s="179"/>
      <c r="BP122" s="179"/>
      <c r="BQ122" s="179"/>
      <c r="BR122" s="179"/>
      <c r="BS122" s="179"/>
      <c r="BT122" s="179"/>
      <c r="BU122" s="179"/>
      <c r="BV122" s="179"/>
      <c r="BW122" s="179"/>
      <c r="BX122" s="179"/>
      <c r="BY122" s="179"/>
      <c r="BZ122" s="179"/>
      <c r="CA122" s="179"/>
      <c r="CB122" s="179"/>
      <c r="CC122" s="179"/>
      <c r="CD122" s="179"/>
      <c r="CE122" s="179"/>
      <c r="CF122" s="179"/>
      <c r="CG122" s="179"/>
      <c r="CH122" s="179"/>
      <c r="CI122" s="179"/>
      <c r="CJ122" s="179"/>
      <c r="CK122" s="179"/>
      <c r="CL122" s="179"/>
      <c r="CM122" s="179"/>
      <c r="CN122" s="179"/>
      <c r="CO122" s="179"/>
      <c r="CP122" s="179"/>
      <c r="CQ122" s="179"/>
      <c r="CR122" s="179"/>
      <c r="CS122" s="179"/>
      <c r="CT122" s="179"/>
      <c r="CU122" s="179"/>
      <c r="CV122" s="179"/>
      <c r="CW122" s="179"/>
      <c r="CX122" s="179"/>
      <c r="CY122" s="179"/>
      <c r="CZ122" s="179"/>
      <c r="DA122" s="179"/>
      <c r="DB122" s="179"/>
      <c r="DC122" s="179"/>
      <c r="DD122" s="179"/>
      <c r="DE122" s="179"/>
      <c r="DF122" s="179"/>
      <c r="DG122" s="179"/>
      <c r="DH122" s="179"/>
      <c r="DI122" s="179"/>
      <c r="DJ122" s="179"/>
      <c r="DK122" s="179"/>
      <c r="DL122" s="179"/>
      <c r="DM122" s="179"/>
      <c r="DN122" s="179"/>
      <c r="DO122" s="179"/>
      <c r="DP122" s="179"/>
      <c r="DQ122" s="179"/>
      <c r="DR122" s="179"/>
      <c r="DS122" s="179"/>
      <c r="DT122" s="179"/>
      <c r="DU122" s="179"/>
      <c r="DV122" s="179"/>
      <c r="DW122" s="179"/>
      <c r="DX122" s="179"/>
      <c r="DY122" s="179"/>
      <c r="DZ122" s="179"/>
      <c r="EA122" s="179"/>
      <c r="EB122" s="179"/>
      <c r="EC122" s="179"/>
      <c r="ED122" s="179"/>
      <c r="EE122" s="179"/>
      <c r="EF122" s="179"/>
      <c r="EG122" s="179"/>
    </row>
    <row r="123" spans="1:137" s="354" customFormat="1" ht="25.5">
      <c r="A123" s="494">
        <v>122</v>
      </c>
      <c r="B123" s="487" t="s">
        <v>2049</v>
      </c>
      <c r="C123" s="489" t="s">
        <v>3530</v>
      </c>
      <c r="D123" s="489"/>
      <c r="E123" s="496" t="e">
        <v>#N/A</v>
      </c>
      <c r="F123" s="489" t="s">
        <v>3939</v>
      </c>
      <c r="G123" s="489" t="s">
        <v>4039</v>
      </c>
      <c r="H123" s="490"/>
      <c r="I123" s="487"/>
      <c r="J123" s="491">
        <v>43801</v>
      </c>
      <c r="K123" s="494">
        <f t="shared" si="2"/>
        <v>2019</v>
      </c>
      <c r="L123" s="494">
        <f t="shared" si="3"/>
        <v>12</v>
      </c>
      <c r="M123" s="491"/>
      <c r="N123" s="492"/>
      <c r="O123" s="500"/>
      <c r="P123" s="179"/>
      <c r="Q123" s="179"/>
      <c r="R123" s="179"/>
      <c r="S123" s="179"/>
      <c r="T123" s="179"/>
      <c r="U123" s="179"/>
      <c r="V123" s="179"/>
      <c r="W123" s="179"/>
      <c r="X123" s="179"/>
      <c r="Y123" s="179"/>
      <c r="Z123" s="179"/>
      <c r="AA123" s="179"/>
      <c r="AB123" s="179"/>
      <c r="AC123" s="179"/>
      <c r="AD123" s="179"/>
      <c r="AE123" s="179"/>
      <c r="AF123" s="179"/>
      <c r="AG123" s="179"/>
      <c r="AH123" s="179"/>
      <c r="AI123" s="179"/>
      <c r="AJ123" s="179"/>
      <c r="AK123" s="179"/>
      <c r="AL123" s="179"/>
      <c r="AM123" s="179"/>
      <c r="AN123" s="179"/>
      <c r="AO123" s="179"/>
      <c r="AP123" s="179"/>
      <c r="AQ123" s="179"/>
      <c r="AR123" s="179"/>
      <c r="AS123" s="179"/>
      <c r="AT123" s="179"/>
      <c r="AU123" s="179"/>
      <c r="AV123" s="179"/>
      <c r="AW123" s="179"/>
      <c r="AX123" s="179"/>
      <c r="AY123" s="179"/>
      <c r="AZ123" s="179"/>
      <c r="BA123" s="179"/>
      <c r="BB123" s="179"/>
      <c r="BC123" s="179"/>
      <c r="BD123" s="179"/>
      <c r="BE123" s="179"/>
      <c r="BF123" s="179"/>
      <c r="BG123" s="179"/>
      <c r="BH123" s="179"/>
      <c r="BI123" s="179"/>
      <c r="BJ123" s="179"/>
      <c r="BK123" s="179"/>
      <c r="BL123" s="179"/>
      <c r="BM123" s="179"/>
      <c r="BN123" s="179"/>
      <c r="BO123" s="179"/>
      <c r="BP123" s="179"/>
      <c r="BQ123" s="179"/>
      <c r="BR123" s="179"/>
      <c r="BS123" s="179"/>
      <c r="BT123" s="179"/>
      <c r="BU123" s="179"/>
      <c r="BV123" s="179"/>
      <c r="BW123" s="179"/>
      <c r="BX123" s="179"/>
      <c r="BY123" s="179"/>
      <c r="BZ123" s="179"/>
      <c r="CA123" s="179"/>
      <c r="CB123" s="179"/>
      <c r="CC123" s="179"/>
      <c r="CD123" s="179"/>
      <c r="CE123" s="179"/>
      <c r="CF123" s="179"/>
      <c r="CG123" s="179"/>
      <c r="CH123" s="179"/>
      <c r="CI123" s="179"/>
      <c r="CJ123" s="179"/>
      <c r="CK123" s="179"/>
      <c r="CL123" s="179"/>
      <c r="CM123" s="179"/>
      <c r="CN123" s="179"/>
      <c r="CO123" s="179"/>
      <c r="CP123" s="179"/>
      <c r="CQ123" s="179"/>
      <c r="CR123" s="179"/>
      <c r="CS123" s="179"/>
      <c r="CT123" s="179"/>
      <c r="CU123" s="179"/>
      <c r="CV123" s="179"/>
      <c r="CW123" s="179"/>
      <c r="CX123" s="179"/>
      <c r="CY123" s="179"/>
      <c r="CZ123" s="179"/>
      <c r="DA123" s="179"/>
      <c r="DB123" s="179"/>
      <c r="DC123" s="179"/>
      <c r="DD123" s="179"/>
      <c r="DE123" s="179"/>
      <c r="DF123" s="179"/>
      <c r="DG123" s="179"/>
      <c r="DH123" s="179"/>
      <c r="DI123" s="179"/>
      <c r="DJ123" s="179"/>
      <c r="DK123" s="179"/>
      <c r="DL123" s="179"/>
      <c r="DM123" s="179"/>
      <c r="DN123" s="179"/>
      <c r="DO123" s="179"/>
      <c r="DP123" s="179"/>
      <c r="DQ123" s="179"/>
      <c r="DR123" s="179"/>
      <c r="DS123" s="179"/>
      <c r="DT123" s="179"/>
      <c r="DU123" s="179"/>
      <c r="DV123" s="179"/>
      <c r="DW123" s="179"/>
      <c r="DX123" s="179"/>
      <c r="DY123" s="179"/>
      <c r="DZ123" s="179"/>
      <c r="EA123" s="179"/>
      <c r="EB123" s="179"/>
      <c r="EC123" s="179"/>
      <c r="ED123" s="179"/>
      <c r="EE123" s="179"/>
      <c r="EF123" s="179"/>
      <c r="EG123" s="179"/>
    </row>
    <row r="124" spans="1:137" s="354" customFormat="1" ht="25.5">
      <c r="A124" s="178">
        <v>123</v>
      </c>
      <c r="B124" s="203" t="s">
        <v>2044</v>
      </c>
      <c r="C124" s="203" t="s">
        <v>3513</v>
      </c>
      <c r="D124" s="13" t="s">
        <v>3971</v>
      </c>
      <c r="E124" s="189" t="s">
        <v>3816</v>
      </c>
      <c r="F124" s="203" t="s">
        <v>3940</v>
      </c>
      <c r="G124" s="203" t="s">
        <v>4040</v>
      </c>
      <c r="H124" s="240">
        <v>43847</v>
      </c>
      <c r="I124" s="202" t="s">
        <v>5</v>
      </c>
      <c r="J124" s="204">
        <v>43841</v>
      </c>
      <c r="K124" s="178">
        <f t="shared" si="2"/>
        <v>2020</v>
      </c>
      <c r="L124" s="178">
        <f t="shared" si="3"/>
        <v>1</v>
      </c>
      <c r="M124" s="240">
        <v>43847</v>
      </c>
      <c r="N124" s="336"/>
      <c r="O124" s="343">
        <v>8</v>
      </c>
      <c r="P124" s="179"/>
      <c r="Q124" s="179"/>
      <c r="R124" s="179"/>
      <c r="S124" s="179"/>
      <c r="T124" s="179"/>
      <c r="U124" s="179"/>
      <c r="V124" s="179"/>
      <c r="W124" s="179"/>
      <c r="X124" s="179"/>
      <c r="Y124" s="179"/>
      <c r="Z124" s="179"/>
      <c r="AA124" s="179"/>
      <c r="AB124" s="179"/>
      <c r="AC124" s="179"/>
      <c r="AD124" s="179"/>
      <c r="AE124" s="179"/>
      <c r="AF124" s="179"/>
      <c r="AG124" s="179"/>
      <c r="AH124" s="179"/>
      <c r="AI124" s="179"/>
      <c r="AJ124" s="179"/>
      <c r="AK124" s="179"/>
      <c r="AL124" s="179"/>
      <c r="AM124" s="179"/>
      <c r="AN124" s="179"/>
      <c r="AO124" s="179"/>
      <c r="AP124" s="179"/>
      <c r="AQ124" s="179"/>
      <c r="AR124" s="179"/>
      <c r="AS124" s="179"/>
      <c r="AT124" s="179"/>
      <c r="AU124" s="179"/>
      <c r="AV124" s="179"/>
      <c r="AW124" s="179"/>
      <c r="AX124" s="179"/>
      <c r="AY124" s="179"/>
      <c r="AZ124" s="179"/>
      <c r="BA124" s="179"/>
      <c r="BB124" s="179"/>
      <c r="BC124" s="179"/>
      <c r="BD124" s="179"/>
      <c r="BE124" s="179"/>
      <c r="BF124" s="179"/>
      <c r="BG124" s="179"/>
      <c r="BH124" s="179"/>
      <c r="BI124" s="179"/>
      <c r="BJ124" s="179"/>
      <c r="BK124" s="179"/>
      <c r="BL124" s="179"/>
      <c r="BM124" s="179"/>
      <c r="BN124" s="179"/>
      <c r="BO124" s="179"/>
      <c r="BP124" s="179"/>
      <c r="BQ124" s="179"/>
      <c r="BR124" s="179"/>
      <c r="BS124" s="179"/>
      <c r="BT124" s="179"/>
      <c r="BU124" s="179"/>
      <c r="BV124" s="179"/>
      <c r="BW124" s="179"/>
      <c r="BX124" s="179"/>
      <c r="BY124" s="179"/>
      <c r="BZ124" s="179"/>
      <c r="CA124" s="179"/>
      <c r="CB124" s="179"/>
      <c r="CC124" s="179"/>
      <c r="CD124" s="179"/>
      <c r="CE124" s="179"/>
      <c r="CF124" s="179"/>
      <c r="CG124" s="179"/>
      <c r="CH124" s="179"/>
      <c r="CI124" s="179"/>
      <c r="CJ124" s="179"/>
      <c r="CK124" s="179"/>
      <c r="CL124" s="179"/>
      <c r="CM124" s="179"/>
      <c r="CN124" s="179"/>
      <c r="CO124" s="179"/>
      <c r="CP124" s="179"/>
      <c r="CQ124" s="179"/>
      <c r="CR124" s="179"/>
      <c r="CS124" s="179"/>
      <c r="CT124" s="179"/>
      <c r="CU124" s="179"/>
      <c r="CV124" s="179"/>
      <c r="CW124" s="179"/>
      <c r="CX124" s="179"/>
      <c r="CY124" s="179"/>
      <c r="CZ124" s="179"/>
      <c r="DA124" s="179"/>
      <c r="DB124" s="179"/>
      <c r="DC124" s="179"/>
      <c r="DD124" s="179"/>
      <c r="DE124" s="179"/>
      <c r="DF124" s="179"/>
      <c r="DG124" s="179"/>
      <c r="DH124" s="179"/>
      <c r="DI124" s="179"/>
      <c r="DJ124" s="179"/>
      <c r="DK124" s="179"/>
      <c r="DL124" s="179"/>
      <c r="DM124" s="179"/>
      <c r="DN124" s="179"/>
      <c r="DO124" s="179"/>
      <c r="DP124" s="179"/>
      <c r="DQ124" s="179"/>
      <c r="DR124" s="179"/>
      <c r="DS124" s="179"/>
      <c r="DT124" s="179"/>
      <c r="DU124" s="179"/>
      <c r="DV124" s="179"/>
      <c r="DW124" s="179"/>
      <c r="DX124" s="179"/>
      <c r="DY124" s="179"/>
      <c r="DZ124" s="179"/>
      <c r="EA124" s="179"/>
      <c r="EB124" s="179"/>
      <c r="EC124" s="179"/>
      <c r="ED124" s="179"/>
      <c r="EE124" s="179"/>
      <c r="EF124" s="179"/>
      <c r="EG124" s="179"/>
    </row>
    <row r="125" spans="1:137" s="78" customFormat="1" ht="38.25">
      <c r="A125" s="178">
        <v>124</v>
      </c>
      <c r="B125" s="203" t="s">
        <v>2044</v>
      </c>
      <c r="C125" s="236" t="s">
        <v>3540</v>
      </c>
      <c r="D125" s="13" t="s">
        <v>4064</v>
      </c>
      <c r="E125" s="13" t="s">
        <v>1745</v>
      </c>
      <c r="F125" s="236" t="s">
        <v>3941</v>
      </c>
      <c r="G125" s="236" t="s">
        <v>4041</v>
      </c>
      <c r="H125" s="238">
        <v>43886</v>
      </c>
      <c r="I125" s="235" t="s">
        <v>4053</v>
      </c>
      <c r="J125" s="237">
        <v>43877</v>
      </c>
      <c r="K125" s="178">
        <f t="shared" si="2"/>
        <v>2020</v>
      </c>
      <c r="L125" s="178">
        <f t="shared" si="3"/>
        <v>2</v>
      </c>
      <c r="M125" s="237">
        <v>43893</v>
      </c>
      <c r="N125" s="342">
        <v>5</v>
      </c>
      <c r="O125" s="343">
        <v>45</v>
      </c>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c r="AL125" s="179"/>
      <c r="AM125" s="179"/>
      <c r="AN125" s="179"/>
      <c r="AO125" s="179"/>
      <c r="AP125" s="179"/>
      <c r="AQ125" s="179"/>
      <c r="AR125" s="179"/>
      <c r="AS125" s="179"/>
      <c r="AT125" s="179"/>
      <c r="AU125" s="179"/>
      <c r="AV125" s="179"/>
      <c r="AW125" s="179"/>
      <c r="AX125" s="179"/>
      <c r="AY125" s="179"/>
      <c r="AZ125" s="179"/>
      <c r="BA125" s="179"/>
      <c r="BB125" s="179"/>
      <c r="BC125" s="179"/>
      <c r="BD125" s="179"/>
      <c r="BE125" s="179"/>
      <c r="BF125" s="179"/>
      <c r="BG125" s="179"/>
      <c r="BH125" s="179"/>
      <c r="BI125" s="179"/>
      <c r="BJ125" s="179"/>
      <c r="BK125" s="179"/>
      <c r="BL125" s="179"/>
      <c r="BM125" s="179"/>
      <c r="BN125" s="179"/>
      <c r="BO125" s="179"/>
      <c r="BP125" s="179"/>
      <c r="BQ125" s="179"/>
      <c r="BR125" s="179"/>
      <c r="BS125" s="179"/>
      <c r="BT125" s="179"/>
      <c r="BU125" s="179"/>
      <c r="BV125" s="179"/>
      <c r="BW125" s="179"/>
      <c r="BX125" s="179"/>
      <c r="BY125" s="179"/>
      <c r="BZ125" s="179"/>
      <c r="CA125" s="179"/>
      <c r="CB125" s="179"/>
      <c r="CC125" s="179"/>
      <c r="CD125" s="179"/>
      <c r="CE125" s="179"/>
      <c r="CF125" s="179"/>
      <c r="CG125" s="179"/>
      <c r="CH125" s="179"/>
      <c r="CI125" s="179"/>
      <c r="CJ125" s="179"/>
      <c r="CK125" s="179"/>
      <c r="CL125" s="179"/>
      <c r="CM125" s="179"/>
      <c r="CN125" s="179"/>
      <c r="CO125" s="179"/>
      <c r="CP125" s="179"/>
      <c r="CQ125" s="179"/>
      <c r="CR125" s="179"/>
      <c r="CS125" s="179"/>
      <c r="CT125" s="179"/>
      <c r="CU125" s="179"/>
      <c r="CV125" s="179"/>
      <c r="CW125" s="179"/>
      <c r="CX125" s="179"/>
      <c r="CY125" s="179"/>
      <c r="CZ125" s="179"/>
      <c r="DA125" s="179"/>
      <c r="DB125" s="179"/>
      <c r="DC125" s="179"/>
      <c r="DD125" s="179"/>
      <c r="DE125" s="179"/>
      <c r="DF125" s="179"/>
      <c r="DG125" s="179"/>
      <c r="DH125" s="179"/>
      <c r="DI125" s="179"/>
      <c r="DJ125" s="179"/>
      <c r="DK125" s="179"/>
      <c r="DL125" s="179"/>
      <c r="DM125" s="179"/>
      <c r="DN125" s="179"/>
      <c r="DO125" s="179"/>
      <c r="DP125" s="179"/>
      <c r="DQ125" s="179"/>
      <c r="DR125" s="179"/>
      <c r="DS125" s="179"/>
      <c r="DT125" s="179"/>
      <c r="DU125" s="179"/>
      <c r="DV125" s="179"/>
      <c r="DW125" s="179"/>
      <c r="DX125" s="179"/>
      <c r="DY125" s="179"/>
      <c r="DZ125" s="179"/>
      <c r="EA125" s="179"/>
      <c r="EB125" s="179"/>
      <c r="EC125" s="179"/>
      <c r="ED125" s="179"/>
      <c r="EE125" s="179"/>
      <c r="EF125" s="179"/>
      <c r="EG125" s="179"/>
    </row>
    <row r="126" spans="1:137" s="354" customFormat="1" ht="25.5">
      <c r="A126" s="178">
        <v>125</v>
      </c>
      <c r="B126" s="187" t="s">
        <v>201</v>
      </c>
      <c r="C126" s="203" t="s">
        <v>3546</v>
      </c>
      <c r="D126" s="13" t="s">
        <v>3971</v>
      </c>
      <c r="E126" s="203" t="s">
        <v>3842</v>
      </c>
      <c r="F126" s="203" t="s">
        <v>3942</v>
      </c>
      <c r="G126" s="203" t="s">
        <v>3842</v>
      </c>
      <c r="H126" s="240"/>
      <c r="I126" s="202" t="s">
        <v>201</v>
      </c>
      <c r="J126" s="204">
        <v>43884</v>
      </c>
      <c r="K126" s="178">
        <f t="shared" si="2"/>
        <v>2020</v>
      </c>
      <c r="L126" s="178">
        <f t="shared" si="3"/>
        <v>2</v>
      </c>
      <c r="M126" s="204">
        <v>43886</v>
      </c>
      <c r="N126" s="336"/>
      <c r="O126" s="343"/>
      <c r="P126" s="179"/>
      <c r="Q126" s="179"/>
      <c r="R126" s="179"/>
      <c r="S126" s="179"/>
      <c r="T126" s="179"/>
      <c r="U126" s="179"/>
      <c r="V126" s="179"/>
      <c r="W126" s="179"/>
      <c r="X126" s="179"/>
      <c r="Y126" s="179"/>
      <c r="Z126" s="179"/>
      <c r="AA126" s="179"/>
      <c r="AB126" s="179"/>
      <c r="AC126" s="179"/>
      <c r="AD126" s="179"/>
      <c r="AE126" s="179"/>
      <c r="AF126" s="179"/>
      <c r="AG126" s="179"/>
      <c r="AH126" s="179"/>
      <c r="AI126" s="179"/>
      <c r="AJ126" s="179"/>
      <c r="AK126" s="179"/>
      <c r="AL126" s="179"/>
      <c r="AM126" s="179"/>
      <c r="AN126" s="179"/>
      <c r="AO126" s="179"/>
      <c r="AP126" s="179"/>
      <c r="AQ126" s="179"/>
      <c r="AR126" s="179"/>
      <c r="AS126" s="179"/>
      <c r="AT126" s="179"/>
      <c r="AU126" s="179"/>
      <c r="AV126" s="179"/>
      <c r="AW126" s="179"/>
      <c r="AX126" s="179"/>
      <c r="AY126" s="179"/>
      <c r="AZ126" s="179"/>
      <c r="BA126" s="179"/>
      <c r="BB126" s="179"/>
      <c r="BC126" s="179"/>
      <c r="BD126" s="179"/>
      <c r="BE126" s="179"/>
      <c r="BF126" s="179"/>
      <c r="BG126" s="179"/>
      <c r="BH126" s="179"/>
      <c r="BI126" s="179"/>
      <c r="BJ126" s="179"/>
      <c r="BK126" s="179"/>
      <c r="BL126" s="179"/>
      <c r="BM126" s="179"/>
      <c r="BN126" s="179"/>
      <c r="BO126" s="179"/>
      <c r="BP126" s="179"/>
      <c r="BQ126" s="179"/>
      <c r="BR126" s="179"/>
      <c r="BS126" s="179"/>
      <c r="BT126" s="179"/>
      <c r="BU126" s="179"/>
      <c r="BV126" s="179"/>
      <c r="BW126" s="179"/>
      <c r="BX126" s="179"/>
      <c r="BY126" s="179"/>
      <c r="BZ126" s="179"/>
      <c r="CA126" s="179"/>
      <c r="CB126" s="179"/>
      <c r="CC126" s="179"/>
      <c r="CD126" s="179"/>
      <c r="CE126" s="179"/>
      <c r="CF126" s="179"/>
      <c r="CG126" s="179"/>
      <c r="CH126" s="179"/>
      <c r="CI126" s="179"/>
      <c r="CJ126" s="179"/>
      <c r="CK126" s="179"/>
      <c r="CL126" s="179"/>
      <c r="CM126" s="179"/>
      <c r="CN126" s="179"/>
      <c r="CO126" s="179"/>
      <c r="CP126" s="179"/>
      <c r="CQ126" s="179"/>
      <c r="CR126" s="179"/>
      <c r="CS126" s="179"/>
      <c r="CT126" s="179"/>
      <c r="CU126" s="179"/>
      <c r="CV126" s="179"/>
      <c r="CW126" s="179"/>
      <c r="CX126" s="179"/>
      <c r="CY126" s="179"/>
      <c r="CZ126" s="179"/>
      <c r="DA126" s="179"/>
      <c r="DB126" s="179"/>
      <c r="DC126" s="179"/>
      <c r="DD126" s="179"/>
      <c r="DE126" s="179"/>
      <c r="DF126" s="179"/>
      <c r="DG126" s="179"/>
      <c r="DH126" s="179"/>
      <c r="DI126" s="179"/>
      <c r="DJ126" s="179"/>
      <c r="DK126" s="179"/>
      <c r="DL126" s="179"/>
      <c r="DM126" s="179"/>
      <c r="DN126" s="179"/>
      <c r="DO126" s="179"/>
      <c r="DP126" s="179"/>
      <c r="DQ126" s="179"/>
      <c r="DR126" s="179"/>
      <c r="DS126" s="179"/>
      <c r="DT126" s="179"/>
      <c r="DU126" s="179"/>
      <c r="DV126" s="179"/>
      <c r="DW126" s="179"/>
      <c r="DX126" s="179"/>
      <c r="DY126" s="179"/>
      <c r="DZ126" s="179"/>
      <c r="EA126" s="179"/>
      <c r="EB126" s="179"/>
      <c r="EC126" s="179"/>
      <c r="ED126" s="179"/>
      <c r="EE126" s="179"/>
      <c r="EF126" s="179"/>
      <c r="EG126" s="179"/>
    </row>
    <row r="127" spans="1:137" s="354" customFormat="1">
      <c r="A127" s="178">
        <v>126</v>
      </c>
      <c r="B127" s="235" t="s">
        <v>3561</v>
      </c>
      <c r="C127" s="236" t="s">
        <v>3566</v>
      </c>
      <c r="D127" s="385" t="s">
        <v>4064</v>
      </c>
      <c r="E127" s="13" t="s">
        <v>1621</v>
      </c>
      <c r="F127" s="236" t="s">
        <v>3943</v>
      </c>
      <c r="G127" s="203" t="s">
        <v>4042</v>
      </c>
      <c r="H127" s="240"/>
      <c r="I127" s="202"/>
      <c r="J127" s="204">
        <v>43928</v>
      </c>
      <c r="K127" s="178">
        <f t="shared" si="2"/>
        <v>2020</v>
      </c>
      <c r="L127" s="178">
        <f t="shared" si="3"/>
        <v>4</v>
      </c>
      <c r="M127" s="204"/>
      <c r="N127" s="336"/>
      <c r="O127" s="343"/>
      <c r="P127" s="179"/>
      <c r="Q127" s="179"/>
      <c r="R127" s="179"/>
      <c r="S127" s="179"/>
      <c r="T127" s="179"/>
      <c r="U127" s="179"/>
      <c r="V127" s="179"/>
      <c r="W127" s="179"/>
      <c r="X127" s="179"/>
      <c r="Y127" s="179"/>
      <c r="Z127" s="179"/>
      <c r="AA127" s="179"/>
      <c r="AB127" s="179"/>
      <c r="AC127" s="179"/>
      <c r="AD127" s="179"/>
      <c r="AE127" s="179"/>
      <c r="AF127" s="179"/>
      <c r="AG127" s="179"/>
      <c r="AH127" s="179"/>
      <c r="AI127" s="179"/>
      <c r="AJ127" s="179"/>
      <c r="AK127" s="179"/>
      <c r="AL127" s="179"/>
      <c r="AM127" s="179"/>
      <c r="AN127" s="179"/>
      <c r="AO127" s="179"/>
      <c r="AP127" s="179"/>
      <c r="AQ127" s="179"/>
      <c r="AR127" s="179"/>
      <c r="AS127" s="179"/>
      <c r="AT127" s="179"/>
      <c r="AU127" s="179"/>
      <c r="AV127" s="179"/>
      <c r="AW127" s="179"/>
      <c r="AX127" s="179"/>
      <c r="AY127" s="179"/>
      <c r="AZ127" s="179"/>
      <c r="BA127" s="179"/>
      <c r="BB127" s="179"/>
      <c r="BC127" s="179"/>
      <c r="BD127" s="179"/>
      <c r="BE127" s="179"/>
      <c r="BF127" s="179"/>
      <c r="BG127" s="179"/>
      <c r="BH127" s="179"/>
      <c r="BI127" s="179"/>
      <c r="BJ127" s="179"/>
      <c r="BK127" s="179"/>
      <c r="BL127" s="179"/>
      <c r="BM127" s="179"/>
      <c r="BN127" s="179"/>
      <c r="BO127" s="179"/>
      <c r="BP127" s="179"/>
      <c r="BQ127" s="179"/>
      <c r="BR127" s="179"/>
      <c r="BS127" s="179"/>
      <c r="BT127" s="179"/>
      <c r="BU127" s="179"/>
      <c r="BV127" s="179"/>
      <c r="BW127" s="179"/>
      <c r="BX127" s="179"/>
      <c r="BY127" s="179"/>
      <c r="BZ127" s="179"/>
      <c r="CA127" s="179"/>
      <c r="CB127" s="179"/>
      <c r="CC127" s="179"/>
      <c r="CD127" s="179"/>
      <c r="CE127" s="179"/>
      <c r="CF127" s="179"/>
      <c r="CG127" s="179"/>
      <c r="CH127" s="179"/>
      <c r="CI127" s="179"/>
      <c r="CJ127" s="179"/>
      <c r="CK127" s="179"/>
      <c r="CL127" s="179"/>
      <c r="CM127" s="179"/>
      <c r="CN127" s="179"/>
      <c r="CO127" s="179"/>
      <c r="CP127" s="179"/>
      <c r="CQ127" s="179"/>
      <c r="CR127" s="179"/>
      <c r="CS127" s="179"/>
      <c r="CT127" s="179"/>
      <c r="CU127" s="179"/>
      <c r="CV127" s="179"/>
      <c r="CW127" s="179"/>
      <c r="CX127" s="179"/>
      <c r="CY127" s="179"/>
      <c r="CZ127" s="179"/>
      <c r="DA127" s="179"/>
      <c r="DB127" s="179"/>
      <c r="DC127" s="179"/>
      <c r="DD127" s="179"/>
      <c r="DE127" s="179"/>
      <c r="DF127" s="179"/>
      <c r="DG127" s="179"/>
      <c r="DH127" s="179"/>
      <c r="DI127" s="179"/>
      <c r="DJ127" s="179"/>
      <c r="DK127" s="179"/>
      <c r="DL127" s="179"/>
      <c r="DM127" s="179"/>
      <c r="DN127" s="179"/>
      <c r="DO127" s="179"/>
      <c r="DP127" s="179"/>
      <c r="DQ127" s="179"/>
      <c r="DR127" s="179"/>
      <c r="DS127" s="179"/>
      <c r="DT127" s="179"/>
      <c r="DU127" s="179"/>
      <c r="DV127" s="179"/>
      <c r="DW127" s="179"/>
      <c r="DX127" s="179"/>
      <c r="DY127" s="179"/>
      <c r="DZ127" s="179"/>
      <c r="EA127" s="179"/>
      <c r="EB127" s="179"/>
      <c r="EC127" s="179"/>
      <c r="ED127" s="179"/>
      <c r="EE127" s="179"/>
      <c r="EF127" s="179"/>
      <c r="EG127" s="179"/>
    </row>
    <row r="128" spans="1:137" s="354" customFormat="1" ht="38.25">
      <c r="A128" s="178">
        <v>127</v>
      </c>
      <c r="B128" s="235" t="s">
        <v>2044</v>
      </c>
      <c r="C128" s="236" t="s">
        <v>3558</v>
      </c>
      <c r="D128" s="385" t="s">
        <v>4064</v>
      </c>
      <c r="E128" s="13" t="s">
        <v>1621</v>
      </c>
      <c r="F128" s="236" t="s">
        <v>3944</v>
      </c>
      <c r="G128" s="236" t="s">
        <v>4043</v>
      </c>
      <c r="H128" s="238">
        <v>44008</v>
      </c>
      <c r="I128" s="235" t="s">
        <v>4053</v>
      </c>
      <c r="J128" s="237">
        <v>43936</v>
      </c>
      <c r="K128" s="178">
        <f t="shared" si="2"/>
        <v>2020</v>
      </c>
      <c r="L128" s="178">
        <f t="shared" si="3"/>
        <v>4</v>
      </c>
      <c r="M128" s="238">
        <v>44008</v>
      </c>
      <c r="N128" s="333" t="s">
        <v>4058</v>
      </c>
      <c r="O128" s="343">
        <v>26</v>
      </c>
      <c r="P128" s="179"/>
      <c r="Q128" s="179"/>
      <c r="R128" s="179"/>
      <c r="S128" s="179"/>
      <c r="T128" s="179"/>
      <c r="U128" s="179"/>
      <c r="V128" s="179"/>
      <c r="W128" s="179"/>
      <c r="X128" s="179"/>
      <c r="Y128" s="179"/>
      <c r="Z128" s="179"/>
      <c r="AA128" s="179"/>
      <c r="AB128" s="179"/>
      <c r="AC128" s="179"/>
      <c r="AD128" s="179"/>
      <c r="AE128" s="179"/>
      <c r="AF128" s="179"/>
      <c r="AG128" s="179"/>
      <c r="AH128" s="179"/>
      <c r="AI128" s="179"/>
      <c r="AJ128" s="179"/>
      <c r="AK128" s="179"/>
      <c r="AL128" s="179"/>
      <c r="AM128" s="179"/>
      <c r="AN128" s="179"/>
      <c r="AO128" s="179"/>
      <c r="AP128" s="179"/>
      <c r="AQ128" s="179"/>
      <c r="AR128" s="179"/>
      <c r="AS128" s="179"/>
      <c r="AT128" s="179"/>
      <c r="AU128" s="179"/>
      <c r="AV128" s="179"/>
      <c r="AW128" s="179"/>
      <c r="AX128" s="179"/>
      <c r="AY128" s="179"/>
      <c r="AZ128" s="179"/>
      <c r="BA128" s="179"/>
      <c r="BB128" s="179"/>
      <c r="BC128" s="179"/>
      <c r="BD128" s="179"/>
      <c r="BE128" s="179"/>
      <c r="BF128" s="179"/>
      <c r="BG128" s="179"/>
      <c r="BH128" s="179"/>
      <c r="BI128" s="179"/>
      <c r="BJ128" s="179"/>
      <c r="BK128" s="179"/>
      <c r="BL128" s="179"/>
      <c r="BM128" s="179"/>
      <c r="BN128" s="179"/>
      <c r="BO128" s="179"/>
      <c r="BP128" s="179"/>
      <c r="BQ128" s="179"/>
      <c r="BR128" s="179"/>
      <c r="BS128" s="179"/>
      <c r="BT128" s="179"/>
      <c r="BU128" s="179"/>
      <c r="BV128" s="179"/>
      <c r="BW128" s="179"/>
      <c r="BX128" s="179"/>
      <c r="BY128" s="179"/>
      <c r="BZ128" s="179"/>
      <c r="CA128" s="179"/>
      <c r="CB128" s="179"/>
      <c r="CC128" s="179"/>
      <c r="CD128" s="179"/>
      <c r="CE128" s="179"/>
      <c r="CF128" s="179"/>
      <c r="CG128" s="179"/>
      <c r="CH128" s="179"/>
      <c r="CI128" s="179"/>
      <c r="CJ128" s="179"/>
      <c r="CK128" s="179"/>
      <c r="CL128" s="179"/>
      <c r="CM128" s="179"/>
      <c r="CN128" s="179"/>
      <c r="CO128" s="179"/>
      <c r="CP128" s="179"/>
      <c r="CQ128" s="179"/>
      <c r="CR128" s="179"/>
      <c r="CS128" s="179"/>
      <c r="CT128" s="179"/>
      <c r="CU128" s="179"/>
      <c r="CV128" s="179"/>
      <c r="CW128" s="179"/>
      <c r="CX128" s="179"/>
      <c r="CY128" s="179"/>
      <c r="CZ128" s="179"/>
      <c r="DA128" s="179"/>
      <c r="DB128" s="179"/>
      <c r="DC128" s="179"/>
      <c r="DD128" s="179"/>
      <c r="DE128" s="179"/>
      <c r="DF128" s="179"/>
      <c r="DG128" s="179"/>
      <c r="DH128" s="179"/>
      <c r="DI128" s="179"/>
      <c r="DJ128" s="179"/>
      <c r="DK128" s="179"/>
      <c r="DL128" s="179"/>
      <c r="DM128" s="179"/>
      <c r="DN128" s="179"/>
      <c r="DO128" s="179"/>
      <c r="DP128" s="179"/>
      <c r="DQ128" s="179"/>
      <c r="DR128" s="179"/>
      <c r="DS128" s="179"/>
      <c r="DT128" s="179"/>
      <c r="DU128" s="179"/>
      <c r="DV128" s="179"/>
      <c r="DW128" s="179"/>
      <c r="DX128" s="179"/>
      <c r="DY128" s="179"/>
      <c r="DZ128" s="179"/>
      <c r="EA128" s="179"/>
      <c r="EB128" s="179"/>
      <c r="EC128" s="179"/>
      <c r="ED128" s="179"/>
      <c r="EE128" s="179"/>
      <c r="EF128" s="179"/>
      <c r="EG128" s="179"/>
    </row>
    <row r="129" spans="1:137" s="354" customFormat="1">
      <c r="A129" s="178">
        <v>128</v>
      </c>
      <c r="B129" s="487" t="s">
        <v>3561</v>
      </c>
      <c r="C129" s="203" t="s">
        <v>3560</v>
      </c>
      <c r="D129" s="385" t="s">
        <v>4064</v>
      </c>
      <c r="E129" s="13" t="s">
        <v>1621</v>
      </c>
      <c r="F129" s="203" t="s">
        <v>3871</v>
      </c>
      <c r="G129" s="203" t="s">
        <v>4025</v>
      </c>
      <c r="H129" s="240"/>
      <c r="I129" s="202"/>
      <c r="J129" s="204">
        <v>43947</v>
      </c>
      <c r="K129" s="178">
        <f t="shared" si="2"/>
        <v>2020</v>
      </c>
      <c r="L129" s="178">
        <f t="shared" si="3"/>
        <v>4</v>
      </c>
      <c r="M129" s="204"/>
      <c r="N129" s="336"/>
      <c r="O129" s="343"/>
      <c r="P129" s="179"/>
      <c r="Q129" s="179"/>
      <c r="R129" s="179"/>
      <c r="S129" s="179"/>
      <c r="T129" s="179"/>
      <c r="U129" s="179"/>
      <c r="V129" s="179"/>
      <c r="W129" s="179"/>
      <c r="X129" s="179"/>
      <c r="Y129" s="179"/>
      <c r="Z129" s="179"/>
      <c r="AA129" s="179"/>
      <c r="AB129" s="179"/>
      <c r="AC129" s="179"/>
      <c r="AD129" s="179"/>
      <c r="AE129" s="179"/>
      <c r="AF129" s="179"/>
      <c r="AG129" s="179"/>
      <c r="AH129" s="179"/>
      <c r="AI129" s="179"/>
      <c r="AJ129" s="179"/>
      <c r="AK129" s="179"/>
      <c r="AL129" s="179"/>
      <c r="AM129" s="179"/>
      <c r="AN129" s="179"/>
      <c r="AO129" s="179"/>
      <c r="AP129" s="179"/>
      <c r="AQ129" s="179"/>
      <c r="AR129" s="179"/>
      <c r="AS129" s="179"/>
      <c r="AT129" s="179"/>
      <c r="AU129" s="179"/>
      <c r="AV129" s="179"/>
      <c r="AW129" s="179"/>
      <c r="AX129" s="179"/>
      <c r="AY129" s="179"/>
      <c r="AZ129" s="179"/>
      <c r="BA129" s="179"/>
      <c r="BB129" s="179"/>
      <c r="BC129" s="179"/>
      <c r="BD129" s="179"/>
      <c r="BE129" s="179"/>
      <c r="BF129" s="179"/>
      <c r="BG129" s="179"/>
      <c r="BH129" s="179"/>
      <c r="BI129" s="179"/>
      <c r="BJ129" s="179"/>
      <c r="BK129" s="179"/>
      <c r="BL129" s="179"/>
      <c r="BM129" s="179"/>
      <c r="BN129" s="179"/>
      <c r="BO129" s="179"/>
      <c r="BP129" s="179"/>
      <c r="BQ129" s="179"/>
      <c r="BR129" s="179"/>
      <c r="BS129" s="179"/>
      <c r="BT129" s="179"/>
      <c r="BU129" s="179"/>
      <c r="BV129" s="179"/>
      <c r="BW129" s="179"/>
      <c r="BX129" s="179"/>
      <c r="BY129" s="179"/>
      <c r="BZ129" s="179"/>
      <c r="CA129" s="179"/>
      <c r="CB129" s="179"/>
      <c r="CC129" s="179"/>
      <c r="CD129" s="179"/>
      <c r="CE129" s="179"/>
      <c r="CF129" s="179"/>
      <c r="CG129" s="179"/>
      <c r="CH129" s="179"/>
      <c r="CI129" s="179"/>
      <c r="CJ129" s="179"/>
      <c r="CK129" s="179"/>
      <c r="CL129" s="179"/>
      <c r="CM129" s="179"/>
      <c r="CN129" s="179"/>
      <c r="CO129" s="179"/>
      <c r="CP129" s="179"/>
      <c r="CQ129" s="179"/>
      <c r="CR129" s="179"/>
      <c r="CS129" s="179"/>
      <c r="CT129" s="179"/>
      <c r="CU129" s="179"/>
      <c r="CV129" s="179"/>
      <c r="CW129" s="179"/>
      <c r="CX129" s="179"/>
      <c r="CY129" s="179"/>
      <c r="CZ129" s="179"/>
      <c r="DA129" s="179"/>
      <c r="DB129" s="179"/>
      <c r="DC129" s="179"/>
      <c r="DD129" s="179"/>
      <c r="DE129" s="179"/>
      <c r="DF129" s="179"/>
      <c r="DG129" s="179"/>
      <c r="DH129" s="179"/>
      <c r="DI129" s="179"/>
      <c r="DJ129" s="179"/>
      <c r="DK129" s="179"/>
      <c r="DL129" s="179"/>
      <c r="DM129" s="179"/>
      <c r="DN129" s="179"/>
      <c r="DO129" s="179"/>
      <c r="DP129" s="179"/>
      <c r="DQ129" s="179"/>
      <c r="DR129" s="179"/>
      <c r="DS129" s="179"/>
      <c r="DT129" s="179"/>
      <c r="DU129" s="179"/>
      <c r="DV129" s="179"/>
      <c r="DW129" s="179"/>
      <c r="DX129" s="179"/>
      <c r="DY129" s="179"/>
      <c r="DZ129" s="179"/>
      <c r="EA129" s="179"/>
      <c r="EB129" s="179"/>
      <c r="EC129" s="179"/>
      <c r="ED129" s="179"/>
      <c r="EE129" s="179"/>
      <c r="EF129" s="179"/>
      <c r="EG129" s="179"/>
    </row>
    <row r="130" spans="1:137" s="78" customFormat="1" ht="38.25">
      <c r="A130" s="178">
        <v>129</v>
      </c>
      <c r="B130" s="235" t="s">
        <v>2044</v>
      </c>
      <c r="C130" s="236" t="s">
        <v>3562</v>
      </c>
      <c r="D130" s="385" t="s">
        <v>4064</v>
      </c>
      <c r="E130" s="13" t="s">
        <v>1621</v>
      </c>
      <c r="F130" s="236" t="s">
        <v>3945</v>
      </c>
      <c r="G130" s="236" t="s">
        <v>4044</v>
      </c>
      <c r="H130" s="238">
        <v>43991</v>
      </c>
      <c r="I130" s="235" t="s">
        <v>4055</v>
      </c>
      <c r="J130" s="237">
        <v>43956</v>
      </c>
      <c r="K130" s="178">
        <f t="shared" si="2"/>
        <v>2020</v>
      </c>
      <c r="L130" s="178">
        <f t="shared" si="3"/>
        <v>5</v>
      </c>
      <c r="M130" s="237">
        <v>43992</v>
      </c>
      <c r="N130" s="342">
        <v>5</v>
      </c>
      <c r="O130" s="343">
        <v>47</v>
      </c>
      <c r="P130" s="179"/>
      <c r="Q130" s="179"/>
      <c r="R130" s="179"/>
      <c r="S130" s="179"/>
      <c r="T130" s="179"/>
      <c r="U130" s="179"/>
      <c r="V130" s="179"/>
      <c r="W130" s="179"/>
      <c r="X130" s="179"/>
      <c r="Y130" s="179"/>
      <c r="Z130" s="179"/>
      <c r="AA130" s="179"/>
      <c r="AB130" s="179"/>
      <c r="AC130" s="179"/>
      <c r="AD130" s="179"/>
      <c r="AE130" s="179"/>
      <c r="AF130" s="179"/>
      <c r="AG130" s="179"/>
      <c r="AH130" s="179"/>
      <c r="AI130" s="179"/>
      <c r="AJ130" s="179"/>
      <c r="AK130" s="179"/>
      <c r="AL130" s="179"/>
      <c r="AM130" s="179"/>
      <c r="AN130" s="179"/>
      <c r="AO130" s="179"/>
      <c r="AP130" s="179"/>
      <c r="AQ130" s="179"/>
      <c r="AR130" s="179"/>
      <c r="AS130" s="179"/>
      <c r="AT130" s="179"/>
      <c r="AU130" s="179"/>
      <c r="AV130" s="179"/>
      <c r="AW130" s="179"/>
      <c r="AX130" s="179"/>
      <c r="AY130" s="179"/>
      <c r="AZ130" s="179"/>
      <c r="BA130" s="179"/>
      <c r="BB130" s="179"/>
      <c r="BC130" s="179"/>
      <c r="BD130" s="179"/>
      <c r="BE130" s="179"/>
      <c r="BF130" s="179"/>
      <c r="BG130" s="179"/>
      <c r="BH130" s="179"/>
      <c r="BI130" s="179"/>
      <c r="BJ130" s="179"/>
      <c r="BK130" s="179"/>
      <c r="BL130" s="179"/>
      <c r="BM130" s="179"/>
      <c r="BN130" s="179"/>
      <c r="BO130" s="179"/>
      <c r="BP130" s="179"/>
      <c r="BQ130" s="179"/>
      <c r="BR130" s="179"/>
      <c r="BS130" s="179"/>
      <c r="BT130" s="179"/>
      <c r="BU130" s="179"/>
      <c r="BV130" s="179"/>
      <c r="BW130" s="179"/>
      <c r="BX130" s="179"/>
      <c r="BY130" s="179"/>
      <c r="BZ130" s="179"/>
      <c r="CA130" s="179"/>
      <c r="CB130" s="179"/>
      <c r="CC130" s="179"/>
      <c r="CD130" s="179"/>
      <c r="CE130" s="179"/>
      <c r="CF130" s="179"/>
      <c r="CG130" s="179"/>
      <c r="CH130" s="179"/>
      <c r="CI130" s="179"/>
      <c r="CJ130" s="179"/>
      <c r="CK130" s="179"/>
      <c r="CL130" s="179"/>
      <c r="CM130" s="179"/>
      <c r="CN130" s="179"/>
      <c r="CO130" s="179"/>
      <c r="CP130" s="179"/>
      <c r="CQ130" s="179"/>
      <c r="CR130" s="179"/>
      <c r="CS130" s="179"/>
      <c r="CT130" s="179"/>
      <c r="CU130" s="179"/>
      <c r="CV130" s="179"/>
      <c r="CW130" s="179"/>
      <c r="CX130" s="179"/>
      <c r="CY130" s="179"/>
      <c r="CZ130" s="179"/>
      <c r="DA130" s="179"/>
      <c r="DB130" s="179"/>
      <c r="DC130" s="179"/>
      <c r="DD130" s="179"/>
      <c r="DE130" s="179"/>
      <c r="DF130" s="179"/>
      <c r="DG130" s="179"/>
      <c r="DH130" s="179"/>
      <c r="DI130" s="179"/>
      <c r="DJ130" s="179"/>
      <c r="DK130" s="179"/>
      <c r="DL130" s="179"/>
      <c r="DM130" s="179"/>
      <c r="DN130" s="179"/>
      <c r="DO130" s="179"/>
      <c r="DP130" s="179"/>
      <c r="DQ130" s="179"/>
      <c r="DR130" s="179"/>
      <c r="DS130" s="179"/>
      <c r="DT130" s="179"/>
      <c r="DU130" s="179"/>
      <c r="DV130" s="179"/>
      <c r="DW130" s="179"/>
      <c r="DX130" s="179"/>
      <c r="DY130" s="179"/>
      <c r="DZ130" s="179"/>
      <c r="EA130" s="179"/>
      <c r="EB130" s="179"/>
      <c r="EC130" s="179"/>
      <c r="ED130" s="179"/>
      <c r="EE130" s="179"/>
      <c r="EF130" s="179"/>
      <c r="EG130" s="179"/>
    </row>
    <row r="131" spans="1:137" s="354" customFormat="1">
      <c r="A131" s="178">
        <v>130</v>
      </c>
      <c r="B131" s="487" t="s">
        <v>3561</v>
      </c>
      <c r="C131" s="203" t="s">
        <v>3573</v>
      </c>
      <c r="D131" s="203"/>
      <c r="E131" s="189" t="e">
        <v>#N/A</v>
      </c>
      <c r="F131" s="203" t="s">
        <v>3946</v>
      </c>
      <c r="G131" s="203" t="s">
        <v>3871</v>
      </c>
      <c r="H131" s="240"/>
      <c r="I131" s="202"/>
      <c r="J131" s="204">
        <v>43957</v>
      </c>
      <c r="K131" s="178">
        <f t="shared" ref="K131:K150" si="4">YEAR(J131)</f>
        <v>2020</v>
      </c>
      <c r="L131" s="178">
        <f t="shared" ref="L131:L150" si="5">MONTH(J131)</f>
        <v>5</v>
      </c>
      <c r="M131" s="204"/>
      <c r="N131" s="336"/>
      <c r="O131" s="343"/>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9"/>
      <c r="BB131" s="179"/>
      <c r="BC131" s="179"/>
      <c r="BD131" s="179"/>
      <c r="BE131" s="179"/>
      <c r="BF131" s="179"/>
      <c r="BG131" s="179"/>
      <c r="BH131" s="179"/>
      <c r="BI131" s="179"/>
      <c r="BJ131" s="179"/>
      <c r="BK131" s="179"/>
      <c r="BL131" s="179"/>
      <c r="BM131" s="179"/>
      <c r="BN131" s="179"/>
      <c r="BO131" s="179"/>
      <c r="BP131" s="179"/>
      <c r="BQ131" s="179"/>
      <c r="BR131" s="179"/>
      <c r="BS131" s="179"/>
      <c r="BT131" s="179"/>
      <c r="BU131" s="179"/>
      <c r="BV131" s="179"/>
      <c r="BW131" s="179"/>
      <c r="BX131" s="179"/>
      <c r="BY131" s="179"/>
      <c r="BZ131" s="179"/>
      <c r="CA131" s="179"/>
      <c r="CB131" s="179"/>
      <c r="CC131" s="179"/>
      <c r="CD131" s="179"/>
      <c r="CE131" s="179"/>
      <c r="CF131" s="179"/>
      <c r="CG131" s="179"/>
      <c r="CH131" s="179"/>
      <c r="CI131" s="179"/>
      <c r="CJ131" s="179"/>
      <c r="CK131" s="179"/>
      <c r="CL131" s="179"/>
      <c r="CM131" s="179"/>
      <c r="CN131" s="179"/>
      <c r="CO131" s="179"/>
      <c r="CP131" s="179"/>
      <c r="CQ131" s="179"/>
      <c r="CR131" s="179"/>
      <c r="CS131" s="179"/>
      <c r="CT131" s="179"/>
      <c r="CU131" s="179"/>
      <c r="CV131" s="179"/>
      <c r="CW131" s="179"/>
      <c r="CX131" s="179"/>
      <c r="CY131" s="179"/>
      <c r="CZ131" s="179"/>
      <c r="DA131" s="179"/>
      <c r="DB131" s="179"/>
      <c r="DC131" s="179"/>
      <c r="DD131" s="179"/>
      <c r="DE131" s="179"/>
      <c r="DF131" s="179"/>
      <c r="DG131" s="179"/>
      <c r="DH131" s="179"/>
      <c r="DI131" s="179"/>
      <c r="DJ131" s="179"/>
      <c r="DK131" s="179"/>
      <c r="DL131" s="179"/>
      <c r="DM131" s="179"/>
      <c r="DN131" s="179"/>
      <c r="DO131" s="179"/>
      <c r="DP131" s="179"/>
      <c r="DQ131" s="179"/>
      <c r="DR131" s="179"/>
      <c r="DS131" s="179"/>
      <c r="DT131" s="179"/>
      <c r="DU131" s="179"/>
      <c r="DV131" s="179"/>
      <c r="DW131" s="179"/>
      <c r="DX131" s="179"/>
      <c r="DY131" s="179"/>
      <c r="DZ131" s="179"/>
      <c r="EA131" s="179"/>
      <c r="EB131" s="179"/>
      <c r="EC131" s="179"/>
      <c r="ED131" s="179"/>
      <c r="EE131" s="179"/>
      <c r="EF131" s="179"/>
      <c r="EG131" s="179"/>
    </row>
    <row r="132" spans="1:137" s="354" customFormat="1" ht="38.25">
      <c r="A132" s="178">
        <v>131</v>
      </c>
      <c r="B132" s="235" t="s">
        <v>2044</v>
      </c>
      <c r="C132" s="236" t="s">
        <v>3574</v>
      </c>
      <c r="D132" s="385" t="s">
        <v>4064</v>
      </c>
      <c r="E132" s="13" t="s">
        <v>1621</v>
      </c>
      <c r="F132" s="236" t="s">
        <v>3947</v>
      </c>
      <c r="G132" s="236" t="s">
        <v>4045</v>
      </c>
      <c r="H132" s="238">
        <v>44010</v>
      </c>
      <c r="I132" s="235" t="s">
        <v>4055</v>
      </c>
      <c r="J132" s="204">
        <v>43962</v>
      </c>
      <c r="K132" s="178">
        <f t="shared" si="4"/>
        <v>2020</v>
      </c>
      <c r="L132" s="178">
        <f t="shared" si="5"/>
        <v>5</v>
      </c>
      <c r="M132" s="204">
        <v>44012</v>
      </c>
      <c r="N132" s="445">
        <v>5</v>
      </c>
      <c r="O132" s="343">
        <v>43</v>
      </c>
      <c r="P132" s="179"/>
      <c r="Q132" s="179"/>
      <c r="R132" s="179"/>
      <c r="S132" s="179"/>
      <c r="T132" s="179"/>
      <c r="U132" s="179"/>
      <c r="V132" s="179"/>
      <c r="W132" s="179"/>
      <c r="X132" s="179"/>
      <c r="Y132" s="179"/>
      <c r="Z132" s="179"/>
      <c r="AA132" s="179"/>
      <c r="AB132" s="179"/>
      <c r="AC132" s="179"/>
      <c r="AD132" s="179"/>
      <c r="AE132" s="179"/>
      <c r="AF132" s="179"/>
      <c r="AG132" s="179"/>
      <c r="AH132" s="179"/>
      <c r="AI132" s="179"/>
      <c r="AJ132" s="179"/>
      <c r="AK132" s="179"/>
      <c r="AL132" s="179"/>
      <c r="AM132" s="179"/>
      <c r="AN132" s="179"/>
      <c r="AO132" s="179"/>
      <c r="AP132" s="179"/>
      <c r="AQ132" s="179"/>
      <c r="AR132" s="179"/>
      <c r="AS132" s="179"/>
      <c r="AT132" s="179"/>
      <c r="AU132" s="179"/>
      <c r="AV132" s="179"/>
      <c r="AW132" s="179"/>
      <c r="AX132" s="179"/>
      <c r="AY132" s="179"/>
      <c r="AZ132" s="179"/>
      <c r="BA132" s="179"/>
      <c r="BB132" s="179"/>
      <c r="BC132" s="179"/>
      <c r="BD132" s="179"/>
      <c r="BE132" s="179"/>
      <c r="BF132" s="179"/>
      <c r="BG132" s="179"/>
      <c r="BH132" s="179"/>
      <c r="BI132" s="179"/>
      <c r="BJ132" s="179"/>
      <c r="BK132" s="179"/>
      <c r="BL132" s="179"/>
      <c r="BM132" s="179"/>
      <c r="BN132" s="179"/>
      <c r="BO132" s="179"/>
      <c r="BP132" s="179"/>
      <c r="BQ132" s="179"/>
      <c r="BR132" s="179"/>
      <c r="BS132" s="179"/>
      <c r="BT132" s="179"/>
      <c r="BU132" s="179"/>
      <c r="BV132" s="179"/>
      <c r="BW132" s="179"/>
      <c r="BX132" s="179"/>
      <c r="BY132" s="179"/>
      <c r="BZ132" s="179"/>
      <c r="CA132" s="179"/>
      <c r="CB132" s="179"/>
      <c r="CC132" s="179"/>
      <c r="CD132" s="179"/>
      <c r="CE132" s="179"/>
      <c r="CF132" s="179"/>
      <c r="CG132" s="179"/>
      <c r="CH132" s="179"/>
      <c r="CI132" s="179"/>
      <c r="CJ132" s="179"/>
      <c r="CK132" s="179"/>
      <c r="CL132" s="179"/>
      <c r="CM132" s="179"/>
      <c r="CN132" s="179"/>
      <c r="CO132" s="179"/>
      <c r="CP132" s="179"/>
      <c r="CQ132" s="179"/>
      <c r="CR132" s="179"/>
      <c r="CS132" s="179"/>
      <c r="CT132" s="179"/>
      <c r="CU132" s="179"/>
      <c r="CV132" s="179"/>
      <c r="CW132" s="179"/>
      <c r="CX132" s="179"/>
      <c r="CY132" s="179"/>
      <c r="CZ132" s="179"/>
      <c r="DA132" s="179"/>
      <c r="DB132" s="179"/>
      <c r="DC132" s="179"/>
      <c r="DD132" s="179"/>
      <c r="DE132" s="179"/>
      <c r="DF132" s="179"/>
      <c r="DG132" s="179"/>
      <c r="DH132" s="179"/>
      <c r="DI132" s="179"/>
      <c r="DJ132" s="179"/>
      <c r="DK132" s="179"/>
      <c r="DL132" s="179"/>
      <c r="DM132" s="179"/>
      <c r="DN132" s="179"/>
      <c r="DO132" s="179"/>
      <c r="DP132" s="179"/>
      <c r="DQ132" s="179"/>
      <c r="DR132" s="179"/>
      <c r="DS132" s="179"/>
      <c r="DT132" s="179"/>
      <c r="DU132" s="179"/>
      <c r="DV132" s="179"/>
      <c r="DW132" s="179"/>
      <c r="DX132" s="179"/>
      <c r="DY132" s="179"/>
      <c r="DZ132" s="179"/>
      <c r="EA132" s="179"/>
      <c r="EB132" s="179"/>
      <c r="EC132" s="179"/>
      <c r="ED132" s="179"/>
      <c r="EE132" s="179"/>
      <c r="EF132" s="179"/>
      <c r="EG132" s="179"/>
    </row>
    <row r="133" spans="1:137" s="354" customFormat="1" ht="38.25">
      <c r="A133" s="178">
        <v>132</v>
      </c>
      <c r="B133" s="235" t="s">
        <v>2044</v>
      </c>
      <c r="C133" s="236" t="s">
        <v>3574</v>
      </c>
      <c r="D133" s="385" t="s">
        <v>4064</v>
      </c>
      <c r="E133" s="13" t="s">
        <v>1621</v>
      </c>
      <c r="F133" s="236" t="s">
        <v>3948</v>
      </c>
      <c r="G133" s="236" t="s">
        <v>4045</v>
      </c>
      <c r="H133" s="238">
        <v>44010</v>
      </c>
      <c r="I133" s="235" t="s">
        <v>4055</v>
      </c>
      <c r="J133" s="204">
        <v>43962</v>
      </c>
      <c r="K133" s="178">
        <f t="shared" si="4"/>
        <v>2020</v>
      </c>
      <c r="L133" s="178">
        <f t="shared" si="5"/>
        <v>5</v>
      </c>
      <c r="M133" s="204">
        <v>44012</v>
      </c>
      <c r="N133" s="447"/>
      <c r="O133" s="343">
        <v>43</v>
      </c>
      <c r="P133" s="179"/>
      <c r="Q133" s="179"/>
      <c r="R133" s="179"/>
      <c r="S133" s="179"/>
      <c r="T133" s="179"/>
      <c r="U133" s="179"/>
      <c r="V133" s="179"/>
      <c r="W133" s="179"/>
      <c r="X133" s="179"/>
      <c r="Y133" s="179"/>
      <c r="Z133" s="179"/>
      <c r="AA133" s="179"/>
      <c r="AB133" s="179"/>
      <c r="AC133" s="179"/>
      <c r="AD133" s="179"/>
      <c r="AE133" s="179"/>
      <c r="AF133" s="179"/>
      <c r="AG133" s="179"/>
      <c r="AH133" s="179"/>
      <c r="AI133" s="179"/>
      <c r="AJ133" s="179"/>
      <c r="AK133" s="179"/>
      <c r="AL133" s="179"/>
      <c r="AM133" s="179"/>
      <c r="AN133" s="179"/>
      <c r="AO133" s="179"/>
      <c r="AP133" s="179"/>
      <c r="AQ133" s="179"/>
      <c r="AR133" s="179"/>
      <c r="AS133" s="179"/>
      <c r="AT133" s="179"/>
      <c r="AU133" s="179"/>
      <c r="AV133" s="179"/>
      <c r="AW133" s="179"/>
      <c r="AX133" s="179"/>
      <c r="AY133" s="179"/>
      <c r="AZ133" s="179"/>
      <c r="BA133" s="179"/>
      <c r="BB133" s="179"/>
      <c r="BC133" s="179"/>
      <c r="BD133" s="179"/>
      <c r="BE133" s="179"/>
      <c r="BF133" s="179"/>
      <c r="BG133" s="179"/>
      <c r="BH133" s="179"/>
      <c r="BI133" s="179"/>
      <c r="BJ133" s="179"/>
      <c r="BK133" s="179"/>
      <c r="BL133" s="179"/>
      <c r="BM133" s="179"/>
      <c r="BN133" s="179"/>
      <c r="BO133" s="179"/>
      <c r="BP133" s="179"/>
      <c r="BQ133" s="179"/>
      <c r="BR133" s="179"/>
      <c r="BS133" s="179"/>
      <c r="BT133" s="179"/>
      <c r="BU133" s="179"/>
      <c r="BV133" s="179"/>
      <c r="BW133" s="179"/>
      <c r="BX133" s="179"/>
      <c r="BY133" s="179"/>
      <c r="BZ133" s="179"/>
      <c r="CA133" s="179"/>
      <c r="CB133" s="179"/>
      <c r="CC133" s="179"/>
      <c r="CD133" s="179"/>
      <c r="CE133" s="179"/>
      <c r="CF133" s="179"/>
      <c r="CG133" s="179"/>
      <c r="CH133" s="179"/>
      <c r="CI133" s="179"/>
      <c r="CJ133" s="179"/>
      <c r="CK133" s="179"/>
      <c r="CL133" s="179"/>
      <c r="CM133" s="179"/>
      <c r="CN133" s="179"/>
      <c r="CO133" s="179"/>
      <c r="CP133" s="179"/>
      <c r="CQ133" s="179"/>
      <c r="CR133" s="179"/>
      <c r="CS133" s="179"/>
      <c r="CT133" s="179"/>
      <c r="CU133" s="179"/>
      <c r="CV133" s="179"/>
      <c r="CW133" s="179"/>
      <c r="CX133" s="179"/>
      <c r="CY133" s="179"/>
      <c r="CZ133" s="179"/>
      <c r="DA133" s="179"/>
      <c r="DB133" s="179"/>
      <c r="DC133" s="179"/>
      <c r="DD133" s="179"/>
      <c r="DE133" s="179"/>
      <c r="DF133" s="179"/>
      <c r="DG133" s="179"/>
      <c r="DH133" s="179"/>
      <c r="DI133" s="179"/>
      <c r="DJ133" s="179"/>
      <c r="DK133" s="179"/>
      <c r="DL133" s="179"/>
      <c r="DM133" s="179"/>
      <c r="DN133" s="179"/>
      <c r="DO133" s="179"/>
      <c r="DP133" s="179"/>
      <c r="DQ133" s="179"/>
      <c r="DR133" s="179"/>
      <c r="DS133" s="179"/>
      <c r="DT133" s="179"/>
      <c r="DU133" s="179"/>
      <c r="DV133" s="179"/>
      <c r="DW133" s="179"/>
      <c r="DX133" s="179"/>
      <c r="DY133" s="179"/>
      <c r="DZ133" s="179"/>
      <c r="EA133" s="179"/>
      <c r="EB133" s="179"/>
      <c r="EC133" s="179"/>
      <c r="ED133" s="179"/>
      <c r="EE133" s="179"/>
      <c r="EF133" s="179"/>
      <c r="EG133" s="179"/>
    </row>
    <row r="134" spans="1:137" s="354" customFormat="1">
      <c r="A134" s="178">
        <v>133</v>
      </c>
      <c r="B134" s="235" t="s">
        <v>2044</v>
      </c>
      <c r="C134" s="236" t="s">
        <v>3575</v>
      </c>
      <c r="D134" s="385" t="s">
        <v>4064</v>
      </c>
      <c r="E134" s="13" t="s">
        <v>3667</v>
      </c>
      <c r="F134" s="236" t="s">
        <v>3949</v>
      </c>
      <c r="G134" s="236" t="s">
        <v>3577</v>
      </c>
      <c r="H134" s="238">
        <v>44001</v>
      </c>
      <c r="I134" s="235" t="s">
        <v>5</v>
      </c>
      <c r="J134" s="237">
        <v>43962</v>
      </c>
      <c r="K134" s="178">
        <f t="shared" si="4"/>
        <v>2020</v>
      </c>
      <c r="L134" s="178">
        <f t="shared" si="5"/>
        <v>5</v>
      </c>
      <c r="M134" s="237">
        <v>44001</v>
      </c>
      <c r="N134" s="333" t="s">
        <v>4058</v>
      </c>
      <c r="O134" s="343">
        <v>20</v>
      </c>
      <c r="P134" s="179"/>
      <c r="Q134" s="179"/>
      <c r="R134" s="179"/>
      <c r="S134" s="179"/>
      <c r="T134" s="179"/>
      <c r="U134" s="179"/>
      <c r="V134" s="179"/>
      <c r="W134" s="179"/>
      <c r="X134" s="179"/>
      <c r="Y134" s="179"/>
      <c r="Z134" s="179"/>
      <c r="AA134" s="179"/>
      <c r="AB134" s="179"/>
      <c r="AC134" s="179"/>
      <c r="AD134" s="179"/>
      <c r="AE134" s="179"/>
      <c r="AF134" s="179"/>
      <c r="AG134" s="179"/>
      <c r="AH134" s="179"/>
      <c r="AI134" s="179"/>
      <c r="AJ134" s="179"/>
      <c r="AK134" s="179"/>
      <c r="AL134" s="179"/>
      <c r="AM134" s="179"/>
      <c r="AN134" s="179"/>
      <c r="AO134" s="179"/>
      <c r="AP134" s="179"/>
      <c r="AQ134" s="179"/>
      <c r="AR134" s="179"/>
      <c r="AS134" s="179"/>
      <c r="AT134" s="179"/>
      <c r="AU134" s="179"/>
      <c r="AV134" s="179"/>
      <c r="AW134" s="179"/>
      <c r="AX134" s="179"/>
      <c r="AY134" s="179"/>
      <c r="AZ134" s="179"/>
      <c r="BA134" s="179"/>
      <c r="BB134" s="179"/>
      <c r="BC134" s="179"/>
      <c r="BD134" s="179"/>
      <c r="BE134" s="179"/>
      <c r="BF134" s="179"/>
      <c r="BG134" s="179"/>
      <c r="BH134" s="179"/>
      <c r="BI134" s="179"/>
      <c r="BJ134" s="179"/>
      <c r="BK134" s="179"/>
      <c r="BL134" s="179"/>
      <c r="BM134" s="179"/>
      <c r="BN134" s="179"/>
      <c r="BO134" s="179"/>
      <c r="BP134" s="179"/>
      <c r="BQ134" s="179"/>
      <c r="BR134" s="179"/>
      <c r="BS134" s="179"/>
      <c r="BT134" s="179"/>
      <c r="BU134" s="179"/>
      <c r="BV134" s="179"/>
      <c r="BW134" s="179"/>
      <c r="BX134" s="179"/>
      <c r="BY134" s="179"/>
      <c r="BZ134" s="179"/>
      <c r="CA134" s="179"/>
      <c r="CB134" s="179"/>
      <c r="CC134" s="179"/>
      <c r="CD134" s="179"/>
      <c r="CE134" s="179"/>
      <c r="CF134" s="179"/>
      <c r="CG134" s="179"/>
      <c r="CH134" s="179"/>
      <c r="CI134" s="179"/>
      <c r="CJ134" s="179"/>
      <c r="CK134" s="179"/>
      <c r="CL134" s="179"/>
      <c r="CM134" s="179"/>
      <c r="CN134" s="179"/>
      <c r="CO134" s="179"/>
      <c r="CP134" s="179"/>
      <c r="CQ134" s="179"/>
      <c r="CR134" s="179"/>
      <c r="CS134" s="179"/>
      <c r="CT134" s="179"/>
      <c r="CU134" s="179"/>
      <c r="CV134" s="179"/>
      <c r="CW134" s="179"/>
      <c r="CX134" s="179"/>
      <c r="CY134" s="179"/>
      <c r="CZ134" s="179"/>
      <c r="DA134" s="179"/>
      <c r="DB134" s="179"/>
      <c r="DC134" s="179"/>
      <c r="DD134" s="179"/>
      <c r="DE134" s="179"/>
      <c r="DF134" s="179"/>
      <c r="DG134" s="179"/>
      <c r="DH134" s="179"/>
      <c r="DI134" s="179"/>
      <c r="DJ134" s="179"/>
      <c r="DK134" s="179"/>
      <c r="DL134" s="179"/>
      <c r="DM134" s="179"/>
      <c r="DN134" s="179"/>
      <c r="DO134" s="179"/>
      <c r="DP134" s="179"/>
      <c r="DQ134" s="179"/>
      <c r="DR134" s="179"/>
      <c r="DS134" s="179"/>
      <c r="DT134" s="179"/>
      <c r="DU134" s="179"/>
      <c r="DV134" s="179"/>
      <c r="DW134" s="179"/>
      <c r="DX134" s="179"/>
      <c r="DY134" s="179"/>
      <c r="DZ134" s="179"/>
      <c r="EA134" s="179"/>
      <c r="EB134" s="179"/>
      <c r="EC134" s="179"/>
      <c r="ED134" s="179"/>
      <c r="EE134" s="179"/>
      <c r="EF134" s="179"/>
      <c r="EG134" s="179"/>
    </row>
    <row r="135" spans="1:137" s="78" customFormat="1" ht="25.5">
      <c r="A135" s="178">
        <v>134</v>
      </c>
      <c r="B135" s="235" t="s">
        <v>2044</v>
      </c>
      <c r="C135" s="236" t="s">
        <v>3578</v>
      </c>
      <c r="D135" s="191" t="s">
        <v>4064</v>
      </c>
      <c r="E135" s="236" t="s">
        <v>3843</v>
      </c>
      <c r="F135" s="236" t="s">
        <v>3950</v>
      </c>
      <c r="G135" s="236" t="s">
        <v>3843</v>
      </c>
      <c r="H135" s="238">
        <v>43991</v>
      </c>
      <c r="I135" s="235" t="s">
        <v>4055</v>
      </c>
      <c r="J135" s="237">
        <v>43962</v>
      </c>
      <c r="K135" s="178">
        <f t="shared" si="4"/>
        <v>2020</v>
      </c>
      <c r="L135" s="178">
        <f t="shared" si="5"/>
        <v>5</v>
      </c>
      <c r="M135" s="237">
        <v>43992</v>
      </c>
      <c r="N135" s="342">
        <v>5</v>
      </c>
      <c r="O135" s="343">
        <v>55</v>
      </c>
      <c r="P135" s="179"/>
      <c r="Q135" s="179"/>
      <c r="R135" s="179"/>
      <c r="S135" s="179"/>
      <c r="T135" s="179"/>
      <c r="U135" s="179"/>
      <c r="V135" s="179"/>
      <c r="W135" s="179"/>
      <c r="X135" s="179"/>
      <c r="Y135" s="179"/>
      <c r="Z135" s="179"/>
      <c r="AA135" s="179"/>
      <c r="AB135" s="179"/>
      <c r="AC135" s="179"/>
      <c r="AD135" s="179"/>
      <c r="AE135" s="179"/>
      <c r="AF135" s="179"/>
      <c r="AG135" s="179"/>
      <c r="AH135" s="179"/>
      <c r="AI135" s="179"/>
      <c r="AJ135" s="179"/>
      <c r="AK135" s="179"/>
      <c r="AL135" s="179"/>
      <c r="AM135" s="179"/>
      <c r="AN135" s="179"/>
      <c r="AO135" s="179"/>
      <c r="AP135" s="179"/>
      <c r="AQ135" s="179"/>
      <c r="AR135" s="179"/>
      <c r="AS135" s="179"/>
      <c r="AT135" s="179"/>
      <c r="AU135" s="179"/>
      <c r="AV135" s="179"/>
      <c r="AW135" s="179"/>
      <c r="AX135" s="179"/>
      <c r="AY135" s="179"/>
      <c r="AZ135" s="179"/>
      <c r="BA135" s="179"/>
      <c r="BB135" s="179"/>
      <c r="BC135" s="179"/>
      <c r="BD135" s="179"/>
      <c r="BE135" s="179"/>
      <c r="BF135" s="179"/>
      <c r="BG135" s="179"/>
      <c r="BH135" s="179"/>
      <c r="BI135" s="179"/>
      <c r="BJ135" s="179"/>
      <c r="BK135" s="179"/>
      <c r="BL135" s="179"/>
      <c r="BM135" s="179"/>
      <c r="BN135" s="179"/>
      <c r="BO135" s="179"/>
      <c r="BP135" s="179"/>
      <c r="BQ135" s="179"/>
      <c r="BR135" s="179"/>
      <c r="BS135" s="179"/>
      <c r="BT135" s="179"/>
      <c r="BU135" s="179"/>
      <c r="BV135" s="179"/>
      <c r="BW135" s="179"/>
      <c r="BX135" s="179"/>
      <c r="BY135" s="179"/>
      <c r="BZ135" s="179"/>
      <c r="CA135" s="179"/>
      <c r="CB135" s="179"/>
      <c r="CC135" s="179"/>
      <c r="CD135" s="179"/>
      <c r="CE135" s="179"/>
      <c r="CF135" s="179"/>
      <c r="CG135" s="179"/>
      <c r="CH135" s="179"/>
      <c r="CI135" s="179"/>
      <c r="CJ135" s="179"/>
      <c r="CK135" s="179"/>
      <c r="CL135" s="179"/>
      <c r="CM135" s="179"/>
      <c r="CN135" s="179"/>
      <c r="CO135" s="179"/>
      <c r="CP135" s="179"/>
      <c r="CQ135" s="179"/>
      <c r="CR135" s="179"/>
      <c r="CS135" s="179"/>
      <c r="CT135" s="179"/>
      <c r="CU135" s="179"/>
      <c r="CV135" s="179"/>
      <c r="CW135" s="179"/>
      <c r="CX135" s="179"/>
      <c r="CY135" s="179"/>
      <c r="CZ135" s="179"/>
      <c r="DA135" s="179"/>
      <c r="DB135" s="179"/>
      <c r="DC135" s="179"/>
      <c r="DD135" s="179"/>
      <c r="DE135" s="179"/>
      <c r="DF135" s="179"/>
      <c r="DG135" s="179"/>
      <c r="DH135" s="179"/>
      <c r="DI135" s="179"/>
      <c r="DJ135" s="179"/>
      <c r="DK135" s="179"/>
      <c r="DL135" s="179"/>
      <c r="DM135" s="179"/>
      <c r="DN135" s="179"/>
      <c r="DO135" s="179"/>
      <c r="DP135" s="179"/>
      <c r="DQ135" s="179"/>
      <c r="DR135" s="179"/>
      <c r="DS135" s="179"/>
      <c r="DT135" s="179"/>
      <c r="DU135" s="179"/>
      <c r="DV135" s="179"/>
      <c r="DW135" s="179"/>
      <c r="DX135" s="179"/>
      <c r="DY135" s="179"/>
      <c r="DZ135" s="179"/>
      <c r="EA135" s="179"/>
      <c r="EB135" s="179"/>
      <c r="EC135" s="179"/>
      <c r="ED135" s="179"/>
      <c r="EE135" s="179"/>
      <c r="EF135" s="179"/>
      <c r="EG135" s="179"/>
    </row>
    <row r="136" spans="1:137" s="78" customFormat="1" ht="25.5">
      <c r="A136" s="178">
        <v>135</v>
      </c>
      <c r="B136" s="235" t="s">
        <v>2044</v>
      </c>
      <c r="C136" s="236" t="s">
        <v>3653</v>
      </c>
      <c r="D136" s="385" t="s">
        <v>4064</v>
      </c>
      <c r="E136" s="13" t="s">
        <v>1621</v>
      </c>
      <c r="F136" s="236" t="s">
        <v>3951</v>
      </c>
      <c r="G136" s="236" t="s">
        <v>4025</v>
      </c>
      <c r="H136" s="237">
        <v>44011</v>
      </c>
      <c r="I136" s="235" t="s">
        <v>4054</v>
      </c>
      <c r="J136" s="237">
        <v>43965</v>
      </c>
      <c r="K136" s="178">
        <f t="shared" si="4"/>
        <v>2020</v>
      </c>
      <c r="L136" s="178">
        <f t="shared" si="5"/>
        <v>5</v>
      </c>
      <c r="M136" s="237">
        <v>44011</v>
      </c>
      <c r="N136" s="333" t="s">
        <v>4058</v>
      </c>
      <c r="O136" s="343">
        <v>25</v>
      </c>
      <c r="P136" s="179"/>
      <c r="Q136" s="179"/>
      <c r="R136" s="179"/>
      <c r="S136" s="179"/>
      <c r="T136" s="179"/>
      <c r="U136" s="179"/>
      <c r="V136" s="179"/>
      <c r="W136" s="179"/>
      <c r="X136" s="179"/>
      <c r="Y136" s="179"/>
      <c r="Z136" s="179"/>
      <c r="AA136" s="179"/>
      <c r="AB136" s="179"/>
      <c r="AC136" s="179"/>
      <c r="AD136" s="179"/>
      <c r="AE136" s="179"/>
      <c r="AF136" s="179"/>
      <c r="AG136" s="179"/>
      <c r="AH136" s="179"/>
      <c r="AI136" s="179"/>
      <c r="AJ136" s="179"/>
      <c r="AK136" s="179"/>
      <c r="AL136" s="179"/>
      <c r="AM136" s="179"/>
      <c r="AN136" s="179"/>
      <c r="AO136" s="179"/>
      <c r="AP136" s="179"/>
      <c r="AQ136" s="179"/>
      <c r="AR136" s="179"/>
      <c r="AS136" s="179"/>
      <c r="AT136" s="179"/>
      <c r="AU136" s="179"/>
      <c r="AV136" s="179"/>
      <c r="AW136" s="179"/>
      <c r="AX136" s="179"/>
      <c r="AY136" s="179"/>
      <c r="AZ136" s="179"/>
      <c r="BA136" s="179"/>
      <c r="BB136" s="179"/>
      <c r="BC136" s="179"/>
      <c r="BD136" s="179"/>
      <c r="BE136" s="179"/>
      <c r="BF136" s="179"/>
      <c r="BG136" s="179"/>
      <c r="BH136" s="179"/>
      <c r="BI136" s="179"/>
      <c r="BJ136" s="179"/>
      <c r="BK136" s="179"/>
      <c r="BL136" s="179"/>
      <c r="BM136" s="179"/>
      <c r="BN136" s="179"/>
      <c r="BO136" s="179"/>
      <c r="BP136" s="179"/>
      <c r="BQ136" s="179"/>
      <c r="BR136" s="179"/>
      <c r="BS136" s="179"/>
      <c r="BT136" s="179"/>
      <c r="BU136" s="179"/>
      <c r="BV136" s="179"/>
      <c r="BW136" s="179"/>
      <c r="BX136" s="179"/>
      <c r="BY136" s="179"/>
      <c r="BZ136" s="179"/>
      <c r="CA136" s="179"/>
      <c r="CB136" s="179"/>
      <c r="CC136" s="179"/>
      <c r="CD136" s="179"/>
      <c r="CE136" s="179"/>
      <c r="CF136" s="179"/>
      <c r="CG136" s="179"/>
      <c r="CH136" s="179"/>
      <c r="CI136" s="179"/>
      <c r="CJ136" s="179"/>
      <c r="CK136" s="179"/>
      <c r="CL136" s="179"/>
      <c r="CM136" s="179"/>
      <c r="CN136" s="179"/>
      <c r="CO136" s="179"/>
      <c r="CP136" s="179"/>
      <c r="CQ136" s="179"/>
      <c r="CR136" s="179"/>
      <c r="CS136" s="179"/>
      <c r="CT136" s="179"/>
      <c r="CU136" s="179"/>
      <c r="CV136" s="179"/>
      <c r="CW136" s="179"/>
      <c r="CX136" s="179"/>
      <c r="CY136" s="179"/>
      <c r="CZ136" s="179"/>
      <c r="DA136" s="179"/>
      <c r="DB136" s="179"/>
      <c r="DC136" s="179"/>
      <c r="DD136" s="179"/>
      <c r="DE136" s="179"/>
      <c r="DF136" s="179"/>
      <c r="DG136" s="179"/>
      <c r="DH136" s="179"/>
      <c r="DI136" s="179"/>
      <c r="DJ136" s="179"/>
      <c r="DK136" s="179"/>
      <c r="DL136" s="179"/>
      <c r="DM136" s="179"/>
      <c r="DN136" s="179"/>
      <c r="DO136" s="179"/>
      <c r="DP136" s="179"/>
      <c r="DQ136" s="179"/>
      <c r="DR136" s="179"/>
      <c r="DS136" s="179"/>
      <c r="DT136" s="179"/>
      <c r="DU136" s="179"/>
      <c r="DV136" s="179"/>
      <c r="DW136" s="179"/>
      <c r="DX136" s="179"/>
      <c r="DY136" s="179"/>
      <c r="DZ136" s="179"/>
      <c r="EA136" s="179"/>
      <c r="EB136" s="179"/>
      <c r="EC136" s="179"/>
      <c r="ED136" s="179"/>
      <c r="EE136" s="179"/>
      <c r="EF136" s="179"/>
      <c r="EG136" s="179"/>
    </row>
    <row r="137" spans="1:137" s="354" customFormat="1" ht="38.25">
      <c r="A137" s="178">
        <v>136</v>
      </c>
      <c r="B137" s="235" t="s">
        <v>2044</v>
      </c>
      <c r="C137" s="236" t="s">
        <v>3573</v>
      </c>
      <c r="D137" s="191" t="s">
        <v>4064</v>
      </c>
      <c r="E137" s="189" t="s">
        <v>3591</v>
      </c>
      <c r="F137" s="236" t="s">
        <v>3952</v>
      </c>
      <c r="G137" s="236" t="s">
        <v>3591</v>
      </c>
      <c r="H137" s="237">
        <v>44026</v>
      </c>
      <c r="I137" s="235" t="s">
        <v>4054</v>
      </c>
      <c r="J137" s="204">
        <v>43976</v>
      </c>
      <c r="K137" s="178">
        <f t="shared" si="4"/>
        <v>2020</v>
      </c>
      <c r="L137" s="178">
        <f t="shared" si="5"/>
        <v>5</v>
      </c>
      <c r="M137" s="204">
        <v>44027</v>
      </c>
      <c r="N137" s="445">
        <v>5</v>
      </c>
      <c r="O137" s="343">
        <v>50</v>
      </c>
      <c r="P137" s="179"/>
      <c r="Q137" s="179"/>
      <c r="R137" s="179"/>
      <c r="S137" s="179"/>
      <c r="T137" s="179"/>
      <c r="U137" s="179"/>
      <c r="V137" s="179"/>
      <c r="W137" s="179"/>
      <c r="X137" s="179"/>
      <c r="Y137" s="179"/>
      <c r="Z137" s="179"/>
      <c r="AA137" s="179"/>
      <c r="AB137" s="179"/>
      <c r="AC137" s="179"/>
      <c r="AD137" s="179"/>
      <c r="AE137" s="179"/>
      <c r="AF137" s="179"/>
      <c r="AG137" s="179"/>
      <c r="AH137" s="179"/>
      <c r="AI137" s="179"/>
      <c r="AJ137" s="179"/>
      <c r="AK137" s="179"/>
      <c r="AL137" s="179"/>
      <c r="AM137" s="179"/>
      <c r="AN137" s="179"/>
      <c r="AO137" s="179"/>
      <c r="AP137" s="179"/>
      <c r="AQ137" s="179"/>
      <c r="AR137" s="179"/>
      <c r="AS137" s="179"/>
      <c r="AT137" s="179"/>
      <c r="AU137" s="179"/>
      <c r="AV137" s="179"/>
      <c r="AW137" s="179"/>
      <c r="AX137" s="179"/>
      <c r="AY137" s="179"/>
      <c r="AZ137" s="179"/>
      <c r="BA137" s="179"/>
      <c r="BB137" s="179"/>
      <c r="BC137" s="179"/>
      <c r="BD137" s="179"/>
      <c r="BE137" s="179"/>
      <c r="BF137" s="179"/>
      <c r="BG137" s="179"/>
      <c r="BH137" s="179"/>
      <c r="BI137" s="179"/>
      <c r="BJ137" s="179"/>
      <c r="BK137" s="179"/>
      <c r="BL137" s="179"/>
      <c r="BM137" s="179"/>
      <c r="BN137" s="179"/>
      <c r="BO137" s="179"/>
      <c r="BP137" s="179"/>
      <c r="BQ137" s="179"/>
      <c r="BR137" s="179"/>
      <c r="BS137" s="179"/>
      <c r="BT137" s="179"/>
      <c r="BU137" s="179"/>
      <c r="BV137" s="179"/>
      <c r="BW137" s="179"/>
      <c r="BX137" s="179"/>
      <c r="BY137" s="179"/>
      <c r="BZ137" s="179"/>
      <c r="CA137" s="179"/>
      <c r="CB137" s="179"/>
      <c r="CC137" s="179"/>
      <c r="CD137" s="179"/>
      <c r="CE137" s="179"/>
      <c r="CF137" s="179"/>
      <c r="CG137" s="179"/>
      <c r="CH137" s="179"/>
      <c r="CI137" s="179"/>
      <c r="CJ137" s="179"/>
      <c r="CK137" s="179"/>
      <c r="CL137" s="179"/>
      <c r="CM137" s="179"/>
      <c r="CN137" s="179"/>
      <c r="CO137" s="179"/>
      <c r="CP137" s="179"/>
      <c r="CQ137" s="179"/>
      <c r="CR137" s="179"/>
      <c r="CS137" s="179"/>
      <c r="CT137" s="179"/>
      <c r="CU137" s="179"/>
      <c r="CV137" s="179"/>
      <c r="CW137" s="179"/>
      <c r="CX137" s="179"/>
      <c r="CY137" s="179"/>
      <c r="CZ137" s="179"/>
      <c r="DA137" s="179"/>
      <c r="DB137" s="179"/>
      <c r="DC137" s="179"/>
      <c r="DD137" s="179"/>
      <c r="DE137" s="179"/>
      <c r="DF137" s="179"/>
      <c r="DG137" s="179"/>
      <c r="DH137" s="179"/>
      <c r="DI137" s="179"/>
      <c r="DJ137" s="179"/>
      <c r="DK137" s="179"/>
      <c r="DL137" s="179"/>
      <c r="DM137" s="179"/>
      <c r="DN137" s="179"/>
      <c r="DO137" s="179"/>
      <c r="DP137" s="179"/>
      <c r="DQ137" s="179"/>
      <c r="DR137" s="179"/>
      <c r="DS137" s="179"/>
      <c r="DT137" s="179"/>
      <c r="DU137" s="179"/>
      <c r="DV137" s="179"/>
      <c r="DW137" s="179"/>
      <c r="DX137" s="179"/>
      <c r="DY137" s="179"/>
      <c r="DZ137" s="179"/>
      <c r="EA137" s="179"/>
      <c r="EB137" s="179"/>
      <c r="EC137" s="179"/>
      <c r="ED137" s="179"/>
      <c r="EE137" s="179"/>
      <c r="EF137" s="179"/>
      <c r="EG137" s="179"/>
    </row>
    <row r="138" spans="1:137" s="354" customFormat="1" ht="38.25">
      <c r="A138" s="178">
        <v>137</v>
      </c>
      <c r="B138" s="235" t="s">
        <v>2044</v>
      </c>
      <c r="C138" s="236" t="s">
        <v>3573</v>
      </c>
      <c r="D138" s="191" t="s">
        <v>4064</v>
      </c>
      <c r="E138" s="189" t="s">
        <v>3595</v>
      </c>
      <c r="F138" s="236" t="s">
        <v>3953</v>
      </c>
      <c r="G138" s="236" t="s">
        <v>3595</v>
      </c>
      <c r="H138" s="237">
        <v>44026</v>
      </c>
      <c r="I138" s="235" t="s">
        <v>4054</v>
      </c>
      <c r="J138" s="204">
        <v>43976</v>
      </c>
      <c r="K138" s="178">
        <f t="shared" si="4"/>
        <v>2020</v>
      </c>
      <c r="L138" s="178">
        <f t="shared" si="5"/>
        <v>5</v>
      </c>
      <c r="M138" s="204">
        <v>44027</v>
      </c>
      <c r="N138" s="446"/>
      <c r="O138" s="343">
        <v>50</v>
      </c>
      <c r="P138" s="179"/>
      <c r="Q138" s="179"/>
      <c r="R138" s="179"/>
      <c r="S138" s="179"/>
      <c r="T138" s="179"/>
      <c r="U138" s="179"/>
      <c r="V138" s="179"/>
      <c r="W138" s="179"/>
      <c r="X138" s="179"/>
      <c r="Y138" s="179"/>
      <c r="Z138" s="179"/>
      <c r="AA138" s="179"/>
      <c r="AB138" s="179"/>
      <c r="AC138" s="179"/>
      <c r="AD138" s="179"/>
      <c r="AE138" s="179"/>
      <c r="AF138" s="179"/>
      <c r="AG138" s="179"/>
      <c r="AH138" s="179"/>
      <c r="AI138" s="179"/>
      <c r="AJ138" s="179"/>
      <c r="AK138" s="179"/>
      <c r="AL138" s="179"/>
      <c r="AM138" s="179"/>
      <c r="AN138" s="179"/>
      <c r="AO138" s="179"/>
      <c r="AP138" s="179"/>
      <c r="AQ138" s="179"/>
      <c r="AR138" s="179"/>
      <c r="AS138" s="179"/>
      <c r="AT138" s="179"/>
      <c r="AU138" s="179"/>
      <c r="AV138" s="179"/>
      <c r="AW138" s="179"/>
      <c r="AX138" s="179"/>
      <c r="AY138" s="179"/>
      <c r="AZ138" s="179"/>
      <c r="BA138" s="179"/>
      <c r="BB138" s="179"/>
      <c r="BC138" s="179"/>
      <c r="BD138" s="179"/>
      <c r="BE138" s="179"/>
      <c r="BF138" s="179"/>
      <c r="BG138" s="179"/>
      <c r="BH138" s="179"/>
      <c r="BI138" s="179"/>
      <c r="BJ138" s="179"/>
      <c r="BK138" s="179"/>
      <c r="BL138" s="179"/>
      <c r="BM138" s="179"/>
      <c r="BN138" s="179"/>
      <c r="BO138" s="179"/>
      <c r="BP138" s="179"/>
      <c r="BQ138" s="179"/>
      <c r="BR138" s="179"/>
      <c r="BS138" s="179"/>
      <c r="BT138" s="179"/>
      <c r="BU138" s="179"/>
      <c r="BV138" s="179"/>
      <c r="BW138" s="179"/>
      <c r="BX138" s="179"/>
      <c r="BY138" s="179"/>
      <c r="BZ138" s="179"/>
      <c r="CA138" s="179"/>
      <c r="CB138" s="179"/>
      <c r="CC138" s="179"/>
      <c r="CD138" s="179"/>
      <c r="CE138" s="179"/>
      <c r="CF138" s="179"/>
      <c r="CG138" s="179"/>
      <c r="CH138" s="179"/>
      <c r="CI138" s="179"/>
      <c r="CJ138" s="179"/>
      <c r="CK138" s="179"/>
      <c r="CL138" s="179"/>
      <c r="CM138" s="179"/>
      <c r="CN138" s="179"/>
      <c r="CO138" s="179"/>
      <c r="CP138" s="179"/>
      <c r="CQ138" s="179"/>
      <c r="CR138" s="179"/>
      <c r="CS138" s="179"/>
      <c r="CT138" s="179"/>
      <c r="CU138" s="179"/>
      <c r="CV138" s="179"/>
      <c r="CW138" s="179"/>
      <c r="CX138" s="179"/>
      <c r="CY138" s="179"/>
      <c r="CZ138" s="179"/>
      <c r="DA138" s="179"/>
      <c r="DB138" s="179"/>
      <c r="DC138" s="179"/>
      <c r="DD138" s="179"/>
      <c r="DE138" s="179"/>
      <c r="DF138" s="179"/>
      <c r="DG138" s="179"/>
      <c r="DH138" s="179"/>
      <c r="DI138" s="179"/>
      <c r="DJ138" s="179"/>
      <c r="DK138" s="179"/>
      <c r="DL138" s="179"/>
      <c r="DM138" s="179"/>
      <c r="DN138" s="179"/>
      <c r="DO138" s="179"/>
      <c r="DP138" s="179"/>
      <c r="DQ138" s="179"/>
      <c r="DR138" s="179"/>
      <c r="DS138" s="179"/>
      <c r="DT138" s="179"/>
      <c r="DU138" s="179"/>
      <c r="DV138" s="179"/>
      <c r="DW138" s="179"/>
      <c r="DX138" s="179"/>
      <c r="DY138" s="179"/>
      <c r="DZ138" s="179"/>
      <c r="EA138" s="179"/>
      <c r="EB138" s="179"/>
      <c r="EC138" s="179"/>
      <c r="ED138" s="179"/>
      <c r="EE138" s="179"/>
      <c r="EF138" s="179"/>
      <c r="EG138" s="179"/>
    </row>
    <row r="139" spans="1:137" s="354" customFormat="1" ht="25.5">
      <c r="A139" s="178">
        <v>138</v>
      </c>
      <c r="B139" s="235" t="s">
        <v>2044</v>
      </c>
      <c r="C139" s="236" t="s">
        <v>3573</v>
      </c>
      <c r="D139" s="236" t="s">
        <v>3638</v>
      </c>
      <c r="E139" s="189" t="s">
        <v>3844</v>
      </c>
      <c r="F139" s="236" t="s">
        <v>3954</v>
      </c>
      <c r="G139" s="236" t="s">
        <v>3638</v>
      </c>
      <c r="H139" s="237">
        <v>44026</v>
      </c>
      <c r="I139" s="235" t="s">
        <v>4054</v>
      </c>
      <c r="J139" s="204">
        <v>43992</v>
      </c>
      <c r="K139" s="178">
        <f t="shared" si="4"/>
        <v>2020</v>
      </c>
      <c r="L139" s="178">
        <f t="shared" si="5"/>
        <v>6</v>
      </c>
      <c r="M139" s="204">
        <v>44027</v>
      </c>
      <c r="N139" s="447"/>
      <c r="O139" s="343">
        <v>20</v>
      </c>
      <c r="P139" s="179"/>
      <c r="Q139" s="179"/>
      <c r="R139" s="179"/>
      <c r="S139" s="179"/>
      <c r="T139" s="179"/>
      <c r="U139" s="179"/>
      <c r="V139" s="179"/>
      <c r="W139" s="179"/>
      <c r="X139" s="179"/>
      <c r="Y139" s="179"/>
      <c r="Z139" s="179"/>
      <c r="AA139" s="179"/>
      <c r="AB139" s="179"/>
      <c r="AC139" s="179"/>
      <c r="AD139" s="179"/>
      <c r="AE139" s="179"/>
      <c r="AF139" s="179"/>
      <c r="AG139" s="179"/>
      <c r="AH139" s="179"/>
      <c r="AI139" s="179"/>
      <c r="AJ139" s="179"/>
      <c r="AK139" s="179"/>
      <c r="AL139" s="179"/>
      <c r="AM139" s="179"/>
      <c r="AN139" s="179"/>
      <c r="AO139" s="179"/>
      <c r="AP139" s="179"/>
      <c r="AQ139" s="179"/>
      <c r="AR139" s="179"/>
      <c r="AS139" s="179"/>
      <c r="AT139" s="179"/>
      <c r="AU139" s="179"/>
      <c r="AV139" s="179"/>
      <c r="AW139" s="179"/>
      <c r="AX139" s="179"/>
      <c r="AY139" s="179"/>
      <c r="AZ139" s="179"/>
      <c r="BA139" s="179"/>
      <c r="BB139" s="179"/>
      <c r="BC139" s="179"/>
      <c r="BD139" s="179"/>
      <c r="BE139" s="179"/>
      <c r="BF139" s="179"/>
      <c r="BG139" s="179"/>
      <c r="BH139" s="179"/>
      <c r="BI139" s="179"/>
      <c r="BJ139" s="179"/>
      <c r="BK139" s="179"/>
      <c r="BL139" s="179"/>
      <c r="BM139" s="179"/>
      <c r="BN139" s="179"/>
      <c r="BO139" s="179"/>
      <c r="BP139" s="179"/>
      <c r="BQ139" s="179"/>
      <c r="BR139" s="179"/>
      <c r="BS139" s="179"/>
      <c r="BT139" s="179"/>
      <c r="BU139" s="179"/>
      <c r="BV139" s="179"/>
      <c r="BW139" s="179"/>
      <c r="BX139" s="179"/>
      <c r="BY139" s="179"/>
      <c r="BZ139" s="179"/>
      <c r="CA139" s="179"/>
      <c r="CB139" s="179"/>
      <c r="CC139" s="179"/>
      <c r="CD139" s="179"/>
      <c r="CE139" s="179"/>
      <c r="CF139" s="179"/>
      <c r="CG139" s="179"/>
      <c r="CH139" s="179"/>
      <c r="CI139" s="179"/>
      <c r="CJ139" s="179"/>
      <c r="CK139" s="179"/>
      <c r="CL139" s="179"/>
      <c r="CM139" s="179"/>
      <c r="CN139" s="179"/>
      <c r="CO139" s="179"/>
      <c r="CP139" s="179"/>
      <c r="CQ139" s="179"/>
      <c r="CR139" s="179"/>
      <c r="CS139" s="179"/>
      <c r="CT139" s="179"/>
      <c r="CU139" s="179"/>
      <c r="CV139" s="179"/>
      <c r="CW139" s="179"/>
      <c r="CX139" s="179"/>
      <c r="CY139" s="179"/>
      <c r="CZ139" s="179"/>
      <c r="DA139" s="179"/>
      <c r="DB139" s="179"/>
      <c r="DC139" s="179"/>
      <c r="DD139" s="179"/>
      <c r="DE139" s="179"/>
      <c r="DF139" s="179"/>
      <c r="DG139" s="179"/>
      <c r="DH139" s="179"/>
      <c r="DI139" s="179"/>
      <c r="DJ139" s="179"/>
      <c r="DK139" s="179"/>
      <c r="DL139" s="179"/>
      <c r="DM139" s="179"/>
      <c r="DN139" s="179"/>
      <c r="DO139" s="179"/>
      <c r="DP139" s="179"/>
      <c r="DQ139" s="179"/>
      <c r="DR139" s="179"/>
      <c r="DS139" s="179"/>
      <c r="DT139" s="179"/>
      <c r="DU139" s="179"/>
      <c r="DV139" s="179"/>
      <c r="DW139" s="179"/>
      <c r="DX139" s="179"/>
      <c r="DY139" s="179"/>
      <c r="DZ139" s="179"/>
      <c r="EA139" s="179"/>
      <c r="EB139" s="179"/>
      <c r="EC139" s="179"/>
      <c r="ED139" s="179"/>
      <c r="EE139" s="179"/>
      <c r="EF139" s="179"/>
      <c r="EG139" s="179"/>
    </row>
    <row r="140" spans="1:137" s="354" customFormat="1">
      <c r="A140" s="235">
        <v>139</v>
      </c>
      <c r="B140" s="235" t="s">
        <v>2048</v>
      </c>
      <c r="C140" s="236" t="s">
        <v>3573</v>
      </c>
      <c r="D140" s="203" t="s">
        <v>4072</v>
      </c>
      <c r="E140" s="236" t="s">
        <v>2076</v>
      </c>
      <c r="F140" s="236" t="s">
        <v>3955</v>
      </c>
      <c r="G140" s="236" t="s">
        <v>4010</v>
      </c>
      <c r="H140" s="235" t="s">
        <v>3614</v>
      </c>
      <c r="I140" s="202"/>
      <c r="J140" s="204">
        <v>43992</v>
      </c>
      <c r="K140" s="235">
        <f t="shared" si="4"/>
        <v>2020</v>
      </c>
      <c r="L140" s="235">
        <f t="shared" si="5"/>
        <v>6</v>
      </c>
      <c r="M140" s="204"/>
      <c r="N140" s="336"/>
      <c r="O140" s="488">
        <v>20</v>
      </c>
      <c r="P140" s="179"/>
      <c r="Q140" s="179"/>
      <c r="R140" s="179"/>
      <c r="S140" s="179"/>
      <c r="T140" s="179"/>
      <c r="U140" s="179"/>
      <c r="V140" s="179"/>
      <c r="W140" s="179"/>
      <c r="X140" s="179"/>
      <c r="Y140" s="179"/>
      <c r="Z140" s="179"/>
      <c r="AA140" s="179"/>
      <c r="AB140" s="179"/>
      <c r="AC140" s="179"/>
      <c r="AD140" s="179"/>
      <c r="AE140" s="179"/>
      <c r="AF140" s="179"/>
      <c r="AG140" s="179"/>
      <c r="AH140" s="179"/>
      <c r="AI140" s="179"/>
      <c r="AJ140" s="179"/>
      <c r="AK140" s="179"/>
      <c r="AL140" s="179"/>
      <c r="AM140" s="179"/>
      <c r="AN140" s="179"/>
      <c r="AO140" s="179"/>
      <c r="AP140" s="179"/>
      <c r="AQ140" s="179"/>
      <c r="AR140" s="179"/>
      <c r="AS140" s="179"/>
      <c r="AT140" s="179"/>
      <c r="AU140" s="179"/>
      <c r="AV140" s="179"/>
      <c r="AW140" s="179"/>
      <c r="AX140" s="179"/>
      <c r="AY140" s="179"/>
      <c r="AZ140" s="179"/>
      <c r="BA140" s="179"/>
      <c r="BB140" s="179"/>
      <c r="BC140" s="179"/>
      <c r="BD140" s="179"/>
      <c r="BE140" s="179"/>
      <c r="BF140" s="179"/>
      <c r="BG140" s="179"/>
      <c r="BH140" s="179"/>
      <c r="BI140" s="179"/>
      <c r="BJ140" s="179"/>
      <c r="BK140" s="179"/>
      <c r="BL140" s="179"/>
      <c r="BM140" s="179"/>
      <c r="BN140" s="179"/>
      <c r="BO140" s="179"/>
      <c r="BP140" s="179"/>
      <c r="BQ140" s="179"/>
      <c r="BR140" s="179"/>
      <c r="BS140" s="179"/>
      <c r="BT140" s="179"/>
      <c r="BU140" s="179"/>
      <c r="BV140" s="179"/>
      <c r="BW140" s="179"/>
      <c r="BX140" s="179"/>
      <c r="BY140" s="179"/>
      <c r="BZ140" s="179"/>
      <c r="CA140" s="179"/>
      <c r="CB140" s="179"/>
      <c r="CC140" s="179"/>
      <c r="CD140" s="179"/>
      <c r="CE140" s="179"/>
      <c r="CF140" s="179"/>
      <c r="CG140" s="179"/>
      <c r="CH140" s="179"/>
      <c r="CI140" s="179"/>
      <c r="CJ140" s="179"/>
      <c r="CK140" s="179"/>
      <c r="CL140" s="179"/>
      <c r="CM140" s="179"/>
      <c r="CN140" s="179"/>
      <c r="CO140" s="179"/>
      <c r="CP140" s="179"/>
      <c r="CQ140" s="179"/>
      <c r="CR140" s="179"/>
      <c r="CS140" s="179"/>
      <c r="CT140" s="179"/>
      <c r="CU140" s="179"/>
      <c r="CV140" s="179"/>
      <c r="CW140" s="179"/>
      <c r="CX140" s="179"/>
      <c r="CY140" s="179"/>
      <c r="CZ140" s="179"/>
      <c r="DA140" s="179"/>
      <c r="DB140" s="179"/>
      <c r="DC140" s="179"/>
      <c r="DD140" s="179"/>
      <c r="DE140" s="179"/>
      <c r="DF140" s="179"/>
      <c r="DG140" s="179"/>
      <c r="DH140" s="179"/>
      <c r="DI140" s="179"/>
      <c r="DJ140" s="179"/>
      <c r="DK140" s="179"/>
      <c r="DL140" s="179"/>
      <c r="DM140" s="179"/>
      <c r="DN140" s="179"/>
      <c r="DO140" s="179"/>
      <c r="DP140" s="179"/>
      <c r="DQ140" s="179"/>
      <c r="DR140" s="179"/>
      <c r="DS140" s="179"/>
      <c r="DT140" s="179"/>
      <c r="DU140" s="179"/>
      <c r="DV140" s="179"/>
      <c r="DW140" s="179"/>
      <c r="DX140" s="179"/>
      <c r="DY140" s="179"/>
      <c r="DZ140" s="179"/>
      <c r="EA140" s="179"/>
      <c r="EB140" s="179"/>
      <c r="EC140" s="179"/>
      <c r="ED140" s="179"/>
      <c r="EE140" s="179"/>
      <c r="EF140" s="179"/>
      <c r="EG140" s="179"/>
    </row>
    <row r="141" spans="1:137" s="354" customFormat="1" ht="25.5">
      <c r="A141" s="494">
        <v>140</v>
      </c>
      <c r="B141" s="487" t="s">
        <v>2049</v>
      </c>
      <c r="C141" s="489" t="s">
        <v>3602</v>
      </c>
      <c r="D141" s="385" t="s">
        <v>4064</v>
      </c>
      <c r="E141" s="505" t="s">
        <v>1621</v>
      </c>
      <c r="F141" s="489" t="s">
        <v>3956</v>
      </c>
      <c r="G141" s="489" t="s">
        <v>4025</v>
      </c>
      <c r="H141" s="487" t="s">
        <v>3590</v>
      </c>
      <c r="I141" s="487"/>
      <c r="J141" s="491">
        <v>43978</v>
      </c>
      <c r="K141" s="494">
        <f t="shared" si="4"/>
        <v>2020</v>
      </c>
      <c r="L141" s="494">
        <f t="shared" si="5"/>
        <v>5</v>
      </c>
      <c r="M141" s="491"/>
      <c r="N141" s="492"/>
      <c r="O141" s="500"/>
      <c r="P141" s="179"/>
      <c r="Q141" s="179"/>
      <c r="R141" s="179"/>
      <c r="S141" s="179"/>
      <c r="T141" s="179"/>
      <c r="U141" s="179"/>
      <c r="V141" s="179"/>
      <c r="W141" s="179"/>
      <c r="X141" s="179"/>
      <c r="Y141" s="179"/>
      <c r="Z141" s="179"/>
      <c r="AA141" s="179"/>
      <c r="AB141" s="179"/>
      <c r="AC141" s="179"/>
      <c r="AD141" s="179"/>
      <c r="AE141" s="179"/>
      <c r="AF141" s="179"/>
      <c r="AG141" s="179"/>
      <c r="AH141" s="179"/>
      <c r="AI141" s="179"/>
      <c r="AJ141" s="179"/>
      <c r="AK141" s="179"/>
      <c r="AL141" s="179"/>
      <c r="AM141" s="179"/>
      <c r="AN141" s="179"/>
      <c r="AO141" s="179"/>
      <c r="AP141" s="179"/>
      <c r="AQ141" s="179"/>
      <c r="AR141" s="179"/>
      <c r="AS141" s="179"/>
      <c r="AT141" s="179"/>
      <c r="AU141" s="179"/>
      <c r="AV141" s="179"/>
      <c r="AW141" s="179"/>
      <c r="AX141" s="179"/>
      <c r="AY141" s="179"/>
      <c r="AZ141" s="179"/>
      <c r="BA141" s="179"/>
      <c r="BB141" s="179"/>
      <c r="BC141" s="179"/>
      <c r="BD141" s="179"/>
      <c r="BE141" s="179"/>
      <c r="BF141" s="179"/>
      <c r="BG141" s="179"/>
      <c r="BH141" s="179"/>
      <c r="BI141" s="179"/>
      <c r="BJ141" s="179"/>
      <c r="BK141" s="179"/>
      <c r="BL141" s="179"/>
      <c r="BM141" s="179"/>
      <c r="BN141" s="179"/>
      <c r="BO141" s="179"/>
      <c r="BP141" s="179"/>
      <c r="BQ141" s="179"/>
      <c r="BR141" s="179"/>
      <c r="BS141" s="179"/>
      <c r="BT141" s="179"/>
      <c r="BU141" s="179"/>
      <c r="BV141" s="179"/>
      <c r="BW141" s="179"/>
      <c r="BX141" s="179"/>
      <c r="BY141" s="179"/>
      <c r="BZ141" s="179"/>
      <c r="CA141" s="179"/>
      <c r="CB141" s="179"/>
      <c r="CC141" s="179"/>
      <c r="CD141" s="179"/>
      <c r="CE141" s="179"/>
      <c r="CF141" s="179"/>
      <c r="CG141" s="179"/>
      <c r="CH141" s="179"/>
      <c r="CI141" s="179"/>
      <c r="CJ141" s="179"/>
      <c r="CK141" s="179"/>
      <c r="CL141" s="179"/>
      <c r="CM141" s="179"/>
      <c r="CN141" s="179"/>
      <c r="CO141" s="179"/>
      <c r="CP141" s="179"/>
      <c r="CQ141" s="179"/>
      <c r="CR141" s="179"/>
      <c r="CS141" s="179"/>
      <c r="CT141" s="179"/>
      <c r="CU141" s="179"/>
      <c r="CV141" s="179"/>
      <c r="CW141" s="179"/>
      <c r="CX141" s="179"/>
      <c r="CY141" s="179"/>
      <c r="CZ141" s="179"/>
      <c r="DA141" s="179"/>
      <c r="DB141" s="179"/>
      <c r="DC141" s="179"/>
      <c r="DD141" s="179"/>
      <c r="DE141" s="179"/>
      <c r="DF141" s="179"/>
      <c r="DG141" s="179"/>
      <c r="DH141" s="179"/>
      <c r="DI141" s="179"/>
      <c r="DJ141" s="179"/>
      <c r="DK141" s="179"/>
      <c r="DL141" s="179"/>
      <c r="DM141" s="179"/>
      <c r="DN141" s="179"/>
      <c r="DO141" s="179"/>
      <c r="DP141" s="179"/>
      <c r="DQ141" s="179"/>
      <c r="DR141" s="179"/>
      <c r="DS141" s="179"/>
      <c r="DT141" s="179"/>
      <c r="DU141" s="179"/>
      <c r="DV141" s="179"/>
      <c r="DW141" s="179"/>
      <c r="DX141" s="179"/>
      <c r="DY141" s="179"/>
      <c r="DZ141" s="179"/>
      <c r="EA141" s="179"/>
      <c r="EB141" s="179"/>
      <c r="EC141" s="179"/>
      <c r="ED141" s="179"/>
      <c r="EE141" s="179"/>
      <c r="EF141" s="179"/>
      <c r="EG141" s="179"/>
    </row>
    <row r="142" spans="1:137" s="354" customFormat="1" ht="25.5">
      <c r="A142" s="494">
        <v>141</v>
      </c>
      <c r="B142" s="487" t="s">
        <v>2049</v>
      </c>
      <c r="C142" s="489" t="s">
        <v>3603</v>
      </c>
      <c r="D142" s="203" t="s">
        <v>4066</v>
      </c>
      <c r="E142" s="496" t="s">
        <v>3825</v>
      </c>
      <c r="F142" s="489" t="s">
        <v>3957</v>
      </c>
      <c r="G142" s="489" t="s">
        <v>4046</v>
      </c>
      <c r="H142" s="487" t="s">
        <v>3614</v>
      </c>
      <c r="I142" s="487"/>
      <c r="J142" s="491">
        <v>43978</v>
      </c>
      <c r="K142" s="494">
        <f t="shared" si="4"/>
        <v>2020</v>
      </c>
      <c r="L142" s="494">
        <f t="shared" si="5"/>
        <v>5</v>
      </c>
      <c r="M142" s="491"/>
      <c r="N142" s="492"/>
      <c r="O142" s="500">
        <v>50</v>
      </c>
      <c r="P142" s="179"/>
      <c r="Q142" s="179"/>
      <c r="R142" s="179"/>
      <c r="S142" s="179"/>
      <c r="T142" s="179"/>
      <c r="U142" s="179"/>
      <c r="V142" s="179"/>
      <c r="W142" s="179"/>
      <c r="X142" s="179"/>
      <c r="Y142" s="179"/>
      <c r="Z142" s="179"/>
      <c r="AA142" s="179"/>
      <c r="AB142" s="179"/>
      <c r="AC142" s="179"/>
      <c r="AD142" s="179"/>
      <c r="AE142" s="179"/>
      <c r="AF142" s="179"/>
      <c r="AG142" s="179"/>
      <c r="AH142" s="179"/>
      <c r="AI142" s="179"/>
      <c r="AJ142" s="179"/>
      <c r="AK142" s="179"/>
      <c r="AL142" s="179"/>
      <c r="AM142" s="179"/>
      <c r="AN142" s="179"/>
      <c r="AO142" s="179"/>
      <c r="AP142" s="179"/>
      <c r="AQ142" s="179"/>
      <c r="AR142" s="179"/>
      <c r="AS142" s="179"/>
      <c r="AT142" s="179"/>
      <c r="AU142" s="179"/>
      <c r="AV142" s="179"/>
      <c r="AW142" s="179"/>
      <c r="AX142" s="179"/>
      <c r="AY142" s="179"/>
      <c r="AZ142" s="179"/>
      <c r="BA142" s="179"/>
      <c r="BB142" s="179"/>
      <c r="BC142" s="179"/>
      <c r="BD142" s="179"/>
      <c r="BE142" s="179"/>
      <c r="BF142" s="179"/>
      <c r="BG142" s="179"/>
      <c r="BH142" s="179"/>
      <c r="BI142" s="179"/>
      <c r="BJ142" s="179"/>
      <c r="BK142" s="179"/>
      <c r="BL142" s="179"/>
      <c r="BM142" s="179"/>
      <c r="BN142" s="179"/>
      <c r="BO142" s="179"/>
      <c r="BP142" s="179"/>
      <c r="BQ142" s="179"/>
      <c r="BR142" s="179"/>
      <c r="BS142" s="179"/>
      <c r="BT142" s="179"/>
      <c r="BU142" s="179"/>
      <c r="BV142" s="179"/>
      <c r="BW142" s="179"/>
      <c r="BX142" s="179"/>
      <c r="BY142" s="179"/>
      <c r="BZ142" s="179"/>
      <c r="CA142" s="179"/>
      <c r="CB142" s="179"/>
      <c r="CC142" s="179"/>
      <c r="CD142" s="179"/>
      <c r="CE142" s="179"/>
      <c r="CF142" s="179"/>
      <c r="CG142" s="179"/>
      <c r="CH142" s="179"/>
      <c r="CI142" s="179"/>
      <c r="CJ142" s="179"/>
      <c r="CK142" s="179"/>
      <c r="CL142" s="179"/>
      <c r="CM142" s="179"/>
      <c r="CN142" s="179"/>
      <c r="CO142" s="179"/>
      <c r="CP142" s="179"/>
      <c r="CQ142" s="179"/>
      <c r="CR142" s="179"/>
      <c r="CS142" s="179"/>
      <c r="CT142" s="179"/>
      <c r="CU142" s="179"/>
      <c r="CV142" s="179"/>
      <c r="CW142" s="179"/>
      <c r="CX142" s="179"/>
      <c r="CY142" s="179"/>
      <c r="CZ142" s="179"/>
      <c r="DA142" s="179"/>
      <c r="DB142" s="179"/>
      <c r="DC142" s="179"/>
      <c r="DD142" s="179"/>
      <c r="DE142" s="179"/>
      <c r="DF142" s="179"/>
      <c r="DG142" s="179"/>
      <c r="DH142" s="179"/>
      <c r="DI142" s="179"/>
      <c r="DJ142" s="179"/>
      <c r="DK142" s="179"/>
      <c r="DL142" s="179"/>
      <c r="DM142" s="179"/>
      <c r="DN142" s="179"/>
      <c r="DO142" s="179"/>
      <c r="DP142" s="179"/>
      <c r="DQ142" s="179"/>
      <c r="DR142" s="179"/>
      <c r="DS142" s="179"/>
      <c r="DT142" s="179"/>
      <c r="DU142" s="179"/>
      <c r="DV142" s="179"/>
      <c r="DW142" s="179"/>
      <c r="DX142" s="179"/>
      <c r="DY142" s="179"/>
      <c r="DZ142" s="179"/>
      <c r="EA142" s="179"/>
      <c r="EB142" s="179"/>
      <c r="EC142" s="179"/>
      <c r="ED142" s="179"/>
      <c r="EE142" s="179"/>
      <c r="EF142" s="179"/>
      <c r="EG142" s="179"/>
    </row>
    <row r="143" spans="1:137" s="354" customFormat="1" ht="38.25">
      <c r="A143" s="178">
        <v>142</v>
      </c>
      <c r="B143" s="487" t="s">
        <v>3561</v>
      </c>
      <c r="C143" s="236" t="s">
        <v>3611</v>
      </c>
      <c r="D143" s="385" t="s">
        <v>4064</v>
      </c>
      <c r="E143" s="13" t="s">
        <v>1621</v>
      </c>
      <c r="F143" s="236" t="s">
        <v>3958</v>
      </c>
      <c r="G143" s="236" t="s">
        <v>4047</v>
      </c>
      <c r="H143" s="235"/>
      <c r="I143" s="202"/>
      <c r="J143" s="204">
        <v>43982</v>
      </c>
      <c r="K143" s="178">
        <f t="shared" si="4"/>
        <v>2020</v>
      </c>
      <c r="L143" s="178">
        <f t="shared" si="5"/>
        <v>5</v>
      </c>
      <c r="M143" s="204"/>
      <c r="N143" s="336"/>
      <c r="O143" s="343"/>
      <c r="P143" s="179"/>
      <c r="Q143" s="179"/>
      <c r="R143" s="179"/>
      <c r="S143" s="179"/>
      <c r="T143" s="179"/>
      <c r="U143" s="179"/>
      <c r="V143" s="179"/>
      <c r="W143" s="179"/>
      <c r="X143" s="179"/>
      <c r="Y143" s="179"/>
      <c r="Z143" s="179"/>
      <c r="AA143" s="179"/>
      <c r="AB143" s="179"/>
      <c r="AC143" s="179"/>
      <c r="AD143" s="179"/>
      <c r="AE143" s="179"/>
      <c r="AF143" s="179"/>
      <c r="AG143" s="179"/>
      <c r="AH143" s="179"/>
      <c r="AI143" s="179"/>
      <c r="AJ143" s="179"/>
      <c r="AK143" s="179"/>
      <c r="AL143" s="179"/>
      <c r="AM143" s="179"/>
      <c r="AN143" s="179"/>
      <c r="AO143" s="179"/>
      <c r="AP143" s="179"/>
      <c r="AQ143" s="179"/>
      <c r="AR143" s="179"/>
      <c r="AS143" s="179"/>
      <c r="AT143" s="179"/>
      <c r="AU143" s="179"/>
      <c r="AV143" s="179"/>
      <c r="AW143" s="179"/>
      <c r="AX143" s="179"/>
      <c r="AY143" s="179"/>
      <c r="AZ143" s="179"/>
      <c r="BA143" s="179"/>
      <c r="BB143" s="179"/>
      <c r="BC143" s="179"/>
      <c r="BD143" s="179"/>
      <c r="BE143" s="179"/>
      <c r="BF143" s="179"/>
      <c r="BG143" s="179"/>
      <c r="BH143" s="179"/>
      <c r="BI143" s="179"/>
      <c r="BJ143" s="179"/>
      <c r="BK143" s="179"/>
      <c r="BL143" s="179"/>
      <c r="BM143" s="179"/>
      <c r="BN143" s="179"/>
      <c r="BO143" s="179"/>
      <c r="BP143" s="179"/>
      <c r="BQ143" s="179"/>
      <c r="BR143" s="179"/>
      <c r="BS143" s="179"/>
      <c r="BT143" s="179"/>
      <c r="BU143" s="179"/>
      <c r="BV143" s="179"/>
      <c r="BW143" s="179"/>
      <c r="BX143" s="179"/>
      <c r="BY143" s="179"/>
      <c r="BZ143" s="179"/>
      <c r="CA143" s="179"/>
      <c r="CB143" s="179"/>
      <c r="CC143" s="179"/>
      <c r="CD143" s="179"/>
      <c r="CE143" s="179"/>
      <c r="CF143" s="179"/>
      <c r="CG143" s="179"/>
      <c r="CH143" s="179"/>
      <c r="CI143" s="179"/>
      <c r="CJ143" s="179"/>
      <c r="CK143" s="179"/>
      <c r="CL143" s="179"/>
      <c r="CM143" s="179"/>
      <c r="CN143" s="179"/>
      <c r="CO143" s="179"/>
      <c r="CP143" s="179"/>
      <c r="CQ143" s="179"/>
      <c r="CR143" s="179"/>
      <c r="CS143" s="179"/>
      <c r="CT143" s="179"/>
      <c r="CU143" s="179"/>
      <c r="CV143" s="179"/>
      <c r="CW143" s="179"/>
      <c r="CX143" s="179"/>
      <c r="CY143" s="179"/>
      <c r="CZ143" s="179"/>
      <c r="DA143" s="179"/>
      <c r="DB143" s="179"/>
      <c r="DC143" s="179"/>
      <c r="DD143" s="179"/>
      <c r="DE143" s="179"/>
      <c r="DF143" s="179"/>
      <c r="DG143" s="179"/>
      <c r="DH143" s="179"/>
      <c r="DI143" s="179"/>
      <c r="DJ143" s="179"/>
      <c r="DK143" s="179"/>
      <c r="DL143" s="179"/>
      <c r="DM143" s="179"/>
      <c r="DN143" s="179"/>
      <c r="DO143" s="179"/>
      <c r="DP143" s="179"/>
      <c r="DQ143" s="179"/>
      <c r="DR143" s="179"/>
      <c r="DS143" s="179"/>
      <c r="DT143" s="179"/>
      <c r="DU143" s="179"/>
      <c r="DV143" s="179"/>
      <c r="DW143" s="179"/>
      <c r="DX143" s="179"/>
      <c r="DY143" s="179"/>
      <c r="DZ143" s="179"/>
      <c r="EA143" s="179"/>
      <c r="EB143" s="179"/>
      <c r="EC143" s="179"/>
      <c r="ED143" s="179"/>
      <c r="EE143" s="179"/>
      <c r="EF143" s="179"/>
      <c r="EG143" s="179"/>
    </row>
    <row r="144" spans="1:137" s="354" customFormat="1" ht="38.25">
      <c r="A144" s="178">
        <v>143</v>
      </c>
      <c r="B144" s="235" t="s">
        <v>2044</v>
      </c>
      <c r="C144" s="235" t="s">
        <v>3613</v>
      </c>
      <c r="D144" s="385" t="s">
        <v>4064</v>
      </c>
      <c r="E144" s="13" t="s">
        <v>1621</v>
      </c>
      <c r="F144" s="236" t="s">
        <v>3959</v>
      </c>
      <c r="G144" s="236" t="s">
        <v>4048</v>
      </c>
      <c r="H144" s="237">
        <v>44036</v>
      </c>
      <c r="I144" s="235" t="s">
        <v>4054</v>
      </c>
      <c r="J144" s="237">
        <v>43996</v>
      </c>
      <c r="K144" s="178">
        <f t="shared" si="4"/>
        <v>2020</v>
      </c>
      <c r="L144" s="178">
        <f t="shared" si="5"/>
        <v>6</v>
      </c>
      <c r="M144" s="237"/>
      <c r="N144" s="342"/>
      <c r="O144" s="343">
        <v>42</v>
      </c>
      <c r="P144" s="179"/>
      <c r="Q144" s="179"/>
      <c r="R144" s="179"/>
      <c r="S144" s="179"/>
      <c r="T144" s="179"/>
      <c r="U144" s="179"/>
      <c r="V144" s="179"/>
      <c r="W144" s="179"/>
      <c r="X144" s="179"/>
      <c r="Y144" s="179"/>
      <c r="Z144" s="179"/>
      <c r="AA144" s="179"/>
      <c r="AB144" s="179"/>
      <c r="AC144" s="179"/>
      <c r="AD144" s="179"/>
      <c r="AE144" s="179"/>
      <c r="AF144" s="179"/>
      <c r="AG144" s="179"/>
      <c r="AH144" s="179"/>
      <c r="AI144" s="179"/>
      <c r="AJ144" s="179"/>
      <c r="AK144" s="179"/>
      <c r="AL144" s="179"/>
      <c r="AM144" s="179"/>
      <c r="AN144" s="179"/>
      <c r="AO144" s="179"/>
      <c r="AP144" s="179"/>
      <c r="AQ144" s="179"/>
      <c r="AR144" s="179"/>
      <c r="AS144" s="179"/>
      <c r="AT144" s="179"/>
      <c r="AU144" s="179"/>
      <c r="AV144" s="179"/>
      <c r="AW144" s="179"/>
      <c r="AX144" s="179"/>
      <c r="AY144" s="179"/>
      <c r="AZ144" s="179"/>
      <c r="BA144" s="179"/>
      <c r="BB144" s="179"/>
      <c r="BC144" s="179"/>
      <c r="BD144" s="179"/>
      <c r="BE144" s="179"/>
      <c r="BF144" s="179"/>
      <c r="BG144" s="179"/>
      <c r="BH144" s="179"/>
      <c r="BI144" s="179"/>
      <c r="BJ144" s="179"/>
      <c r="BK144" s="179"/>
      <c r="BL144" s="179"/>
      <c r="BM144" s="179"/>
      <c r="BN144" s="179"/>
      <c r="BO144" s="179"/>
      <c r="BP144" s="179"/>
      <c r="BQ144" s="179"/>
      <c r="BR144" s="179"/>
      <c r="BS144" s="179"/>
      <c r="BT144" s="179"/>
      <c r="BU144" s="179"/>
      <c r="BV144" s="179"/>
      <c r="BW144" s="179"/>
      <c r="BX144" s="179"/>
      <c r="BY144" s="179"/>
      <c r="BZ144" s="179"/>
      <c r="CA144" s="179"/>
      <c r="CB144" s="179"/>
      <c r="CC144" s="179"/>
      <c r="CD144" s="179"/>
      <c r="CE144" s="179"/>
      <c r="CF144" s="179"/>
      <c r="CG144" s="179"/>
      <c r="CH144" s="179"/>
      <c r="CI144" s="179"/>
      <c r="CJ144" s="179"/>
      <c r="CK144" s="179"/>
      <c r="CL144" s="179"/>
      <c r="CM144" s="179"/>
      <c r="CN144" s="179"/>
      <c r="CO144" s="179"/>
      <c r="CP144" s="179"/>
      <c r="CQ144" s="179"/>
      <c r="CR144" s="179"/>
      <c r="CS144" s="179"/>
      <c r="CT144" s="179"/>
      <c r="CU144" s="179"/>
      <c r="CV144" s="179"/>
      <c r="CW144" s="179"/>
      <c r="CX144" s="179"/>
      <c r="CY144" s="179"/>
      <c r="CZ144" s="179"/>
      <c r="DA144" s="179"/>
      <c r="DB144" s="179"/>
      <c r="DC144" s="179"/>
      <c r="DD144" s="179"/>
      <c r="DE144" s="179"/>
      <c r="DF144" s="179"/>
      <c r="DG144" s="179"/>
      <c r="DH144" s="179"/>
      <c r="DI144" s="179"/>
      <c r="DJ144" s="179"/>
      <c r="DK144" s="179"/>
      <c r="DL144" s="179"/>
      <c r="DM144" s="179"/>
      <c r="DN144" s="179"/>
      <c r="DO144" s="179"/>
      <c r="DP144" s="179"/>
      <c r="DQ144" s="179"/>
      <c r="DR144" s="179"/>
      <c r="DS144" s="179"/>
      <c r="DT144" s="179"/>
      <c r="DU144" s="179"/>
      <c r="DV144" s="179"/>
      <c r="DW144" s="179"/>
      <c r="DX144" s="179"/>
      <c r="DY144" s="179"/>
      <c r="DZ144" s="179"/>
      <c r="EA144" s="179"/>
      <c r="EB144" s="179"/>
      <c r="EC144" s="179"/>
      <c r="ED144" s="179"/>
      <c r="EE144" s="179"/>
      <c r="EF144" s="179"/>
      <c r="EG144" s="179"/>
    </row>
    <row r="145" spans="1:137" s="354" customFormat="1" ht="25.5">
      <c r="A145" s="178">
        <v>144</v>
      </c>
      <c r="B145" s="235" t="s">
        <v>2044</v>
      </c>
      <c r="C145" s="236" t="s">
        <v>3672</v>
      </c>
      <c r="D145" s="13" t="s">
        <v>3971</v>
      </c>
      <c r="E145" s="189" t="s">
        <v>3821</v>
      </c>
      <c r="F145" s="236" t="s">
        <v>3960</v>
      </c>
      <c r="G145" s="236" t="s">
        <v>3981</v>
      </c>
      <c r="H145" s="237">
        <v>44036</v>
      </c>
      <c r="I145" s="235" t="s">
        <v>5</v>
      </c>
      <c r="J145" s="237">
        <v>44002</v>
      </c>
      <c r="K145" s="178">
        <f t="shared" si="4"/>
        <v>2020</v>
      </c>
      <c r="L145" s="178">
        <f t="shared" si="5"/>
        <v>6</v>
      </c>
      <c r="M145" s="237">
        <v>44036</v>
      </c>
      <c r="N145" s="333" t="s">
        <v>4058</v>
      </c>
      <c r="O145" s="343">
        <v>15</v>
      </c>
      <c r="P145" s="179"/>
      <c r="Q145" s="179"/>
      <c r="R145" s="179"/>
      <c r="S145" s="179"/>
      <c r="T145" s="179"/>
      <c r="U145" s="179"/>
      <c r="V145" s="179"/>
      <c r="W145" s="179"/>
      <c r="X145" s="179"/>
      <c r="Y145" s="179"/>
      <c r="Z145" s="179"/>
      <c r="AA145" s="179"/>
      <c r="AB145" s="179"/>
      <c r="AC145" s="179"/>
      <c r="AD145" s="179"/>
      <c r="AE145" s="179"/>
      <c r="AF145" s="179"/>
      <c r="AG145" s="179"/>
      <c r="AH145" s="179"/>
      <c r="AI145" s="179"/>
      <c r="AJ145" s="179"/>
      <c r="AK145" s="179"/>
      <c r="AL145" s="179"/>
      <c r="AM145" s="179"/>
      <c r="AN145" s="179"/>
      <c r="AO145" s="179"/>
      <c r="AP145" s="179"/>
      <c r="AQ145" s="179"/>
      <c r="AR145" s="179"/>
      <c r="AS145" s="179"/>
      <c r="AT145" s="179"/>
      <c r="AU145" s="179"/>
      <c r="AV145" s="179"/>
      <c r="AW145" s="179"/>
      <c r="AX145" s="179"/>
      <c r="AY145" s="179"/>
      <c r="AZ145" s="179"/>
      <c r="BA145" s="179"/>
      <c r="BB145" s="179"/>
      <c r="BC145" s="179"/>
      <c r="BD145" s="179"/>
      <c r="BE145" s="179"/>
      <c r="BF145" s="179"/>
      <c r="BG145" s="179"/>
      <c r="BH145" s="179"/>
      <c r="BI145" s="179"/>
      <c r="BJ145" s="179"/>
      <c r="BK145" s="179"/>
      <c r="BL145" s="179"/>
      <c r="BM145" s="179"/>
      <c r="BN145" s="179"/>
      <c r="BO145" s="179"/>
      <c r="BP145" s="179"/>
      <c r="BQ145" s="179"/>
      <c r="BR145" s="179"/>
      <c r="BS145" s="179"/>
      <c r="BT145" s="179"/>
      <c r="BU145" s="179"/>
      <c r="BV145" s="179"/>
      <c r="BW145" s="179"/>
      <c r="BX145" s="179"/>
      <c r="BY145" s="179"/>
      <c r="BZ145" s="179"/>
      <c r="CA145" s="179"/>
      <c r="CB145" s="179"/>
      <c r="CC145" s="179"/>
      <c r="CD145" s="179"/>
      <c r="CE145" s="179"/>
      <c r="CF145" s="179"/>
      <c r="CG145" s="179"/>
      <c r="CH145" s="179"/>
      <c r="CI145" s="179"/>
      <c r="CJ145" s="179"/>
      <c r="CK145" s="179"/>
      <c r="CL145" s="179"/>
      <c r="CM145" s="179"/>
      <c r="CN145" s="179"/>
      <c r="CO145" s="179"/>
      <c r="CP145" s="179"/>
      <c r="CQ145" s="179"/>
      <c r="CR145" s="179"/>
      <c r="CS145" s="179"/>
      <c r="CT145" s="179"/>
      <c r="CU145" s="179"/>
      <c r="CV145" s="179"/>
      <c r="CW145" s="179"/>
      <c r="CX145" s="179"/>
      <c r="CY145" s="179"/>
      <c r="CZ145" s="179"/>
      <c r="DA145" s="179"/>
      <c r="DB145" s="179"/>
      <c r="DC145" s="179"/>
      <c r="DD145" s="179"/>
      <c r="DE145" s="179"/>
      <c r="DF145" s="179"/>
      <c r="DG145" s="179"/>
      <c r="DH145" s="179"/>
      <c r="DI145" s="179"/>
      <c r="DJ145" s="179"/>
      <c r="DK145" s="179"/>
      <c r="DL145" s="179"/>
      <c r="DM145" s="179"/>
      <c r="DN145" s="179"/>
      <c r="DO145" s="179"/>
      <c r="DP145" s="179"/>
      <c r="DQ145" s="179"/>
      <c r="DR145" s="179"/>
      <c r="DS145" s="179"/>
      <c r="DT145" s="179"/>
      <c r="DU145" s="179"/>
      <c r="DV145" s="179"/>
      <c r="DW145" s="179"/>
      <c r="DX145" s="179"/>
      <c r="DY145" s="179"/>
      <c r="DZ145" s="179"/>
      <c r="EA145" s="179"/>
      <c r="EB145" s="179"/>
      <c r="EC145" s="179"/>
      <c r="ED145" s="179"/>
      <c r="EE145" s="179"/>
      <c r="EF145" s="179"/>
      <c r="EG145" s="179"/>
    </row>
    <row r="146" spans="1:137" s="78" customFormat="1" ht="25.5">
      <c r="A146" s="178">
        <v>145</v>
      </c>
      <c r="B146" s="235" t="s">
        <v>2044</v>
      </c>
      <c r="C146" s="236" t="s">
        <v>3653</v>
      </c>
      <c r="D146" s="189" t="s">
        <v>3834</v>
      </c>
      <c r="E146" s="189" t="s">
        <v>3834</v>
      </c>
      <c r="F146" s="236" t="s">
        <v>3961</v>
      </c>
      <c r="G146" s="236" t="s">
        <v>3834</v>
      </c>
      <c r="H146" s="237">
        <v>44011</v>
      </c>
      <c r="I146" s="235" t="s">
        <v>4054</v>
      </c>
      <c r="J146" s="237">
        <v>44007</v>
      </c>
      <c r="K146" s="178">
        <f t="shared" si="4"/>
        <v>2020</v>
      </c>
      <c r="L146" s="178">
        <f t="shared" si="5"/>
        <v>6</v>
      </c>
      <c r="M146" s="237">
        <v>44011</v>
      </c>
      <c r="N146" s="333" t="s">
        <v>4058</v>
      </c>
      <c r="O146" s="343">
        <v>17</v>
      </c>
      <c r="P146" s="179"/>
      <c r="Q146" s="179"/>
      <c r="R146" s="179"/>
      <c r="S146" s="179"/>
      <c r="T146" s="179"/>
      <c r="U146" s="179"/>
      <c r="V146" s="179"/>
      <c r="W146" s="179"/>
      <c r="X146" s="179"/>
      <c r="Y146" s="179"/>
      <c r="Z146" s="179"/>
      <c r="AA146" s="179"/>
      <c r="AB146" s="179"/>
      <c r="AC146" s="179"/>
      <c r="AD146" s="179"/>
      <c r="AE146" s="179"/>
      <c r="AF146" s="179"/>
      <c r="AG146" s="179"/>
      <c r="AH146" s="179"/>
      <c r="AI146" s="179"/>
      <c r="AJ146" s="179"/>
      <c r="AK146" s="179"/>
      <c r="AL146" s="179"/>
      <c r="AM146" s="179"/>
      <c r="AN146" s="179"/>
      <c r="AO146" s="179"/>
      <c r="AP146" s="179"/>
      <c r="AQ146" s="179"/>
      <c r="AR146" s="179"/>
      <c r="AS146" s="179"/>
      <c r="AT146" s="179"/>
      <c r="AU146" s="179"/>
      <c r="AV146" s="179"/>
      <c r="AW146" s="179"/>
      <c r="AX146" s="179"/>
      <c r="AY146" s="179"/>
      <c r="AZ146" s="179"/>
      <c r="BA146" s="179"/>
      <c r="BB146" s="179"/>
      <c r="BC146" s="179"/>
      <c r="BD146" s="179"/>
      <c r="BE146" s="179"/>
      <c r="BF146" s="179"/>
      <c r="BG146" s="179"/>
      <c r="BH146" s="179"/>
      <c r="BI146" s="179"/>
      <c r="BJ146" s="179"/>
      <c r="BK146" s="179"/>
      <c r="BL146" s="179"/>
      <c r="BM146" s="179"/>
      <c r="BN146" s="179"/>
      <c r="BO146" s="179"/>
      <c r="BP146" s="179"/>
      <c r="BQ146" s="179"/>
      <c r="BR146" s="179"/>
      <c r="BS146" s="179"/>
      <c r="BT146" s="179"/>
      <c r="BU146" s="179"/>
      <c r="BV146" s="179"/>
      <c r="BW146" s="179"/>
      <c r="BX146" s="179"/>
      <c r="BY146" s="179"/>
      <c r="BZ146" s="179"/>
      <c r="CA146" s="179"/>
      <c r="CB146" s="179"/>
      <c r="CC146" s="179"/>
      <c r="CD146" s="179"/>
      <c r="CE146" s="179"/>
      <c r="CF146" s="179"/>
      <c r="CG146" s="179"/>
      <c r="CH146" s="179"/>
      <c r="CI146" s="179"/>
      <c r="CJ146" s="179"/>
      <c r="CK146" s="179"/>
      <c r="CL146" s="179"/>
      <c r="CM146" s="179"/>
      <c r="CN146" s="179"/>
      <c r="CO146" s="179"/>
      <c r="CP146" s="179"/>
      <c r="CQ146" s="179"/>
      <c r="CR146" s="179"/>
      <c r="CS146" s="179"/>
      <c r="CT146" s="179"/>
      <c r="CU146" s="179"/>
      <c r="CV146" s="179"/>
      <c r="CW146" s="179"/>
      <c r="CX146" s="179"/>
      <c r="CY146" s="179"/>
      <c r="CZ146" s="179"/>
      <c r="DA146" s="179"/>
      <c r="DB146" s="179"/>
      <c r="DC146" s="179"/>
      <c r="DD146" s="179"/>
      <c r="DE146" s="179"/>
      <c r="DF146" s="179"/>
      <c r="DG146" s="179"/>
      <c r="DH146" s="179"/>
      <c r="DI146" s="179"/>
      <c r="DJ146" s="179"/>
      <c r="DK146" s="179"/>
      <c r="DL146" s="179"/>
      <c r="DM146" s="179"/>
      <c r="DN146" s="179"/>
      <c r="DO146" s="179"/>
      <c r="DP146" s="179"/>
      <c r="DQ146" s="179"/>
      <c r="DR146" s="179"/>
      <c r="DS146" s="179"/>
      <c r="DT146" s="179"/>
      <c r="DU146" s="179"/>
      <c r="DV146" s="179"/>
      <c r="DW146" s="179"/>
      <c r="DX146" s="179"/>
      <c r="DY146" s="179"/>
      <c r="DZ146" s="179"/>
      <c r="EA146" s="179"/>
      <c r="EB146" s="179"/>
      <c r="EC146" s="179"/>
      <c r="ED146" s="179"/>
      <c r="EE146" s="179"/>
      <c r="EF146" s="179"/>
      <c r="EG146" s="179"/>
    </row>
    <row r="147" spans="1:137" s="78" customFormat="1" ht="25.5">
      <c r="A147" s="178">
        <v>146</v>
      </c>
      <c r="B147" s="235" t="s">
        <v>2044</v>
      </c>
      <c r="C147" s="236" t="s">
        <v>3653</v>
      </c>
      <c r="D147" s="13" t="s">
        <v>3971</v>
      </c>
      <c r="E147" s="189" t="s">
        <v>3816</v>
      </c>
      <c r="F147" s="236" t="s">
        <v>3961</v>
      </c>
      <c r="G147" s="236" t="s">
        <v>4049</v>
      </c>
      <c r="H147" s="237">
        <v>44011</v>
      </c>
      <c r="I147" s="235" t="s">
        <v>4054</v>
      </c>
      <c r="J147" s="237">
        <v>44007</v>
      </c>
      <c r="K147" s="178">
        <f t="shared" si="4"/>
        <v>2020</v>
      </c>
      <c r="L147" s="178">
        <f t="shared" si="5"/>
        <v>6</v>
      </c>
      <c r="M147" s="237">
        <v>44011</v>
      </c>
      <c r="N147" s="333" t="s">
        <v>4058</v>
      </c>
      <c r="O147" s="343">
        <v>4</v>
      </c>
      <c r="P147" s="179"/>
      <c r="Q147" s="179"/>
      <c r="R147" s="179"/>
      <c r="S147" s="179"/>
      <c r="T147" s="179"/>
      <c r="U147" s="179"/>
      <c r="V147" s="179"/>
      <c r="W147" s="179"/>
      <c r="X147" s="179"/>
      <c r="Y147" s="179"/>
      <c r="Z147" s="179"/>
      <c r="AA147" s="179"/>
      <c r="AB147" s="179"/>
      <c r="AC147" s="179"/>
      <c r="AD147" s="179"/>
      <c r="AE147" s="179"/>
      <c r="AF147" s="179"/>
      <c r="AG147" s="179"/>
      <c r="AH147" s="179"/>
      <c r="AI147" s="179"/>
      <c r="AJ147" s="179"/>
      <c r="AK147" s="179"/>
      <c r="AL147" s="179"/>
      <c r="AM147" s="179"/>
      <c r="AN147" s="179"/>
      <c r="AO147" s="179"/>
      <c r="AP147" s="179"/>
      <c r="AQ147" s="179"/>
      <c r="AR147" s="179"/>
      <c r="AS147" s="179"/>
      <c r="AT147" s="179"/>
      <c r="AU147" s="179"/>
      <c r="AV147" s="179"/>
      <c r="AW147" s="179"/>
      <c r="AX147" s="179"/>
      <c r="AY147" s="179"/>
      <c r="AZ147" s="179"/>
      <c r="BA147" s="179"/>
      <c r="BB147" s="179"/>
      <c r="BC147" s="179"/>
      <c r="BD147" s="179"/>
      <c r="BE147" s="179"/>
      <c r="BF147" s="179"/>
      <c r="BG147" s="179"/>
      <c r="BH147" s="179"/>
      <c r="BI147" s="179"/>
      <c r="BJ147" s="179"/>
      <c r="BK147" s="179"/>
      <c r="BL147" s="179"/>
      <c r="BM147" s="179"/>
      <c r="BN147" s="179"/>
      <c r="BO147" s="179"/>
      <c r="BP147" s="179"/>
      <c r="BQ147" s="179"/>
      <c r="BR147" s="179"/>
      <c r="BS147" s="179"/>
      <c r="BT147" s="179"/>
      <c r="BU147" s="179"/>
      <c r="BV147" s="179"/>
      <c r="BW147" s="179"/>
      <c r="BX147" s="179"/>
      <c r="BY147" s="179"/>
      <c r="BZ147" s="179"/>
      <c r="CA147" s="179"/>
      <c r="CB147" s="179"/>
      <c r="CC147" s="179"/>
      <c r="CD147" s="179"/>
      <c r="CE147" s="179"/>
      <c r="CF147" s="179"/>
      <c r="CG147" s="179"/>
      <c r="CH147" s="179"/>
      <c r="CI147" s="179"/>
      <c r="CJ147" s="179"/>
      <c r="CK147" s="179"/>
      <c r="CL147" s="179"/>
      <c r="CM147" s="179"/>
      <c r="CN147" s="179"/>
      <c r="CO147" s="179"/>
      <c r="CP147" s="179"/>
      <c r="CQ147" s="179"/>
      <c r="CR147" s="179"/>
      <c r="CS147" s="179"/>
      <c r="CT147" s="179"/>
      <c r="CU147" s="179"/>
      <c r="CV147" s="179"/>
      <c r="CW147" s="179"/>
      <c r="CX147" s="179"/>
      <c r="CY147" s="179"/>
      <c r="CZ147" s="179"/>
      <c r="DA147" s="179"/>
      <c r="DB147" s="179"/>
      <c r="DC147" s="179"/>
      <c r="DD147" s="179"/>
      <c r="DE147" s="179"/>
      <c r="DF147" s="179"/>
      <c r="DG147" s="179"/>
      <c r="DH147" s="179"/>
      <c r="DI147" s="179"/>
      <c r="DJ147" s="179"/>
      <c r="DK147" s="179"/>
      <c r="DL147" s="179"/>
      <c r="DM147" s="179"/>
      <c r="DN147" s="179"/>
      <c r="DO147" s="179"/>
      <c r="DP147" s="179"/>
      <c r="DQ147" s="179"/>
      <c r="DR147" s="179"/>
      <c r="DS147" s="179"/>
      <c r="DT147" s="179"/>
      <c r="DU147" s="179"/>
      <c r="DV147" s="179"/>
      <c r="DW147" s="179"/>
      <c r="DX147" s="179"/>
      <c r="DY147" s="179"/>
      <c r="DZ147" s="179"/>
      <c r="EA147" s="179"/>
      <c r="EB147" s="179"/>
      <c r="EC147" s="179"/>
      <c r="ED147" s="179"/>
      <c r="EE147" s="179"/>
      <c r="EF147" s="179"/>
      <c r="EG147" s="179"/>
    </row>
    <row r="148" spans="1:137" s="78" customFormat="1">
      <c r="A148" s="178">
        <v>147</v>
      </c>
      <c r="B148" s="235" t="s">
        <v>2044</v>
      </c>
      <c r="C148" s="236" t="s">
        <v>3660</v>
      </c>
      <c r="D148" s="191" t="s">
        <v>4064</v>
      </c>
      <c r="E148" s="13" t="s">
        <v>3829</v>
      </c>
      <c r="F148" s="236" t="s">
        <v>3962</v>
      </c>
      <c r="G148" s="236" t="s">
        <v>3829</v>
      </c>
      <c r="H148" s="237">
        <v>44037</v>
      </c>
      <c r="I148" s="235" t="s">
        <v>4053</v>
      </c>
      <c r="J148" s="237">
        <v>44015</v>
      </c>
      <c r="K148" s="178">
        <f t="shared" si="4"/>
        <v>2020</v>
      </c>
      <c r="L148" s="178">
        <f t="shared" si="5"/>
        <v>7</v>
      </c>
      <c r="M148" s="237">
        <v>44039</v>
      </c>
      <c r="N148" s="342" t="s">
        <v>4060</v>
      </c>
      <c r="O148" s="343">
        <v>48</v>
      </c>
      <c r="P148" s="179"/>
      <c r="Q148" s="179"/>
      <c r="R148" s="179"/>
      <c r="S148" s="179"/>
      <c r="T148" s="179"/>
      <c r="U148" s="179"/>
      <c r="V148" s="179"/>
      <c r="W148" s="179"/>
      <c r="X148" s="179"/>
      <c r="Y148" s="179"/>
      <c r="Z148" s="179"/>
      <c r="AA148" s="179"/>
      <c r="AB148" s="179"/>
      <c r="AC148" s="179"/>
      <c r="AD148" s="179"/>
      <c r="AE148" s="179"/>
      <c r="AF148" s="179"/>
      <c r="AG148" s="179"/>
      <c r="AH148" s="179"/>
      <c r="AI148" s="179"/>
      <c r="AJ148" s="179"/>
      <c r="AK148" s="179"/>
      <c r="AL148" s="179"/>
      <c r="AM148" s="179"/>
      <c r="AN148" s="179"/>
      <c r="AO148" s="179"/>
      <c r="AP148" s="179"/>
      <c r="AQ148" s="179"/>
      <c r="AR148" s="179"/>
      <c r="AS148" s="179"/>
      <c r="AT148" s="179"/>
      <c r="AU148" s="179"/>
      <c r="AV148" s="179"/>
      <c r="AW148" s="179"/>
      <c r="AX148" s="179"/>
      <c r="AY148" s="179"/>
      <c r="AZ148" s="179"/>
      <c r="BA148" s="179"/>
      <c r="BB148" s="179"/>
      <c r="BC148" s="179"/>
      <c r="BD148" s="179"/>
      <c r="BE148" s="179"/>
      <c r="BF148" s="179"/>
      <c r="BG148" s="179"/>
      <c r="BH148" s="179"/>
      <c r="BI148" s="179"/>
      <c r="BJ148" s="179"/>
      <c r="BK148" s="179"/>
      <c r="BL148" s="179"/>
      <c r="BM148" s="179"/>
      <c r="BN148" s="179"/>
      <c r="BO148" s="179"/>
      <c r="BP148" s="179"/>
      <c r="BQ148" s="179"/>
      <c r="BR148" s="179"/>
      <c r="BS148" s="179"/>
      <c r="BT148" s="179"/>
      <c r="BU148" s="179"/>
      <c r="BV148" s="179"/>
      <c r="BW148" s="179"/>
      <c r="BX148" s="179"/>
      <c r="BY148" s="179"/>
      <c r="BZ148" s="179"/>
      <c r="CA148" s="179"/>
      <c r="CB148" s="179"/>
      <c r="CC148" s="179"/>
      <c r="CD148" s="179"/>
      <c r="CE148" s="179"/>
      <c r="CF148" s="179"/>
      <c r="CG148" s="179"/>
      <c r="CH148" s="179"/>
      <c r="CI148" s="179"/>
      <c r="CJ148" s="179"/>
      <c r="CK148" s="179"/>
      <c r="CL148" s="179"/>
      <c r="CM148" s="179"/>
      <c r="CN148" s="179"/>
      <c r="CO148" s="179"/>
      <c r="CP148" s="179"/>
      <c r="CQ148" s="179"/>
      <c r="CR148" s="179"/>
      <c r="CS148" s="179"/>
      <c r="CT148" s="179"/>
      <c r="CU148" s="179"/>
      <c r="CV148" s="179"/>
      <c r="CW148" s="179"/>
      <c r="CX148" s="179"/>
      <c r="CY148" s="179"/>
      <c r="CZ148" s="179"/>
      <c r="DA148" s="179"/>
      <c r="DB148" s="179"/>
      <c r="DC148" s="179"/>
      <c r="DD148" s="179"/>
      <c r="DE148" s="179"/>
      <c r="DF148" s="179"/>
      <c r="DG148" s="179"/>
      <c r="DH148" s="179"/>
      <c r="DI148" s="179"/>
      <c r="DJ148" s="179"/>
      <c r="DK148" s="179"/>
      <c r="DL148" s="179"/>
      <c r="DM148" s="179"/>
      <c r="DN148" s="179"/>
      <c r="DO148" s="179"/>
      <c r="DP148" s="179"/>
      <c r="DQ148" s="179"/>
      <c r="DR148" s="179"/>
      <c r="DS148" s="179"/>
      <c r="DT148" s="179"/>
      <c r="DU148" s="179"/>
      <c r="DV148" s="179"/>
      <c r="DW148" s="179"/>
      <c r="DX148" s="179"/>
      <c r="DY148" s="179"/>
      <c r="DZ148" s="179"/>
      <c r="EA148" s="179"/>
      <c r="EB148" s="179"/>
      <c r="EC148" s="179"/>
      <c r="ED148" s="179"/>
      <c r="EE148" s="179"/>
      <c r="EF148" s="179"/>
      <c r="EG148" s="179"/>
    </row>
    <row r="149" spans="1:137" s="78" customFormat="1">
      <c r="A149" s="178">
        <v>148</v>
      </c>
      <c r="B149" s="235" t="s">
        <v>2044</v>
      </c>
      <c r="C149" s="236" t="s">
        <v>3662</v>
      </c>
      <c r="D149" s="189" t="s">
        <v>3834</v>
      </c>
      <c r="E149" s="189" t="s">
        <v>3834</v>
      </c>
      <c r="F149" s="236" t="s">
        <v>3963</v>
      </c>
      <c r="G149" s="236" t="s">
        <v>3834</v>
      </c>
      <c r="H149" s="237">
        <v>44037</v>
      </c>
      <c r="I149" s="235" t="s">
        <v>4053</v>
      </c>
      <c r="J149" s="237">
        <v>44025</v>
      </c>
      <c r="K149" s="178">
        <f t="shared" si="4"/>
        <v>2020</v>
      </c>
      <c r="L149" s="178">
        <f t="shared" si="5"/>
        <v>7</v>
      </c>
      <c r="M149" s="237">
        <v>44039</v>
      </c>
      <c r="N149" s="342" t="s">
        <v>4060</v>
      </c>
      <c r="O149" s="343">
        <v>16</v>
      </c>
      <c r="P149" s="179"/>
      <c r="Q149" s="179"/>
      <c r="R149" s="179"/>
      <c r="S149" s="179"/>
      <c r="T149" s="179"/>
      <c r="U149" s="179"/>
      <c r="V149" s="179"/>
      <c r="W149" s="179"/>
      <c r="X149" s="179"/>
      <c r="Y149" s="179"/>
      <c r="Z149" s="179"/>
      <c r="AA149" s="179"/>
      <c r="AB149" s="179"/>
      <c r="AC149" s="179"/>
      <c r="AD149" s="179"/>
      <c r="AE149" s="179"/>
      <c r="AF149" s="179"/>
      <c r="AG149" s="179"/>
      <c r="AH149" s="179"/>
      <c r="AI149" s="179"/>
      <c r="AJ149" s="179"/>
      <c r="AK149" s="179"/>
      <c r="AL149" s="179"/>
      <c r="AM149" s="179"/>
      <c r="AN149" s="179"/>
      <c r="AO149" s="179"/>
      <c r="AP149" s="179"/>
      <c r="AQ149" s="179"/>
      <c r="AR149" s="179"/>
      <c r="AS149" s="179"/>
      <c r="AT149" s="179"/>
      <c r="AU149" s="179"/>
      <c r="AV149" s="179"/>
      <c r="AW149" s="179"/>
      <c r="AX149" s="179"/>
      <c r="AY149" s="179"/>
      <c r="AZ149" s="179"/>
      <c r="BA149" s="179"/>
      <c r="BB149" s="179"/>
      <c r="BC149" s="179"/>
      <c r="BD149" s="179"/>
      <c r="BE149" s="179"/>
      <c r="BF149" s="179"/>
      <c r="BG149" s="179"/>
      <c r="BH149" s="179"/>
      <c r="BI149" s="179"/>
      <c r="BJ149" s="179"/>
      <c r="BK149" s="179"/>
      <c r="BL149" s="179"/>
      <c r="BM149" s="179"/>
      <c r="BN149" s="179"/>
      <c r="BO149" s="179"/>
      <c r="BP149" s="179"/>
      <c r="BQ149" s="179"/>
      <c r="BR149" s="179"/>
      <c r="BS149" s="179"/>
      <c r="BT149" s="179"/>
      <c r="BU149" s="179"/>
      <c r="BV149" s="179"/>
      <c r="BW149" s="179"/>
      <c r="BX149" s="179"/>
      <c r="BY149" s="179"/>
      <c r="BZ149" s="179"/>
      <c r="CA149" s="179"/>
      <c r="CB149" s="179"/>
      <c r="CC149" s="179"/>
      <c r="CD149" s="179"/>
      <c r="CE149" s="179"/>
      <c r="CF149" s="179"/>
      <c r="CG149" s="179"/>
      <c r="CH149" s="179"/>
      <c r="CI149" s="179"/>
      <c r="CJ149" s="179"/>
      <c r="CK149" s="179"/>
      <c r="CL149" s="179"/>
      <c r="CM149" s="179"/>
      <c r="CN149" s="179"/>
      <c r="CO149" s="179"/>
      <c r="CP149" s="179"/>
      <c r="CQ149" s="179"/>
      <c r="CR149" s="179"/>
      <c r="CS149" s="179"/>
      <c r="CT149" s="179"/>
      <c r="CU149" s="179"/>
      <c r="CV149" s="179"/>
      <c r="CW149" s="179"/>
      <c r="CX149" s="179"/>
      <c r="CY149" s="179"/>
      <c r="CZ149" s="179"/>
      <c r="DA149" s="179"/>
      <c r="DB149" s="179"/>
      <c r="DC149" s="179"/>
      <c r="DD149" s="179"/>
      <c r="DE149" s="179"/>
      <c r="DF149" s="179"/>
      <c r="DG149" s="179"/>
      <c r="DH149" s="179"/>
      <c r="DI149" s="179"/>
      <c r="DJ149" s="179"/>
      <c r="DK149" s="179"/>
      <c r="DL149" s="179"/>
      <c r="DM149" s="179"/>
      <c r="DN149" s="179"/>
      <c r="DO149" s="179"/>
      <c r="DP149" s="179"/>
      <c r="DQ149" s="179"/>
      <c r="DR149" s="179"/>
      <c r="DS149" s="179"/>
      <c r="DT149" s="179"/>
      <c r="DU149" s="179"/>
      <c r="DV149" s="179"/>
      <c r="DW149" s="179"/>
      <c r="DX149" s="179"/>
      <c r="DY149" s="179"/>
      <c r="DZ149" s="179"/>
      <c r="EA149" s="179"/>
      <c r="EB149" s="179"/>
      <c r="EC149" s="179"/>
      <c r="ED149" s="179"/>
      <c r="EE149" s="179"/>
      <c r="EF149" s="179"/>
      <c r="EG149" s="179"/>
    </row>
    <row r="150" spans="1:137" s="78" customFormat="1" ht="25.5">
      <c r="A150" s="178">
        <v>149</v>
      </c>
      <c r="B150" s="235" t="s">
        <v>2044</v>
      </c>
      <c r="C150" s="236" t="s">
        <v>3662</v>
      </c>
      <c r="D150" s="189" t="s">
        <v>3834</v>
      </c>
      <c r="E150" s="189" t="s">
        <v>3834</v>
      </c>
      <c r="F150" s="236" t="s">
        <v>3964</v>
      </c>
      <c r="G150" s="236" t="s">
        <v>3834</v>
      </c>
      <c r="H150" s="237">
        <v>44037</v>
      </c>
      <c r="I150" s="235" t="s">
        <v>4053</v>
      </c>
      <c r="J150" s="237">
        <v>44025</v>
      </c>
      <c r="K150" s="178">
        <f t="shared" si="4"/>
        <v>2020</v>
      </c>
      <c r="L150" s="178">
        <f t="shared" si="5"/>
        <v>7</v>
      </c>
      <c r="M150" s="237">
        <v>44039</v>
      </c>
      <c r="N150" s="342" t="s">
        <v>4060</v>
      </c>
      <c r="O150" s="343">
        <v>16</v>
      </c>
      <c r="P150" s="179"/>
      <c r="Q150" s="179"/>
      <c r="R150" s="179"/>
      <c r="S150" s="179"/>
      <c r="T150" s="179"/>
      <c r="U150" s="179"/>
      <c r="V150" s="179"/>
      <c r="W150" s="179"/>
      <c r="X150" s="179"/>
      <c r="Y150" s="179"/>
      <c r="Z150" s="179"/>
      <c r="AA150" s="179"/>
      <c r="AB150" s="179"/>
      <c r="AC150" s="179"/>
      <c r="AD150" s="179"/>
      <c r="AE150" s="179"/>
      <c r="AF150" s="179"/>
      <c r="AG150" s="179"/>
      <c r="AH150" s="179"/>
      <c r="AI150" s="179"/>
      <c r="AJ150" s="179"/>
      <c r="AK150" s="179"/>
      <c r="AL150" s="179"/>
      <c r="AM150" s="179"/>
      <c r="AN150" s="179"/>
      <c r="AO150" s="179"/>
      <c r="AP150" s="179"/>
      <c r="AQ150" s="179"/>
      <c r="AR150" s="179"/>
      <c r="AS150" s="179"/>
      <c r="AT150" s="179"/>
      <c r="AU150" s="179"/>
      <c r="AV150" s="179"/>
      <c r="AW150" s="179"/>
      <c r="AX150" s="179"/>
      <c r="AY150" s="179"/>
      <c r="AZ150" s="179"/>
      <c r="BA150" s="179"/>
      <c r="BB150" s="179"/>
      <c r="BC150" s="179"/>
      <c r="BD150" s="179"/>
      <c r="BE150" s="179"/>
      <c r="BF150" s="179"/>
      <c r="BG150" s="179"/>
      <c r="BH150" s="179"/>
      <c r="BI150" s="179"/>
      <c r="BJ150" s="179"/>
      <c r="BK150" s="179"/>
      <c r="BL150" s="179"/>
      <c r="BM150" s="179"/>
      <c r="BN150" s="179"/>
      <c r="BO150" s="179"/>
      <c r="BP150" s="179"/>
      <c r="BQ150" s="179"/>
      <c r="BR150" s="179"/>
      <c r="BS150" s="179"/>
      <c r="BT150" s="179"/>
      <c r="BU150" s="179"/>
      <c r="BV150" s="179"/>
      <c r="BW150" s="179"/>
      <c r="BX150" s="179"/>
      <c r="BY150" s="179"/>
      <c r="BZ150" s="179"/>
      <c r="CA150" s="179"/>
      <c r="CB150" s="179"/>
      <c r="CC150" s="179"/>
      <c r="CD150" s="179"/>
      <c r="CE150" s="179"/>
      <c r="CF150" s="179"/>
      <c r="CG150" s="179"/>
      <c r="CH150" s="179"/>
      <c r="CI150" s="179"/>
      <c r="CJ150" s="179"/>
      <c r="CK150" s="179"/>
      <c r="CL150" s="179"/>
      <c r="CM150" s="179"/>
      <c r="CN150" s="179"/>
      <c r="CO150" s="179"/>
      <c r="CP150" s="179"/>
      <c r="CQ150" s="179"/>
      <c r="CR150" s="179"/>
      <c r="CS150" s="179"/>
      <c r="CT150" s="179"/>
      <c r="CU150" s="179"/>
      <c r="CV150" s="179"/>
      <c r="CW150" s="179"/>
      <c r="CX150" s="179"/>
      <c r="CY150" s="179"/>
      <c r="CZ150" s="179"/>
      <c r="DA150" s="179"/>
      <c r="DB150" s="179"/>
      <c r="DC150" s="179"/>
      <c r="DD150" s="179"/>
      <c r="DE150" s="179"/>
      <c r="DF150" s="179"/>
      <c r="DG150" s="179"/>
      <c r="DH150" s="179"/>
      <c r="DI150" s="179"/>
      <c r="DJ150" s="179"/>
      <c r="DK150" s="179"/>
      <c r="DL150" s="179"/>
      <c r="DM150" s="179"/>
      <c r="DN150" s="179"/>
      <c r="DO150" s="179"/>
      <c r="DP150" s="179"/>
      <c r="DQ150" s="179"/>
      <c r="DR150" s="179"/>
      <c r="DS150" s="179"/>
      <c r="DT150" s="179"/>
      <c r="DU150" s="179"/>
      <c r="DV150" s="179"/>
      <c r="DW150" s="179"/>
      <c r="DX150" s="179"/>
      <c r="DY150" s="179"/>
      <c r="DZ150" s="179"/>
      <c r="EA150" s="179"/>
      <c r="EB150" s="179"/>
      <c r="EC150" s="179"/>
      <c r="ED150" s="179"/>
      <c r="EE150" s="179"/>
      <c r="EF150" s="179"/>
      <c r="EG150" s="179"/>
    </row>
    <row r="151" spans="1:137" s="78" customFormat="1" ht="25.5">
      <c r="A151" s="330">
        <v>150</v>
      </c>
      <c r="B151" s="235" t="s">
        <v>2044</v>
      </c>
      <c r="C151" s="236" t="s">
        <v>3677</v>
      </c>
      <c r="D151" s="13" t="s">
        <v>3971</v>
      </c>
      <c r="E151" s="13" t="s">
        <v>3845</v>
      </c>
      <c r="F151" s="236" t="s">
        <v>3965</v>
      </c>
      <c r="G151" s="236" t="s">
        <v>3871</v>
      </c>
      <c r="H151" s="237">
        <v>44119</v>
      </c>
      <c r="I151" s="235"/>
      <c r="J151" s="237">
        <v>44051</v>
      </c>
      <c r="K151" s="178"/>
      <c r="L151" s="178"/>
      <c r="M151" s="237">
        <v>44201</v>
      </c>
      <c r="N151" s="342" t="s">
        <v>4061</v>
      </c>
      <c r="O151" s="343">
        <v>16</v>
      </c>
      <c r="P151" s="179"/>
      <c r="Q151" s="179"/>
      <c r="R151" s="179"/>
      <c r="S151" s="179"/>
      <c r="T151" s="179"/>
      <c r="U151" s="179"/>
      <c r="V151" s="179"/>
      <c r="W151" s="179"/>
      <c r="X151" s="179"/>
      <c r="Y151" s="179"/>
      <c r="Z151" s="179"/>
      <c r="AA151" s="179"/>
      <c r="AB151" s="179"/>
      <c r="AC151" s="179"/>
      <c r="AD151" s="179"/>
      <c r="AE151" s="179"/>
      <c r="AF151" s="179"/>
      <c r="AG151" s="179"/>
      <c r="AH151" s="179"/>
      <c r="AI151" s="179"/>
      <c r="AJ151" s="179"/>
      <c r="AK151" s="179"/>
      <c r="AL151" s="179"/>
      <c r="AM151" s="179"/>
      <c r="AN151" s="179"/>
      <c r="AO151" s="179"/>
      <c r="AP151" s="179"/>
      <c r="AQ151" s="179"/>
      <c r="AR151" s="179"/>
      <c r="AS151" s="179"/>
      <c r="AT151" s="179"/>
      <c r="AU151" s="179"/>
      <c r="AV151" s="179"/>
      <c r="AW151" s="179"/>
      <c r="AX151" s="179"/>
      <c r="AY151" s="179"/>
      <c r="AZ151" s="179"/>
      <c r="BA151" s="179"/>
      <c r="BB151" s="179"/>
      <c r="BC151" s="179"/>
      <c r="BD151" s="179"/>
      <c r="BE151" s="179"/>
      <c r="BF151" s="179"/>
      <c r="BG151" s="179"/>
      <c r="BH151" s="179"/>
      <c r="BI151" s="179"/>
      <c r="BJ151" s="179"/>
      <c r="BK151" s="179"/>
      <c r="BL151" s="179"/>
      <c r="BM151" s="179"/>
      <c r="BN151" s="179"/>
      <c r="BO151" s="179"/>
      <c r="BP151" s="179"/>
      <c r="BQ151" s="179"/>
      <c r="BR151" s="179"/>
      <c r="BS151" s="179"/>
      <c r="BT151" s="179"/>
      <c r="BU151" s="179"/>
      <c r="BV151" s="179"/>
      <c r="BW151" s="179"/>
      <c r="BX151" s="179"/>
      <c r="BY151" s="179"/>
      <c r="BZ151" s="179"/>
      <c r="CA151" s="179"/>
      <c r="CB151" s="179"/>
      <c r="CC151" s="179"/>
      <c r="CD151" s="179"/>
      <c r="CE151" s="179"/>
      <c r="CF151" s="179"/>
      <c r="CG151" s="179"/>
      <c r="CH151" s="179"/>
      <c r="CI151" s="179"/>
      <c r="CJ151" s="179"/>
      <c r="CK151" s="179"/>
      <c r="CL151" s="179"/>
      <c r="CM151" s="179"/>
      <c r="CN151" s="179"/>
      <c r="CO151" s="179"/>
      <c r="CP151" s="179"/>
      <c r="CQ151" s="179"/>
      <c r="CR151" s="179"/>
      <c r="CS151" s="179"/>
      <c r="CT151" s="179"/>
      <c r="CU151" s="179"/>
      <c r="CV151" s="179"/>
      <c r="CW151" s="179"/>
      <c r="CX151" s="179"/>
      <c r="CY151" s="179"/>
      <c r="CZ151" s="179"/>
      <c r="DA151" s="179"/>
      <c r="DB151" s="179"/>
      <c r="DC151" s="179"/>
      <c r="DD151" s="179"/>
      <c r="DE151" s="179"/>
      <c r="DF151" s="179"/>
      <c r="DG151" s="179"/>
      <c r="DH151" s="179"/>
      <c r="DI151" s="179"/>
      <c r="DJ151" s="179"/>
      <c r="DK151" s="179"/>
      <c r="DL151" s="179"/>
      <c r="DM151" s="179"/>
      <c r="DN151" s="179"/>
      <c r="DO151" s="179"/>
      <c r="DP151" s="179"/>
      <c r="DQ151" s="179"/>
      <c r="DR151" s="179"/>
      <c r="DS151" s="179"/>
      <c r="DT151" s="179"/>
      <c r="DU151" s="179"/>
      <c r="DV151" s="179"/>
      <c r="DW151" s="179"/>
      <c r="DX151" s="179"/>
      <c r="DY151" s="179"/>
      <c r="DZ151" s="179"/>
      <c r="EA151" s="179"/>
      <c r="EB151" s="179"/>
      <c r="EC151" s="179"/>
      <c r="ED151" s="179"/>
      <c r="EE151" s="179"/>
      <c r="EF151" s="179"/>
      <c r="EG151" s="179"/>
    </row>
    <row r="152" spans="1:137" s="78" customFormat="1" ht="25.5">
      <c r="A152" s="330">
        <v>151</v>
      </c>
      <c r="B152" s="235" t="s">
        <v>2044</v>
      </c>
      <c r="C152" s="236" t="s">
        <v>3677</v>
      </c>
      <c r="D152" s="236" t="s">
        <v>4073</v>
      </c>
      <c r="E152" s="13" t="s">
        <v>3846</v>
      </c>
      <c r="F152" s="236" t="s">
        <v>3966</v>
      </c>
      <c r="G152" s="236" t="s">
        <v>3756</v>
      </c>
      <c r="H152" s="237">
        <v>44120</v>
      </c>
      <c r="I152" s="235"/>
      <c r="J152" s="237">
        <v>44051</v>
      </c>
      <c r="K152" s="178"/>
      <c r="L152" s="178"/>
      <c r="M152" s="237">
        <v>44201</v>
      </c>
      <c r="N152" s="342" t="s">
        <v>4061</v>
      </c>
      <c r="O152" s="343"/>
      <c r="P152" s="179"/>
      <c r="Q152" s="179"/>
      <c r="R152" s="179"/>
      <c r="S152" s="179"/>
      <c r="T152" s="179"/>
      <c r="U152" s="179"/>
      <c r="V152" s="179"/>
      <c r="W152" s="179"/>
      <c r="X152" s="179"/>
      <c r="Y152" s="179"/>
      <c r="Z152" s="179"/>
      <c r="AA152" s="179"/>
      <c r="AB152" s="179"/>
      <c r="AC152" s="179"/>
      <c r="AD152" s="179"/>
      <c r="AE152" s="179"/>
      <c r="AF152" s="179"/>
      <c r="AG152" s="179"/>
      <c r="AH152" s="179"/>
      <c r="AI152" s="179"/>
      <c r="AJ152" s="179"/>
      <c r="AK152" s="179"/>
      <c r="AL152" s="179"/>
      <c r="AM152" s="179"/>
      <c r="AN152" s="179"/>
      <c r="AO152" s="179"/>
      <c r="AP152" s="179"/>
      <c r="AQ152" s="179"/>
      <c r="AR152" s="179"/>
      <c r="AS152" s="179"/>
      <c r="AT152" s="179"/>
      <c r="AU152" s="179"/>
      <c r="AV152" s="179"/>
      <c r="AW152" s="179"/>
      <c r="AX152" s="179"/>
      <c r="AY152" s="179"/>
      <c r="AZ152" s="179"/>
      <c r="BA152" s="179"/>
      <c r="BB152" s="179"/>
      <c r="BC152" s="179"/>
      <c r="BD152" s="179"/>
      <c r="BE152" s="179"/>
      <c r="BF152" s="179"/>
      <c r="BG152" s="179"/>
      <c r="BH152" s="179"/>
      <c r="BI152" s="179"/>
      <c r="BJ152" s="179"/>
      <c r="BK152" s="179"/>
      <c r="BL152" s="179"/>
      <c r="BM152" s="179"/>
      <c r="BN152" s="179"/>
      <c r="BO152" s="179"/>
      <c r="BP152" s="179"/>
      <c r="BQ152" s="179"/>
      <c r="BR152" s="179"/>
      <c r="BS152" s="179"/>
      <c r="BT152" s="179"/>
      <c r="BU152" s="179"/>
      <c r="BV152" s="179"/>
      <c r="BW152" s="179"/>
      <c r="BX152" s="179"/>
      <c r="BY152" s="179"/>
      <c r="BZ152" s="179"/>
      <c r="CA152" s="179"/>
      <c r="CB152" s="179"/>
      <c r="CC152" s="179"/>
      <c r="CD152" s="179"/>
      <c r="CE152" s="179"/>
      <c r="CF152" s="179"/>
      <c r="CG152" s="179"/>
      <c r="CH152" s="179"/>
      <c r="CI152" s="179"/>
      <c r="CJ152" s="179"/>
      <c r="CK152" s="179"/>
      <c r="CL152" s="179"/>
      <c r="CM152" s="179"/>
      <c r="CN152" s="179"/>
      <c r="CO152" s="179"/>
      <c r="CP152" s="179"/>
      <c r="CQ152" s="179"/>
      <c r="CR152" s="179"/>
      <c r="CS152" s="179"/>
      <c r="CT152" s="179"/>
      <c r="CU152" s="179"/>
      <c r="CV152" s="179"/>
      <c r="CW152" s="179"/>
      <c r="CX152" s="179"/>
      <c r="CY152" s="179"/>
      <c r="CZ152" s="179"/>
      <c r="DA152" s="179"/>
      <c r="DB152" s="179"/>
      <c r="DC152" s="179"/>
      <c r="DD152" s="179"/>
      <c r="DE152" s="179"/>
      <c r="DF152" s="179"/>
      <c r="DG152" s="179"/>
      <c r="DH152" s="179"/>
      <c r="DI152" s="179"/>
      <c r="DJ152" s="179"/>
      <c r="DK152" s="179"/>
      <c r="DL152" s="179"/>
      <c r="DM152" s="179"/>
      <c r="DN152" s="179"/>
      <c r="DO152" s="179"/>
      <c r="DP152" s="179"/>
      <c r="DQ152" s="179"/>
      <c r="DR152" s="179"/>
      <c r="DS152" s="179"/>
      <c r="DT152" s="179"/>
      <c r="DU152" s="179"/>
      <c r="DV152" s="179"/>
      <c r="DW152" s="179"/>
      <c r="DX152" s="179"/>
      <c r="DY152" s="179"/>
      <c r="DZ152" s="179"/>
      <c r="EA152" s="179"/>
      <c r="EB152" s="179"/>
      <c r="EC152" s="179"/>
      <c r="ED152" s="179"/>
      <c r="EE152" s="179"/>
      <c r="EF152" s="179"/>
      <c r="EG152" s="179"/>
    </row>
    <row r="153" spans="1:137" s="78" customFormat="1" ht="25.5">
      <c r="A153" s="330">
        <v>152</v>
      </c>
      <c r="B153" s="235" t="s">
        <v>2044</v>
      </c>
      <c r="C153" s="236" t="s">
        <v>3682</v>
      </c>
      <c r="D153" s="189" t="s">
        <v>3834</v>
      </c>
      <c r="E153" s="13" t="s">
        <v>3834</v>
      </c>
      <c r="F153" s="236" t="s">
        <v>3967</v>
      </c>
      <c r="G153" s="236" t="s">
        <v>4050</v>
      </c>
      <c r="H153" s="237">
        <v>44090</v>
      </c>
      <c r="I153" s="235"/>
      <c r="J153" s="237">
        <v>44081</v>
      </c>
      <c r="K153" s="178">
        <f t="shared" ref="K153" si="6">YEAR(J153)</f>
        <v>2020</v>
      </c>
      <c r="L153" s="178">
        <f t="shared" ref="L153" si="7">MONTH(J153)</f>
        <v>9</v>
      </c>
      <c r="M153" s="237">
        <v>44091</v>
      </c>
      <c r="N153" s="342" t="s">
        <v>4060</v>
      </c>
      <c r="O153" s="343">
        <v>15</v>
      </c>
      <c r="P153" s="179"/>
      <c r="Q153" s="179"/>
      <c r="R153" s="179"/>
      <c r="S153" s="179"/>
      <c r="T153" s="179"/>
      <c r="U153" s="179"/>
      <c r="V153" s="179"/>
      <c r="W153" s="179"/>
      <c r="X153" s="179"/>
      <c r="Y153" s="179"/>
      <c r="Z153" s="179"/>
      <c r="AA153" s="179"/>
      <c r="AB153" s="179"/>
      <c r="AC153" s="179"/>
      <c r="AD153" s="179"/>
      <c r="AE153" s="179"/>
      <c r="AF153" s="179"/>
      <c r="AG153" s="179"/>
      <c r="AH153" s="179"/>
      <c r="AI153" s="179"/>
      <c r="AJ153" s="179"/>
      <c r="AK153" s="179"/>
      <c r="AL153" s="179"/>
      <c r="AM153" s="179"/>
      <c r="AN153" s="179"/>
      <c r="AO153" s="179"/>
      <c r="AP153" s="179"/>
      <c r="AQ153" s="179"/>
      <c r="AR153" s="179"/>
      <c r="AS153" s="179"/>
      <c r="AT153" s="179"/>
      <c r="AU153" s="179"/>
      <c r="AV153" s="179"/>
      <c r="AW153" s="179"/>
      <c r="AX153" s="179"/>
      <c r="AY153" s="179"/>
      <c r="AZ153" s="179"/>
      <c r="BA153" s="179"/>
      <c r="BB153" s="179"/>
      <c r="BC153" s="179"/>
      <c r="BD153" s="179"/>
      <c r="BE153" s="179"/>
      <c r="BF153" s="179"/>
      <c r="BG153" s="179"/>
      <c r="BH153" s="179"/>
      <c r="BI153" s="179"/>
      <c r="BJ153" s="179"/>
      <c r="BK153" s="179"/>
      <c r="BL153" s="179"/>
      <c r="BM153" s="179"/>
      <c r="BN153" s="179"/>
      <c r="BO153" s="179"/>
      <c r="BP153" s="179"/>
      <c r="BQ153" s="179"/>
      <c r="BR153" s="179"/>
      <c r="BS153" s="179"/>
      <c r="BT153" s="179"/>
      <c r="BU153" s="179"/>
      <c r="BV153" s="179"/>
      <c r="BW153" s="179"/>
      <c r="BX153" s="179"/>
      <c r="BY153" s="179"/>
      <c r="BZ153" s="179"/>
      <c r="CA153" s="179"/>
      <c r="CB153" s="179"/>
      <c r="CC153" s="179"/>
      <c r="CD153" s="179"/>
      <c r="CE153" s="179"/>
      <c r="CF153" s="179"/>
      <c r="CG153" s="179"/>
      <c r="CH153" s="179"/>
      <c r="CI153" s="179"/>
      <c r="CJ153" s="179"/>
      <c r="CK153" s="179"/>
      <c r="CL153" s="179"/>
      <c r="CM153" s="179"/>
      <c r="CN153" s="179"/>
      <c r="CO153" s="179"/>
      <c r="CP153" s="179"/>
      <c r="CQ153" s="179"/>
      <c r="CR153" s="179"/>
      <c r="CS153" s="179"/>
      <c r="CT153" s="179"/>
      <c r="CU153" s="179"/>
      <c r="CV153" s="179"/>
      <c r="CW153" s="179"/>
      <c r="CX153" s="179"/>
      <c r="CY153" s="179"/>
      <c r="CZ153" s="179"/>
      <c r="DA153" s="179"/>
      <c r="DB153" s="179"/>
      <c r="DC153" s="179"/>
      <c r="DD153" s="179"/>
      <c r="DE153" s="179"/>
      <c r="DF153" s="179"/>
      <c r="DG153" s="179"/>
      <c r="DH153" s="179"/>
      <c r="DI153" s="179"/>
      <c r="DJ153" s="179"/>
      <c r="DK153" s="179"/>
      <c r="DL153" s="179"/>
      <c r="DM153" s="179"/>
      <c r="DN153" s="179"/>
      <c r="DO153" s="179"/>
      <c r="DP153" s="179"/>
      <c r="DQ153" s="179"/>
      <c r="DR153" s="179"/>
      <c r="DS153" s="179"/>
      <c r="DT153" s="179"/>
      <c r="DU153" s="179"/>
      <c r="DV153" s="179"/>
      <c r="DW153" s="179"/>
      <c r="DX153" s="179"/>
      <c r="DY153" s="179"/>
      <c r="DZ153" s="179"/>
      <c r="EA153" s="179"/>
      <c r="EB153" s="179"/>
      <c r="EC153" s="179"/>
      <c r="ED153" s="179"/>
      <c r="EE153" s="179"/>
      <c r="EF153" s="179"/>
      <c r="EG153" s="179"/>
    </row>
    <row r="154" spans="1:137" s="78" customFormat="1" ht="25.5">
      <c r="A154" s="330">
        <v>153</v>
      </c>
      <c r="B154" s="235" t="s">
        <v>2044</v>
      </c>
      <c r="C154" s="236" t="s">
        <v>3749</v>
      </c>
      <c r="D154" s="203" t="s">
        <v>4072</v>
      </c>
      <c r="E154" s="13" t="s">
        <v>2076</v>
      </c>
      <c r="F154" s="236" t="s">
        <v>3968</v>
      </c>
      <c r="G154" s="236" t="s">
        <v>4051</v>
      </c>
      <c r="H154" s="237">
        <v>44115</v>
      </c>
      <c r="I154" s="235" t="s">
        <v>4053</v>
      </c>
      <c r="J154" s="237">
        <v>44115</v>
      </c>
      <c r="K154" s="178">
        <f t="shared" ref="K154:K156" si="8">YEAR(J154)</f>
        <v>2020</v>
      </c>
      <c r="L154" s="178">
        <f t="shared" ref="L154:L156" si="9">MONTH(J154)</f>
        <v>10</v>
      </c>
      <c r="M154" s="237">
        <v>44116</v>
      </c>
      <c r="N154" s="342" t="s">
        <v>4057</v>
      </c>
      <c r="O154" s="343">
        <v>11</v>
      </c>
      <c r="P154" s="179"/>
      <c r="Q154" s="179"/>
      <c r="R154" s="179"/>
      <c r="S154" s="179"/>
      <c r="T154" s="179"/>
      <c r="U154" s="179"/>
      <c r="V154" s="179"/>
      <c r="W154" s="179"/>
      <c r="X154" s="179"/>
      <c r="Y154" s="179"/>
      <c r="Z154" s="179"/>
      <c r="AA154" s="179"/>
      <c r="AB154" s="179"/>
      <c r="AC154" s="179"/>
      <c r="AD154" s="179"/>
      <c r="AE154" s="179"/>
      <c r="AF154" s="179"/>
      <c r="AG154" s="179"/>
      <c r="AH154" s="179"/>
      <c r="AI154" s="179"/>
      <c r="AJ154" s="179"/>
      <c r="AK154" s="179"/>
      <c r="AL154" s="179"/>
      <c r="AM154" s="179"/>
      <c r="AN154" s="179"/>
      <c r="AO154" s="179"/>
      <c r="AP154" s="179"/>
      <c r="AQ154" s="179"/>
      <c r="AR154" s="179"/>
      <c r="AS154" s="179"/>
      <c r="AT154" s="179"/>
      <c r="AU154" s="179"/>
      <c r="AV154" s="179"/>
      <c r="AW154" s="179"/>
      <c r="AX154" s="179"/>
      <c r="AY154" s="179"/>
      <c r="AZ154" s="179"/>
      <c r="BA154" s="179"/>
      <c r="BB154" s="179"/>
      <c r="BC154" s="179"/>
      <c r="BD154" s="179"/>
      <c r="BE154" s="179"/>
      <c r="BF154" s="179"/>
      <c r="BG154" s="179"/>
      <c r="BH154" s="179"/>
      <c r="BI154" s="179"/>
      <c r="BJ154" s="179"/>
      <c r="BK154" s="179"/>
      <c r="BL154" s="179"/>
      <c r="BM154" s="179"/>
      <c r="BN154" s="179"/>
      <c r="BO154" s="179"/>
      <c r="BP154" s="179"/>
      <c r="BQ154" s="179"/>
      <c r="BR154" s="179"/>
      <c r="BS154" s="179"/>
      <c r="BT154" s="179"/>
      <c r="BU154" s="179"/>
      <c r="BV154" s="179"/>
      <c r="BW154" s="179"/>
      <c r="BX154" s="179"/>
      <c r="BY154" s="179"/>
      <c r="BZ154" s="179"/>
      <c r="CA154" s="179"/>
      <c r="CB154" s="179"/>
      <c r="CC154" s="179"/>
      <c r="CD154" s="179"/>
      <c r="CE154" s="179"/>
      <c r="CF154" s="179"/>
      <c r="CG154" s="179"/>
      <c r="CH154" s="179"/>
      <c r="CI154" s="179"/>
      <c r="CJ154" s="179"/>
      <c r="CK154" s="179"/>
      <c r="CL154" s="179"/>
      <c r="CM154" s="179"/>
      <c r="CN154" s="179"/>
      <c r="CO154" s="179"/>
      <c r="CP154" s="179"/>
      <c r="CQ154" s="179"/>
      <c r="CR154" s="179"/>
      <c r="CS154" s="179"/>
      <c r="CT154" s="179"/>
      <c r="CU154" s="179"/>
      <c r="CV154" s="179"/>
      <c r="CW154" s="179"/>
      <c r="CX154" s="179"/>
      <c r="CY154" s="179"/>
      <c r="CZ154" s="179"/>
      <c r="DA154" s="179"/>
      <c r="DB154" s="179"/>
      <c r="DC154" s="179"/>
      <c r="DD154" s="179"/>
      <c r="DE154" s="179"/>
      <c r="DF154" s="179"/>
      <c r="DG154" s="179"/>
      <c r="DH154" s="179"/>
      <c r="DI154" s="179"/>
      <c r="DJ154" s="179"/>
      <c r="DK154" s="179"/>
      <c r="DL154" s="179"/>
      <c r="DM154" s="179"/>
      <c r="DN154" s="179"/>
      <c r="DO154" s="179"/>
      <c r="DP154" s="179"/>
      <c r="DQ154" s="179"/>
      <c r="DR154" s="179"/>
      <c r="DS154" s="179"/>
      <c r="DT154" s="179"/>
      <c r="DU154" s="179"/>
      <c r="DV154" s="179"/>
      <c r="DW154" s="179"/>
      <c r="DX154" s="179"/>
      <c r="DY154" s="179"/>
      <c r="DZ154" s="179"/>
      <c r="EA154" s="179"/>
      <c r="EB154" s="179"/>
      <c r="EC154" s="179"/>
      <c r="ED154" s="179"/>
      <c r="EE154" s="179"/>
      <c r="EF154" s="179"/>
      <c r="EG154" s="179"/>
    </row>
    <row r="155" spans="1:137" s="78" customFormat="1" ht="25.5">
      <c r="A155" s="330">
        <v>154</v>
      </c>
      <c r="B155" s="235" t="s">
        <v>2044</v>
      </c>
      <c r="C155" s="236" t="s">
        <v>1877</v>
      </c>
      <c r="D155" s="236" t="s">
        <v>3638</v>
      </c>
      <c r="E155" s="13" t="s">
        <v>3844</v>
      </c>
      <c r="F155" s="236" t="s">
        <v>3969</v>
      </c>
      <c r="G155" s="236" t="s">
        <v>4052</v>
      </c>
      <c r="H155" s="237">
        <v>44173</v>
      </c>
      <c r="I155" s="235"/>
      <c r="J155" s="237">
        <v>44155</v>
      </c>
      <c r="K155" s="178">
        <f t="shared" si="8"/>
        <v>2020</v>
      </c>
      <c r="L155" s="178">
        <f t="shared" si="9"/>
        <v>11</v>
      </c>
      <c r="M155" s="237">
        <v>44201</v>
      </c>
      <c r="N155" s="342" t="s">
        <v>4061</v>
      </c>
      <c r="O155" s="434" t="s">
        <v>201</v>
      </c>
      <c r="P155" s="179"/>
      <c r="Q155" s="179"/>
      <c r="R155" s="179"/>
      <c r="S155" s="179"/>
      <c r="T155" s="179"/>
      <c r="U155" s="179"/>
      <c r="V155" s="179"/>
      <c r="W155" s="179"/>
      <c r="X155" s="179"/>
      <c r="Y155" s="179"/>
      <c r="Z155" s="179"/>
      <c r="AA155" s="179"/>
      <c r="AB155" s="179"/>
      <c r="AC155" s="179"/>
      <c r="AD155" s="179"/>
      <c r="AE155" s="179"/>
      <c r="AF155" s="179"/>
      <c r="AG155" s="179"/>
      <c r="AH155" s="179"/>
      <c r="AI155" s="179"/>
      <c r="AJ155" s="179"/>
      <c r="AK155" s="179"/>
      <c r="AL155" s="179"/>
      <c r="AM155" s="179"/>
      <c r="AN155" s="179"/>
      <c r="AO155" s="179"/>
      <c r="AP155" s="179"/>
      <c r="AQ155" s="179"/>
      <c r="AR155" s="179"/>
      <c r="AS155" s="179"/>
      <c r="AT155" s="179"/>
      <c r="AU155" s="179"/>
      <c r="AV155" s="179"/>
      <c r="AW155" s="179"/>
      <c r="AX155" s="179"/>
      <c r="AY155" s="179"/>
      <c r="AZ155" s="179"/>
      <c r="BA155" s="179"/>
      <c r="BB155" s="179"/>
      <c r="BC155" s="179"/>
      <c r="BD155" s="179"/>
      <c r="BE155" s="179"/>
      <c r="BF155" s="179"/>
      <c r="BG155" s="179"/>
      <c r="BH155" s="179"/>
      <c r="BI155" s="179"/>
      <c r="BJ155" s="179"/>
      <c r="BK155" s="179"/>
      <c r="BL155" s="179"/>
      <c r="BM155" s="179"/>
      <c r="BN155" s="179"/>
      <c r="BO155" s="179"/>
      <c r="BP155" s="179"/>
      <c r="BQ155" s="179"/>
      <c r="BR155" s="179"/>
      <c r="BS155" s="179"/>
      <c r="BT155" s="179"/>
      <c r="BU155" s="179"/>
      <c r="BV155" s="179"/>
      <c r="BW155" s="179"/>
      <c r="BX155" s="179"/>
      <c r="BY155" s="179"/>
      <c r="BZ155" s="179"/>
      <c r="CA155" s="179"/>
      <c r="CB155" s="179"/>
      <c r="CC155" s="179"/>
      <c r="CD155" s="179"/>
      <c r="CE155" s="179"/>
      <c r="CF155" s="179"/>
      <c r="CG155" s="179"/>
      <c r="CH155" s="179"/>
      <c r="CI155" s="179"/>
      <c r="CJ155" s="179"/>
      <c r="CK155" s="179"/>
      <c r="CL155" s="179"/>
      <c r="CM155" s="179"/>
      <c r="CN155" s="179"/>
      <c r="CO155" s="179"/>
      <c r="CP155" s="179"/>
      <c r="CQ155" s="179"/>
      <c r="CR155" s="179"/>
      <c r="CS155" s="179"/>
      <c r="CT155" s="179"/>
      <c r="CU155" s="179"/>
      <c r="CV155" s="179"/>
      <c r="CW155" s="179"/>
      <c r="CX155" s="179"/>
      <c r="CY155" s="179"/>
      <c r="CZ155" s="179"/>
      <c r="DA155" s="179"/>
      <c r="DB155" s="179"/>
      <c r="DC155" s="179"/>
      <c r="DD155" s="179"/>
      <c r="DE155" s="179"/>
      <c r="DF155" s="179"/>
      <c r="DG155" s="179"/>
      <c r="DH155" s="179"/>
      <c r="DI155" s="179"/>
      <c r="DJ155" s="179"/>
      <c r="DK155" s="179"/>
      <c r="DL155" s="179"/>
      <c r="DM155" s="179"/>
      <c r="DN155" s="179"/>
      <c r="DO155" s="179"/>
      <c r="DP155" s="179"/>
      <c r="DQ155" s="179"/>
      <c r="DR155" s="179"/>
      <c r="DS155" s="179"/>
      <c r="DT155" s="179"/>
      <c r="DU155" s="179"/>
      <c r="DV155" s="179"/>
      <c r="DW155" s="179"/>
      <c r="DX155" s="179"/>
      <c r="DY155" s="179"/>
      <c r="DZ155" s="179"/>
      <c r="EA155" s="179"/>
      <c r="EB155" s="179"/>
      <c r="EC155" s="179"/>
      <c r="ED155" s="179"/>
      <c r="EE155" s="179"/>
      <c r="EF155" s="179"/>
      <c r="EG155" s="179"/>
    </row>
    <row r="156" spans="1:137" s="78" customFormat="1" ht="25.5">
      <c r="A156" s="330">
        <v>155</v>
      </c>
      <c r="B156" s="235" t="s">
        <v>2044</v>
      </c>
      <c r="C156" s="236" t="s">
        <v>2392</v>
      </c>
      <c r="D156" s="191" t="s">
        <v>4064</v>
      </c>
      <c r="E156" s="13" t="s">
        <v>3847</v>
      </c>
      <c r="F156" s="236" t="s">
        <v>3970</v>
      </c>
      <c r="G156" s="13" t="s">
        <v>3847</v>
      </c>
      <c r="H156" s="237">
        <v>44194</v>
      </c>
      <c r="I156" s="235" t="s">
        <v>4053</v>
      </c>
      <c r="J156" s="237">
        <v>44177</v>
      </c>
      <c r="K156" s="178">
        <f t="shared" si="8"/>
        <v>2020</v>
      </c>
      <c r="L156" s="178">
        <f t="shared" si="9"/>
        <v>12</v>
      </c>
      <c r="M156" s="237">
        <v>44196</v>
      </c>
      <c r="N156" s="342" t="s">
        <v>4060</v>
      </c>
      <c r="O156" s="343">
        <v>28</v>
      </c>
      <c r="P156" s="179"/>
      <c r="Q156" s="179"/>
      <c r="R156" s="179"/>
      <c r="S156" s="179"/>
      <c r="T156" s="179"/>
      <c r="U156" s="179"/>
      <c r="V156" s="179"/>
      <c r="W156" s="179"/>
      <c r="X156" s="179"/>
      <c r="Y156" s="179"/>
      <c r="Z156" s="179"/>
      <c r="AA156" s="179"/>
      <c r="AB156" s="179"/>
      <c r="AC156" s="179"/>
      <c r="AD156" s="179"/>
      <c r="AE156" s="179"/>
      <c r="AF156" s="179"/>
      <c r="AG156" s="179"/>
      <c r="AH156" s="179"/>
      <c r="AI156" s="179"/>
      <c r="AJ156" s="179"/>
      <c r="AK156" s="179"/>
      <c r="AL156" s="179"/>
      <c r="AM156" s="179"/>
      <c r="AN156" s="179"/>
      <c r="AO156" s="179"/>
      <c r="AP156" s="179"/>
      <c r="AQ156" s="179"/>
      <c r="AR156" s="179"/>
      <c r="AS156" s="179"/>
      <c r="AT156" s="179"/>
      <c r="AU156" s="179"/>
      <c r="AV156" s="179"/>
      <c r="AW156" s="179"/>
      <c r="AX156" s="179"/>
      <c r="AY156" s="179"/>
      <c r="AZ156" s="179"/>
      <c r="BA156" s="179"/>
      <c r="BB156" s="179"/>
      <c r="BC156" s="179"/>
      <c r="BD156" s="179"/>
      <c r="BE156" s="179"/>
      <c r="BF156" s="179"/>
      <c r="BG156" s="179"/>
      <c r="BH156" s="179"/>
      <c r="BI156" s="179"/>
      <c r="BJ156" s="179"/>
      <c r="BK156" s="179"/>
      <c r="BL156" s="179"/>
      <c r="BM156" s="179"/>
      <c r="BN156" s="179"/>
      <c r="BO156" s="179"/>
      <c r="BP156" s="179"/>
      <c r="BQ156" s="179"/>
      <c r="BR156" s="179"/>
      <c r="BS156" s="179"/>
      <c r="BT156" s="179"/>
      <c r="BU156" s="179"/>
      <c r="BV156" s="179"/>
      <c r="BW156" s="179"/>
      <c r="BX156" s="179"/>
      <c r="BY156" s="179"/>
      <c r="BZ156" s="179"/>
      <c r="CA156" s="179"/>
      <c r="CB156" s="179"/>
      <c r="CC156" s="179"/>
      <c r="CD156" s="179"/>
      <c r="CE156" s="179"/>
      <c r="CF156" s="179"/>
      <c r="CG156" s="179"/>
      <c r="CH156" s="179"/>
      <c r="CI156" s="179"/>
      <c r="CJ156" s="179"/>
      <c r="CK156" s="179"/>
      <c r="CL156" s="179"/>
      <c r="CM156" s="179"/>
      <c r="CN156" s="179"/>
      <c r="CO156" s="179"/>
      <c r="CP156" s="179"/>
      <c r="CQ156" s="179"/>
      <c r="CR156" s="179"/>
      <c r="CS156" s="179"/>
      <c r="CT156" s="179"/>
      <c r="CU156" s="179"/>
      <c r="CV156" s="179"/>
      <c r="CW156" s="179"/>
      <c r="CX156" s="179"/>
      <c r="CY156" s="179"/>
      <c r="CZ156" s="179"/>
      <c r="DA156" s="179"/>
      <c r="DB156" s="179"/>
      <c r="DC156" s="179"/>
      <c r="DD156" s="179"/>
      <c r="DE156" s="179"/>
      <c r="DF156" s="179"/>
      <c r="DG156" s="179"/>
      <c r="DH156" s="179"/>
      <c r="DI156" s="179"/>
      <c r="DJ156" s="179"/>
      <c r="DK156" s="179"/>
      <c r="DL156" s="179"/>
      <c r="DM156" s="179"/>
      <c r="DN156" s="179"/>
      <c r="DO156" s="179"/>
      <c r="DP156" s="179"/>
      <c r="DQ156" s="179"/>
      <c r="DR156" s="179"/>
      <c r="DS156" s="179"/>
      <c r="DT156" s="179"/>
      <c r="DU156" s="179"/>
      <c r="DV156" s="179"/>
      <c r="DW156" s="179"/>
      <c r="DX156" s="179"/>
      <c r="DY156" s="179"/>
      <c r="DZ156" s="179"/>
      <c r="EA156" s="179"/>
      <c r="EB156" s="179"/>
      <c r="EC156" s="179"/>
      <c r="ED156" s="179"/>
      <c r="EE156" s="179"/>
      <c r="EF156" s="179"/>
      <c r="EG156" s="179"/>
    </row>
    <row r="157" spans="1:137" s="78" customFormat="1" ht="25.5">
      <c r="A157" s="330">
        <v>156</v>
      </c>
      <c r="B157" s="235" t="s">
        <v>2044</v>
      </c>
      <c r="C157" s="236" t="s">
        <v>2392</v>
      </c>
      <c r="D157" s="191" t="s">
        <v>4064</v>
      </c>
      <c r="E157" s="13" t="s">
        <v>3838</v>
      </c>
      <c r="F157" s="236" t="s">
        <v>3970</v>
      </c>
      <c r="G157" s="203" t="s">
        <v>4029</v>
      </c>
      <c r="H157" s="237">
        <v>44194</v>
      </c>
      <c r="I157" s="235" t="s">
        <v>4053</v>
      </c>
      <c r="J157" s="237">
        <v>44177</v>
      </c>
      <c r="K157" s="178">
        <f t="shared" ref="K157" si="10">YEAR(J157)</f>
        <v>2020</v>
      </c>
      <c r="L157" s="178">
        <f t="shared" ref="L157" si="11">MONTH(J157)</f>
        <v>12</v>
      </c>
      <c r="M157" s="237">
        <v>44196</v>
      </c>
      <c r="N157" s="342" t="s">
        <v>4060</v>
      </c>
      <c r="O157" s="343">
        <v>42</v>
      </c>
      <c r="P157" s="179"/>
      <c r="Q157" s="179"/>
      <c r="R157" s="179"/>
      <c r="S157" s="179"/>
      <c r="T157" s="179"/>
      <c r="U157" s="179"/>
      <c r="V157" s="179"/>
      <c r="W157" s="179"/>
      <c r="X157" s="179"/>
      <c r="Y157" s="179"/>
      <c r="Z157" s="179"/>
      <c r="AA157" s="179"/>
      <c r="AB157" s="179"/>
      <c r="AC157" s="179"/>
      <c r="AD157" s="179"/>
      <c r="AE157" s="179"/>
      <c r="AF157" s="179"/>
      <c r="AG157" s="179"/>
      <c r="AH157" s="179"/>
      <c r="AI157" s="179"/>
      <c r="AJ157" s="179"/>
      <c r="AK157" s="179"/>
      <c r="AL157" s="179"/>
      <c r="AM157" s="179"/>
      <c r="AN157" s="179"/>
      <c r="AO157" s="179"/>
      <c r="AP157" s="179"/>
      <c r="AQ157" s="179"/>
      <c r="AR157" s="179"/>
      <c r="AS157" s="179"/>
      <c r="AT157" s="179"/>
      <c r="AU157" s="179"/>
      <c r="AV157" s="179"/>
      <c r="AW157" s="179"/>
      <c r="AX157" s="179"/>
      <c r="AY157" s="179"/>
      <c r="AZ157" s="179"/>
      <c r="BA157" s="179"/>
      <c r="BB157" s="179"/>
      <c r="BC157" s="179"/>
      <c r="BD157" s="179"/>
      <c r="BE157" s="179"/>
      <c r="BF157" s="179"/>
      <c r="BG157" s="179"/>
      <c r="BH157" s="179"/>
      <c r="BI157" s="179"/>
      <c r="BJ157" s="179"/>
      <c r="BK157" s="179"/>
      <c r="BL157" s="179"/>
      <c r="BM157" s="179"/>
      <c r="BN157" s="179"/>
      <c r="BO157" s="179"/>
      <c r="BP157" s="179"/>
      <c r="BQ157" s="179"/>
      <c r="BR157" s="179"/>
      <c r="BS157" s="179"/>
      <c r="BT157" s="179"/>
      <c r="BU157" s="179"/>
      <c r="BV157" s="179"/>
      <c r="BW157" s="179"/>
      <c r="BX157" s="179"/>
      <c r="BY157" s="179"/>
      <c r="BZ157" s="179"/>
      <c r="CA157" s="179"/>
      <c r="CB157" s="179"/>
      <c r="CC157" s="179"/>
      <c r="CD157" s="179"/>
      <c r="CE157" s="179"/>
      <c r="CF157" s="179"/>
      <c r="CG157" s="179"/>
      <c r="CH157" s="179"/>
      <c r="CI157" s="179"/>
      <c r="CJ157" s="179"/>
      <c r="CK157" s="179"/>
      <c r="CL157" s="179"/>
      <c r="CM157" s="179"/>
      <c r="CN157" s="179"/>
      <c r="CO157" s="179"/>
      <c r="CP157" s="179"/>
      <c r="CQ157" s="179"/>
      <c r="CR157" s="179"/>
      <c r="CS157" s="179"/>
      <c r="CT157" s="179"/>
      <c r="CU157" s="179"/>
      <c r="CV157" s="179"/>
      <c r="CW157" s="179"/>
      <c r="CX157" s="179"/>
      <c r="CY157" s="179"/>
      <c r="CZ157" s="179"/>
      <c r="DA157" s="179"/>
      <c r="DB157" s="179"/>
      <c r="DC157" s="179"/>
      <c r="DD157" s="179"/>
      <c r="DE157" s="179"/>
      <c r="DF157" s="179"/>
      <c r="DG157" s="179"/>
      <c r="DH157" s="179"/>
      <c r="DI157" s="179"/>
      <c r="DJ157" s="179"/>
      <c r="DK157" s="179"/>
      <c r="DL157" s="179"/>
      <c r="DM157" s="179"/>
      <c r="DN157" s="179"/>
      <c r="DO157" s="179"/>
      <c r="DP157" s="179"/>
      <c r="DQ157" s="179"/>
      <c r="DR157" s="179"/>
      <c r="DS157" s="179"/>
      <c r="DT157" s="179"/>
      <c r="DU157" s="179"/>
      <c r="DV157" s="179"/>
      <c r="DW157" s="179"/>
      <c r="DX157" s="179"/>
      <c r="DY157" s="179"/>
      <c r="DZ157" s="179"/>
      <c r="EA157" s="179"/>
      <c r="EB157" s="179"/>
      <c r="EC157" s="179"/>
      <c r="ED157" s="179"/>
      <c r="EE157" s="179"/>
      <c r="EF157" s="179"/>
      <c r="EG157" s="179"/>
    </row>
    <row r="158" spans="1:137" s="354" customFormat="1">
      <c r="A158" s="274"/>
      <c r="B158" s="235"/>
      <c r="C158" s="203"/>
      <c r="D158" s="203"/>
      <c r="E158" s="189"/>
      <c r="F158" s="203"/>
      <c r="G158" s="203"/>
      <c r="H158" s="240"/>
      <c r="I158" s="202"/>
      <c r="J158" s="204"/>
      <c r="K158" s="178"/>
      <c r="L158" s="178"/>
      <c r="M158" s="204"/>
      <c r="N158" s="336"/>
      <c r="O158" s="343"/>
      <c r="P158" s="179"/>
      <c r="Q158" s="179"/>
      <c r="R158" s="179"/>
      <c r="S158" s="179"/>
      <c r="T158" s="179"/>
      <c r="U158" s="179"/>
      <c r="V158" s="179"/>
      <c r="W158" s="179"/>
      <c r="X158" s="179"/>
      <c r="Y158" s="179"/>
      <c r="Z158" s="179"/>
      <c r="AA158" s="179"/>
      <c r="AB158" s="179"/>
      <c r="AC158" s="179"/>
      <c r="AD158" s="179"/>
      <c r="AE158" s="179"/>
      <c r="AF158" s="179"/>
      <c r="AG158" s="179"/>
      <c r="AH158" s="179"/>
      <c r="AI158" s="179"/>
      <c r="AJ158" s="179"/>
      <c r="AK158" s="179"/>
      <c r="AL158" s="179"/>
      <c r="AM158" s="179"/>
      <c r="AN158" s="179"/>
      <c r="AO158" s="179"/>
      <c r="AP158" s="179"/>
      <c r="AQ158" s="179"/>
      <c r="AR158" s="179"/>
      <c r="AS158" s="179"/>
      <c r="AT158" s="179"/>
      <c r="AU158" s="179"/>
      <c r="AV158" s="179"/>
      <c r="AW158" s="179"/>
      <c r="AX158" s="179"/>
      <c r="AY158" s="179"/>
      <c r="AZ158" s="179"/>
      <c r="BA158" s="179"/>
      <c r="BB158" s="179"/>
      <c r="BC158" s="179"/>
      <c r="BD158" s="179"/>
      <c r="BE158" s="179"/>
      <c r="BF158" s="179"/>
      <c r="BG158" s="179"/>
      <c r="BH158" s="179"/>
      <c r="BI158" s="179"/>
      <c r="BJ158" s="179"/>
      <c r="BK158" s="179"/>
      <c r="BL158" s="179"/>
      <c r="BM158" s="179"/>
      <c r="BN158" s="179"/>
      <c r="BO158" s="179"/>
      <c r="BP158" s="179"/>
      <c r="BQ158" s="179"/>
      <c r="BR158" s="179"/>
      <c r="BS158" s="179"/>
      <c r="BT158" s="179"/>
      <c r="BU158" s="179"/>
      <c r="BV158" s="179"/>
      <c r="BW158" s="179"/>
      <c r="BX158" s="179"/>
      <c r="BY158" s="179"/>
      <c r="BZ158" s="179"/>
      <c r="CA158" s="179"/>
      <c r="CB158" s="179"/>
      <c r="CC158" s="179"/>
      <c r="CD158" s="179"/>
      <c r="CE158" s="179"/>
      <c r="CF158" s="179"/>
      <c r="CG158" s="179"/>
      <c r="CH158" s="179"/>
      <c r="CI158" s="179"/>
      <c r="CJ158" s="179"/>
      <c r="CK158" s="179"/>
      <c r="CL158" s="179"/>
      <c r="CM158" s="179"/>
      <c r="CN158" s="179"/>
      <c r="CO158" s="179"/>
      <c r="CP158" s="179"/>
      <c r="CQ158" s="179"/>
      <c r="CR158" s="179"/>
      <c r="CS158" s="179"/>
      <c r="CT158" s="179"/>
      <c r="CU158" s="179"/>
      <c r="CV158" s="179"/>
      <c r="CW158" s="179"/>
      <c r="CX158" s="179"/>
      <c r="CY158" s="179"/>
      <c r="CZ158" s="179"/>
      <c r="DA158" s="179"/>
      <c r="DB158" s="179"/>
      <c r="DC158" s="179"/>
      <c r="DD158" s="179"/>
      <c r="DE158" s="179"/>
      <c r="DF158" s="179"/>
      <c r="DG158" s="179"/>
      <c r="DH158" s="179"/>
      <c r="DI158" s="179"/>
      <c r="DJ158" s="179"/>
      <c r="DK158" s="179"/>
      <c r="DL158" s="179"/>
      <c r="DM158" s="179"/>
      <c r="DN158" s="179"/>
      <c r="DO158" s="179"/>
      <c r="DP158" s="179"/>
      <c r="DQ158" s="179"/>
      <c r="DR158" s="179"/>
      <c r="DS158" s="179"/>
      <c r="DT158" s="179"/>
      <c r="DU158" s="179"/>
      <c r="DV158" s="179"/>
      <c r="DW158" s="179"/>
      <c r="DX158" s="179"/>
      <c r="DY158" s="179"/>
      <c r="DZ158" s="179"/>
      <c r="EA158" s="179"/>
      <c r="EB158" s="179"/>
      <c r="EC158" s="179"/>
      <c r="ED158" s="179"/>
      <c r="EE158" s="179"/>
      <c r="EF158" s="179"/>
      <c r="EG158" s="179"/>
    </row>
    <row r="159" spans="1:137" s="354" customFormat="1" ht="13.5" thickBot="1">
      <c r="A159" s="274"/>
      <c r="B159" s="202"/>
      <c r="C159" s="203"/>
      <c r="D159" s="203"/>
      <c r="E159" s="189"/>
      <c r="F159" s="203"/>
      <c r="G159" s="203"/>
      <c r="H159" s="240"/>
      <c r="I159" s="202"/>
      <c r="J159" s="204"/>
      <c r="K159" s="178"/>
      <c r="L159" s="178"/>
      <c r="M159" s="425"/>
      <c r="N159" s="426"/>
      <c r="O159" s="427"/>
      <c r="P159" s="179"/>
      <c r="Q159" s="179"/>
      <c r="R159" s="179"/>
      <c r="S159" s="179"/>
      <c r="T159" s="179"/>
      <c r="U159" s="179"/>
      <c r="V159" s="179"/>
      <c r="W159" s="179"/>
      <c r="X159" s="179"/>
      <c r="Y159" s="179"/>
      <c r="Z159" s="179"/>
      <c r="AA159" s="179"/>
      <c r="AB159" s="179"/>
      <c r="AC159" s="179"/>
      <c r="AD159" s="179"/>
      <c r="AE159" s="179"/>
      <c r="AF159" s="179"/>
      <c r="AG159" s="179"/>
      <c r="AH159" s="179"/>
      <c r="AI159" s="179"/>
      <c r="AJ159" s="179"/>
      <c r="AK159" s="179"/>
      <c r="AL159" s="179"/>
      <c r="AM159" s="179"/>
      <c r="AN159" s="179"/>
      <c r="AO159" s="179"/>
      <c r="AP159" s="179"/>
      <c r="AQ159" s="179"/>
      <c r="AR159" s="179"/>
      <c r="AS159" s="179"/>
      <c r="AT159" s="179"/>
      <c r="AU159" s="179"/>
      <c r="AV159" s="179"/>
      <c r="AW159" s="179"/>
      <c r="AX159" s="179"/>
      <c r="AY159" s="179"/>
      <c r="AZ159" s="179"/>
      <c r="BA159" s="179"/>
      <c r="BB159" s="179"/>
      <c r="BC159" s="179"/>
      <c r="BD159" s="179"/>
      <c r="BE159" s="179"/>
      <c r="BF159" s="179"/>
      <c r="BG159" s="179"/>
      <c r="BH159" s="179"/>
      <c r="BI159" s="179"/>
      <c r="BJ159" s="179"/>
      <c r="BK159" s="179"/>
      <c r="BL159" s="179"/>
      <c r="BM159" s="179"/>
      <c r="BN159" s="179"/>
      <c r="BO159" s="179"/>
      <c r="BP159" s="179"/>
      <c r="BQ159" s="179"/>
      <c r="BR159" s="179"/>
      <c r="BS159" s="179"/>
      <c r="BT159" s="179"/>
      <c r="BU159" s="179"/>
      <c r="BV159" s="179"/>
      <c r="BW159" s="179"/>
      <c r="BX159" s="179"/>
      <c r="BY159" s="179"/>
      <c r="BZ159" s="179"/>
      <c r="CA159" s="179"/>
      <c r="CB159" s="179"/>
      <c r="CC159" s="179"/>
      <c r="CD159" s="179"/>
      <c r="CE159" s="179"/>
      <c r="CF159" s="179"/>
      <c r="CG159" s="179"/>
      <c r="CH159" s="179"/>
      <c r="CI159" s="179"/>
      <c r="CJ159" s="179"/>
      <c r="CK159" s="179"/>
      <c r="CL159" s="179"/>
      <c r="CM159" s="179"/>
      <c r="CN159" s="179"/>
      <c r="CO159" s="179"/>
      <c r="CP159" s="179"/>
      <c r="CQ159" s="179"/>
      <c r="CR159" s="179"/>
      <c r="CS159" s="179"/>
      <c r="CT159" s="179"/>
      <c r="CU159" s="179"/>
      <c r="CV159" s="179"/>
      <c r="CW159" s="179"/>
      <c r="CX159" s="179"/>
      <c r="CY159" s="179"/>
      <c r="CZ159" s="179"/>
      <c r="DA159" s="179"/>
      <c r="DB159" s="179"/>
      <c r="DC159" s="179"/>
      <c r="DD159" s="179"/>
      <c r="DE159" s="179"/>
      <c r="DF159" s="179"/>
      <c r="DG159" s="179"/>
      <c r="DH159" s="179"/>
      <c r="DI159" s="179"/>
      <c r="DJ159" s="179"/>
      <c r="DK159" s="179"/>
      <c r="DL159" s="179"/>
      <c r="DM159" s="179"/>
      <c r="DN159" s="179"/>
      <c r="DO159" s="179"/>
      <c r="DP159" s="179"/>
      <c r="DQ159" s="179"/>
      <c r="DR159" s="179"/>
      <c r="DS159" s="179"/>
      <c r="DT159" s="179"/>
      <c r="DU159" s="179"/>
      <c r="DV159" s="179"/>
      <c r="DW159" s="179"/>
      <c r="DX159" s="179"/>
      <c r="DY159" s="179"/>
      <c r="DZ159" s="179"/>
      <c r="EA159" s="179"/>
      <c r="EB159" s="179"/>
      <c r="EC159" s="179"/>
      <c r="ED159" s="179"/>
      <c r="EE159" s="179"/>
      <c r="EF159" s="179"/>
      <c r="EG159" s="179"/>
    </row>
    <row r="160" spans="1:137">
      <c r="M160" s="430" t="s">
        <v>1121</v>
      </c>
      <c r="N160" s="428">
        <f>SUM(N2:N159)</f>
        <v>133.36000000000001</v>
      </c>
      <c r="O160" s="432">
        <f>SUM(O2:O159)</f>
        <v>3607</v>
      </c>
    </row>
    <row r="161" spans="10:15" ht="13.5" thickBot="1">
      <c r="M161" s="431" t="s">
        <v>1747</v>
      </c>
      <c r="N161" s="433"/>
      <c r="O161" s="429">
        <f>COUNT(O3:O159)</f>
        <v>112</v>
      </c>
    </row>
    <row r="162" spans="10:15">
      <c r="O162" s="220"/>
    </row>
    <row r="164" spans="10:15">
      <c r="J164" s="1"/>
      <c r="K164" s="1"/>
      <c r="L164" s="1"/>
    </row>
  </sheetData>
  <mergeCells count="18">
    <mergeCell ref="F60:F61"/>
    <mergeCell ref="N119:N121"/>
    <mergeCell ref="N132:N133"/>
    <mergeCell ref="N52:N53"/>
    <mergeCell ref="N59:N61"/>
    <mergeCell ref="H119:H121"/>
    <mergeCell ref="N113:N114"/>
    <mergeCell ref="N63:N65"/>
    <mergeCell ref="M63:M65"/>
    <mergeCell ref="N137:N139"/>
    <mergeCell ref="N12:N13"/>
    <mergeCell ref="N2:N3"/>
    <mergeCell ref="N22:N23"/>
    <mergeCell ref="G25:G26"/>
    <mergeCell ref="N32:N33"/>
    <mergeCell ref="N42:N46"/>
    <mergeCell ref="N47:N48"/>
    <mergeCell ref="N30:N31"/>
  </mergeCells>
  <pageMargins left="0" right="0" top="0" bottom="0" header="0" footer="0"/>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L128"/>
  <sheetViews>
    <sheetView zoomScale="85" zoomScaleNormal="85" workbookViewId="0">
      <pane ySplit="3" topLeftCell="A4" activePane="bottomLeft" state="frozen"/>
      <selection pane="bottomLeft" activeCell="A4" sqref="A4"/>
    </sheetView>
  </sheetViews>
  <sheetFormatPr defaultColWidth="9.140625" defaultRowHeight="12.75"/>
  <cols>
    <col min="1" max="1" width="79" style="1" bestFit="1" customWidth="1"/>
    <col min="2" max="2" width="40.140625" style="1" bestFit="1" customWidth="1"/>
    <col min="3" max="3" width="7.85546875" style="1" bestFit="1" customWidth="1"/>
    <col min="4" max="5" width="7.140625" style="1" bestFit="1" customWidth="1"/>
    <col min="6" max="6" width="8.42578125" style="1" bestFit="1" customWidth="1"/>
    <col min="7" max="7" width="7.140625" style="1" bestFit="1" customWidth="1"/>
    <col min="8" max="8" width="14.42578125" style="1" bestFit="1" customWidth="1"/>
    <col min="9" max="9" width="8.42578125" style="1" bestFit="1" customWidth="1"/>
    <col min="10" max="10" width="7.7109375" style="1" bestFit="1" customWidth="1"/>
    <col min="11" max="12" width="15.7109375" style="1" bestFit="1" customWidth="1"/>
    <col min="13" max="16384" width="9.140625" style="1"/>
  </cols>
  <sheetData>
    <row r="2" spans="1:12" ht="13.5" thickBot="1">
      <c r="F2" s="1" t="s">
        <v>1909</v>
      </c>
    </row>
    <row r="3" spans="1:12" ht="13.5" thickBot="1">
      <c r="B3" s="123" t="s">
        <v>1909</v>
      </c>
      <c r="C3" s="123" t="s">
        <v>1966</v>
      </c>
      <c r="D3" s="123" t="s">
        <v>1967</v>
      </c>
      <c r="E3" s="123" t="s">
        <v>1968</v>
      </c>
      <c r="F3" s="123" t="s">
        <v>1638</v>
      </c>
      <c r="G3" s="123" t="s">
        <v>1641</v>
      </c>
      <c r="H3" s="123" t="s">
        <v>1642</v>
      </c>
      <c r="I3" s="123" t="s">
        <v>1620</v>
      </c>
      <c r="J3" s="123" t="s">
        <v>1643</v>
      </c>
      <c r="K3" s="123" t="s">
        <v>1647</v>
      </c>
      <c r="L3" s="123" t="s">
        <v>3607</v>
      </c>
    </row>
    <row r="4" spans="1:12" ht="13.5" thickBot="1">
      <c r="A4" s="123" t="s">
        <v>1629</v>
      </c>
      <c r="B4" s="1" t="s">
        <v>2051</v>
      </c>
      <c r="C4" s="1">
        <f>LEFT(B4,2)+1</f>
        <v>14</v>
      </c>
      <c r="D4" s="1">
        <f>MID(B4,16,2)+1</f>
        <v>14</v>
      </c>
      <c r="E4" s="1">
        <f>MID(B4,31,2)+1</f>
        <v>9</v>
      </c>
      <c r="F4" s="1" t="s">
        <v>1639</v>
      </c>
      <c r="G4" s="1">
        <f>E4/2</f>
        <v>4.5</v>
      </c>
      <c r="H4" s="60">
        <f>22/7*G4*2</f>
        <v>28.285714285714285</v>
      </c>
      <c r="I4" s="60">
        <f>22/7*G4*G4</f>
        <v>63.642857142857139</v>
      </c>
      <c r="J4" s="1">
        <f>ROUND((LEFT(B4,2)-G4)*2+(0.5*H4),0)+1</f>
        <v>32</v>
      </c>
      <c r="K4" s="60">
        <f>(C4*E4)*2</f>
        <v>252</v>
      </c>
    </row>
    <row r="5" spans="1:12">
      <c r="A5" s="1" t="s">
        <v>1630</v>
      </c>
      <c r="H5" s="60"/>
      <c r="I5" s="60"/>
      <c r="K5" s="60"/>
    </row>
    <row r="6" spans="1:12" ht="13.5" thickBot="1">
      <c r="H6" s="60"/>
      <c r="I6" s="60"/>
      <c r="K6" s="60"/>
    </row>
    <row r="7" spans="1:12" ht="13.5" thickBot="1">
      <c r="A7" s="123" t="s">
        <v>1631</v>
      </c>
      <c r="B7" s="1" t="s">
        <v>1965</v>
      </c>
      <c r="C7" s="1">
        <f t="shared" ref="C7:C50" si="0">LEFT(B7,2)+1</f>
        <v>15</v>
      </c>
      <c r="D7" s="1">
        <f t="shared" ref="D7:D50" si="1">MID(B7,16,2)+1</f>
        <v>15</v>
      </c>
      <c r="E7" s="1">
        <f t="shared" ref="E7:E50" si="2">MID(B7,31,2)+1</f>
        <v>10</v>
      </c>
      <c r="F7" s="1" t="s">
        <v>1640</v>
      </c>
      <c r="G7" s="1">
        <f>E7/2</f>
        <v>5</v>
      </c>
      <c r="H7" s="60">
        <f>22/7*G7*2</f>
        <v>31.428571428571427</v>
      </c>
      <c r="I7" s="60">
        <f>22/7*G7*G7</f>
        <v>78.571428571428569</v>
      </c>
      <c r="J7" s="1">
        <f>ROUND((LEFT(B7,2)-G7)*2+(0.5*H7),0)+2</f>
        <v>36</v>
      </c>
      <c r="K7" s="60">
        <f>(C7*E7)*2</f>
        <v>300</v>
      </c>
    </row>
    <row r="8" spans="1:12">
      <c r="A8" s="1" t="s">
        <v>1632</v>
      </c>
      <c r="H8" s="60"/>
      <c r="I8" s="60"/>
      <c r="K8" s="60"/>
    </row>
    <row r="9" spans="1:12">
      <c r="A9" s="1" t="s">
        <v>1633</v>
      </c>
      <c r="H9" s="60"/>
      <c r="I9" s="60"/>
      <c r="K9" s="60"/>
    </row>
    <row r="10" spans="1:12">
      <c r="A10" s="1" t="s">
        <v>1650</v>
      </c>
      <c r="H10" s="60"/>
      <c r="I10" s="60"/>
      <c r="K10" s="60"/>
    </row>
    <row r="11" spans="1:12">
      <c r="A11" s="1" t="s">
        <v>1634</v>
      </c>
      <c r="H11" s="60"/>
      <c r="I11" s="60"/>
      <c r="K11" s="60"/>
    </row>
    <row r="12" spans="1:12" ht="13.5" thickBot="1">
      <c r="H12" s="60"/>
      <c r="I12" s="60"/>
      <c r="K12" s="60"/>
    </row>
    <row r="13" spans="1:12" ht="13.5" thickBot="1">
      <c r="A13" s="123" t="s">
        <v>1635</v>
      </c>
      <c r="B13" s="1" t="s">
        <v>2052</v>
      </c>
      <c r="C13" s="1">
        <f t="shared" si="0"/>
        <v>18</v>
      </c>
      <c r="D13" s="1">
        <f t="shared" si="1"/>
        <v>16</v>
      </c>
      <c r="E13" s="1">
        <f t="shared" si="2"/>
        <v>13</v>
      </c>
      <c r="F13" s="1" t="s">
        <v>2053</v>
      </c>
      <c r="G13" s="1">
        <f>E13/2</f>
        <v>6.5</v>
      </c>
      <c r="H13" s="60">
        <f>22/7*G13*2</f>
        <v>40.857142857142854</v>
      </c>
      <c r="I13" s="60">
        <f>22/7*G13*G13</f>
        <v>132.78571428571428</v>
      </c>
      <c r="J13" s="1">
        <f>ROUND((LEFT(B13,2)-G13)*2+(0.5*H13),0)+1</f>
        <v>42</v>
      </c>
      <c r="K13" s="60">
        <f>(C13*E13)*2</f>
        <v>468</v>
      </c>
    </row>
    <row r="14" spans="1:12">
      <c r="A14" s="1" t="s">
        <v>1623</v>
      </c>
      <c r="B14" s="1" t="s">
        <v>2054</v>
      </c>
      <c r="H14" s="60"/>
      <c r="I14" s="60"/>
      <c r="K14" s="60"/>
    </row>
    <row r="15" spans="1:12">
      <c r="A15" s="1" t="s">
        <v>1624</v>
      </c>
      <c r="H15" s="60"/>
      <c r="I15" s="60"/>
      <c r="K15" s="60"/>
    </row>
    <row r="16" spans="1:12">
      <c r="A16" s="1" t="s">
        <v>1625</v>
      </c>
      <c r="H16" s="60"/>
      <c r="I16" s="60"/>
      <c r="K16" s="60"/>
    </row>
    <row r="17" spans="1:11">
      <c r="A17" s="1" t="s">
        <v>1626</v>
      </c>
      <c r="H17" s="60"/>
      <c r="I17" s="60"/>
      <c r="K17" s="60"/>
    </row>
    <row r="18" spans="1:11">
      <c r="A18" s="1" t="s">
        <v>1627</v>
      </c>
      <c r="H18" s="60"/>
      <c r="I18" s="60"/>
      <c r="K18" s="60"/>
    </row>
    <row r="19" spans="1:11">
      <c r="A19" s="1" t="s">
        <v>1628</v>
      </c>
      <c r="H19" s="60"/>
      <c r="I19" s="60"/>
      <c r="K19" s="60"/>
    </row>
    <row r="20" spans="1:11" ht="13.5" thickBot="1">
      <c r="H20" s="60"/>
      <c r="I20" s="60"/>
      <c r="K20" s="60"/>
    </row>
    <row r="21" spans="1:11" ht="13.5" thickBot="1">
      <c r="A21" s="123" t="s">
        <v>2250</v>
      </c>
      <c r="B21" s="1" t="s">
        <v>2055</v>
      </c>
      <c r="C21" s="27">
        <f t="shared" si="0"/>
        <v>18</v>
      </c>
      <c r="D21" s="27">
        <f t="shared" si="1"/>
        <v>16</v>
      </c>
      <c r="E21" s="27">
        <f t="shared" si="2"/>
        <v>15</v>
      </c>
      <c r="F21" s="27" t="s">
        <v>2056</v>
      </c>
      <c r="G21" s="1">
        <f>E21/2</f>
        <v>7.5</v>
      </c>
      <c r="H21" s="60">
        <f>22/7*G21*2</f>
        <v>47.142857142857139</v>
      </c>
      <c r="I21" s="60">
        <f>22/7*G21*G21</f>
        <v>176.78571428571428</v>
      </c>
      <c r="J21" s="60">
        <f>(C21-G21)*2+(0.5*H21)+1</f>
        <v>45.571428571428569</v>
      </c>
      <c r="K21" s="60">
        <f>(C21*E21)*2</f>
        <v>540</v>
      </c>
    </row>
    <row r="22" spans="1:11">
      <c r="A22" s="1" t="s">
        <v>1636</v>
      </c>
    </row>
    <row r="23" spans="1:11">
      <c r="A23" s="1" t="s">
        <v>1637</v>
      </c>
    </row>
    <row r="25" spans="1:11" ht="13.5" thickBot="1"/>
    <row r="26" spans="1:11" ht="13.5" thickBot="1">
      <c r="A26" s="123" t="s">
        <v>1746</v>
      </c>
      <c r="B26" s="1" t="s">
        <v>1743</v>
      </c>
      <c r="C26" s="1">
        <f t="shared" si="0"/>
        <v>15</v>
      </c>
      <c r="D26" s="1">
        <f t="shared" si="1"/>
        <v>17</v>
      </c>
      <c r="E26" s="1">
        <f t="shared" si="2"/>
        <v>10</v>
      </c>
      <c r="F26" s="1" t="s">
        <v>1744</v>
      </c>
      <c r="G26" s="1">
        <f>E26/2</f>
        <v>5</v>
      </c>
      <c r="H26" s="60">
        <f>22/7*G26*2</f>
        <v>31.428571428571427</v>
      </c>
      <c r="I26" s="60">
        <f>22/7*G26*G26</f>
        <v>78.571428571428569</v>
      </c>
      <c r="J26" s="60">
        <f>(C26-G26)*2+(0.5*H26)+1</f>
        <v>36.714285714285715</v>
      </c>
      <c r="K26" s="60">
        <f>(C26*E26)*2</f>
        <v>300</v>
      </c>
    </row>
    <row r="27" spans="1:11">
      <c r="A27" s="1" t="s">
        <v>1906</v>
      </c>
    </row>
    <row r="28" spans="1:11" ht="13.5" thickBot="1"/>
    <row r="29" spans="1:11" ht="13.5" thickBot="1">
      <c r="A29" s="123" t="s">
        <v>1780</v>
      </c>
      <c r="B29" s="1" t="s">
        <v>1743</v>
      </c>
      <c r="C29" s="1">
        <f t="shared" si="0"/>
        <v>15</v>
      </c>
      <c r="D29" s="1">
        <f t="shared" si="1"/>
        <v>17</v>
      </c>
      <c r="E29" s="1">
        <f t="shared" si="2"/>
        <v>10</v>
      </c>
      <c r="F29" s="1" t="s">
        <v>1744</v>
      </c>
      <c r="G29" s="1">
        <f>E29/2</f>
        <v>5</v>
      </c>
      <c r="H29" s="60">
        <f>22/7*G29*2</f>
        <v>31.428571428571427</v>
      </c>
      <c r="I29" s="60">
        <f>22/7*G29*G29</f>
        <v>78.571428571428569</v>
      </c>
      <c r="J29" s="60">
        <f>(C29-G29)*2+(0.5*H29)+1</f>
        <v>36.714285714285715</v>
      </c>
      <c r="K29" s="60">
        <f>(C29*E29)*2</f>
        <v>300</v>
      </c>
    </row>
    <row r="30" spans="1:11">
      <c r="A30" s="1" t="s">
        <v>1906</v>
      </c>
    </row>
    <row r="31" spans="1:11" ht="13.5" thickBot="1"/>
    <row r="32" spans="1:11" ht="13.5" thickBot="1">
      <c r="A32" s="123" t="s">
        <v>1781</v>
      </c>
      <c r="B32" s="1" t="s">
        <v>1782</v>
      </c>
      <c r="C32" s="1">
        <f t="shared" si="0"/>
        <v>15</v>
      </c>
      <c r="D32" s="1">
        <f t="shared" si="1"/>
        <v>16</v>
      </c>
      <c r="E32" s="1">
        <f t="shared" si="2"/>
        <v>10</v>
      </c>
      <c r="F32" s="1" t="s">
        <v>1783</v>
      </c>
      <c r="G32" s="1">
        <f>E32/2</f>
        <v>5</v>
      </c>
      <c r="H32" s="60">
        <f>22/7*G32*2</f>
        <v>31.428571428571427</v>
      </c>
      <c r="I32" s="60">
        <f>22/7*G32*G32</f>
        <v>78.571428571428569</v>
      </c>
      <c r="J32" s="60">
        <f>(C32-G32)*2+(0.5*H32)+1</f>
        <v>36.714285714285715</v>
      </c>
      <c r="K32" s="60">
        <f>(C32*E32)*2</f>
        <v>300</v>
      </c>
    </row>
    <row r="33" spans="1:12">
      <c r="A33" s="1" t="s">
        <v>1905</v>
      </c>
    </row>
    <row r="34" spans="1:12" ht="13.5" thickBot="1"/>
    <row r="35" spans="1:12" ht="13.5" thickBot="1">
      <c r="A35" s="123" t="s">
        <v>1908</v>
      </c>
      <c r="B35" s="1" t="s">
        <v>1907</v>
      </c>
      <c r="C35" s="1">
        <f t="shared" si="0"/>
        <v>14</v>
      </c>
      <c r="D35" s="1">
        <f t="shared" si="1"/>
        <v>15</v>
      </c>
      <c r="E35" s="1">
        <f t="shared" si="2"/>
        <v>12</v>
      </c>
      <c r="F35" s="1" t="s">
        <v>1910</v>
      </c>
      <c r="G35" s="1">
        <f>E35/2</f>
        <v>6</v>
      </c>
      <c r="H35" s="60">
        <f>22/7*G35*2</f>
        <v>37.714285714285715</v>
      </c>
      <c r="I35" s="60">
        <f>22/7*G35*G35</f>
        <v>113.14285714285714</v>
      </c>
      <c r="J35" s="60">
        <f>(C35-G35)*2+(0.5*H35)+1</f>
        <v>35.857142857142861</v>
      </c>
      <c r="K35" s="60">
        <f>(C35*E35)*2</f>
        <v>336</v>
      </c>
    </row>
    <row r="36" spans="1:12">
      <c r="A36" s="1" t="s">
        <v>1904</v>
      </c>
    </row>
    <row r="37" spans="1:12" ht="13.5" thickBot="1"/>
    <row r="38" spans="1:12" ht="13.5" thickBot="1">
      <c r="A38" s="123" t="s">
        <v>1947</v>
      </c>
      <c r="B38" s="1" t="s">
        <v>1946</v>
      </c>
      <c r="C38" s="27">
        <f t="shared" si="0"/>
        <v>14</v>
      </c>
      <c r="D38" s="27">
        <f t="shared" si="1"/>
        <v>14</v>
      </c>
      <c r="E38" s="27">
        <f t="shared" si="2"/>
        <v>11</v>
      </c>
      <c r="F38" s="1" t="s">
        <v>1945</v>
      </c>
      <c r="G38" s="1">
        <f>E38/2</f>
        <v>5.5</v>
      </c>
      <c r="H38" s="60">
        <f>22/7*G38*2</f>
        <v>34.571428571428569</v>
      </c>
      <c r="I38" s="60">
        <f>22/7*G38*G38</f>
        <v>95.071428571428569</v>
      </c>
      <c r="J38" s="60">
        <f>(C38-G38)*2+(0.5*H38)+1</f>
        <v>35.285714285714285</v>
      </c>
      <c r="K38" s="60">
        <f>(C38*E38)*2</f>
        <v>308</v>
      </c>
    </row>
    <row r="39" spans="1:12">
      <c r="H39" s="60"/>
      <c r="I39" s="60"/>
      <c r="K39" s="60"/>
    </row>
    <row r="40" spans="1:12" ht="13.5" thickBot="1"/>
    <row r="41" spans="1:12" ht="13.5" thickBot="1">
      <c r="A41" s="123" t="s">
        <v>1938</v>
      </c>
      <c r="B41" s="1" t="s">
        <v>1969</v>
      </c>
      <c r="C41" s="1">
        <f t="shared" si="0"/>
        <v>18</v>
      </c>
      <c r="D41" s="1">
        <f t="shared" si="1"/>
        <v>10</v>
      </c>
      <c r="E41" s="1">
        <f t="shared" si="2"/>
        <v>10</v>
      </c>
      <c r="F41" s="1" t="s">
        <v>1940</v>
      </c>
      <c r="G41" s="1">
        <f>E41/2</f>
        <v>5</v>
      </c>
      <c r="H41" s="60">
        <f>22/7*G41*2</f>
        <v>31.428571428571427</v>
      </c>
      <c r="I41" s="60">
        <f>22/7*G41*G41</f>
        <v>78.571428571428569</v>
      </c>
      <c r="J41" s="60">
        <f>(C41-G41)*2+(0.5*H41)+1</f>
        <v>42.714285714285715</v>
      </c>
      <c r="K41" s="60">
        <f>(C41*E41)*2</f>
        <v>360</v>
      </c>
    </row>
    <row r="42" spans="1:12">
      <c r="A42" s="1" t="s">
        <v>1939</v>
      </c>
    </row>
    <row r="45" spans="1:12" ht="13.5" thickBot="1">
      <c r="A45" s="1" t="s">
        <v>1956</v>
      </c>
      <c r="K45" s="1" t="s">
        <v>1911</v>
      </c>
      <c r="L45" s="1" t="s">
        <v>1973</v>
      </c>
    </row>
    <row r="46" spans="1:12" ht="13.5" thickBot="1">
      <c r="A46" s="123" t="s">
        <v>1957</v>
      </c>
      <c r="B46" s="1" t="s">
        <v>1958</v>
      </c>
      <c r="C46" s="1">
        <f t="shared" si="0"/>
        <v>16</v>
      </c>
      <c r="D46" s="1">
        <f t="shared" si="1"/>
        <v>19</v>
      </c>
      <c r="E46" s="1">
        <f t="shared" si="2"/>
        <v>26</v>
      </c>
      <c r="F46" s="1" t="s">
        <v>1962</v>
      </c>
      <c r="J46" s="1">
        <f>(D46*2)+(E46*2)</f>
        <v>90</v>
      </c>
      <c r="K46" s="1" t="s">
        <v>1970</v>
      </c>
      <c r="L46" s="1">
        <f>J46+(D46+1)*(E46+1)</f>
        <v>630</v>
      </c>
    </row>
    <row r="47" spans="1:12" ht="13.5" thickBot="1"/>
    <row r="48" spans="1:12" ht="13.5" thickBot="1">
      <c r="A48" s="123" t="s">
        <v>1959</v>
      </c>
      <c r="B48" s="1" t="s">
        <v>1960</v>
      </c>
      <c r="C48" s="1">
        <f t="shared" si="0"/>
        <v>14</v>
      </c>
      <c r="D48" s="1">
        <f t="shared" si="1"/>
        <v>20</v>
      </c>
      <c r="E48" s="1">
        <f t="shared" si="2"/>
        <v>23</v>
      </c>
      <c r="F48" s="1" t="s">
        <v>1963</v>
      </c>
      <c r="J48" s="1">
        <f>(D48*2)+(E48*2)</f>
        <v>86</v>
      </c>
      <c r="K48" s="1" t="s">
        <v>1971</v>
      </c>
      <c r="L48" s="1">
        <f>J48+(D48+1)*(E48+1)</f>
        <v>590</v>
      </c>
    </row>
    <row r="49" spans="1:12" ht="13.5" thickBot="1"/>
    <row r="50" spans="1:12" ht="13.5" thickBot="1">
      <c r="A50" s="123" t="s">
        <v>1974</v>
      </c>
      <c r="B50" s="1" t="s">
        <v>1961</v>
      </c>
      <c r="C50" s="1">
        <f t="shared" si="0"/>
        <v>13</v>
      </c>
      <c r="D50" s="1">
        <f t="shared" si="1"/>
        <v>22</v>
      </c>
      <c r="E50" s="1">
        <f t="shared" si="2"/>
        <v>15</v>
      </c>
      <c r="F50" s="1" t="s">
        <v>1964</v>
      </c>
      <c r="J50" s="1">
        <f>(D50*2)+(E50*2)</f>
        <v>74</v>
      </c>
      <c r="K50" s="1" t="s">
        <v>1972</v>
      </c>
      <c r="L50" s="1">
        <f>J50+(D50+1)*(E50+1)</f>
        <v>442</v>
      </c>
    </row>
    <row r="52" spans="1:12" ht="13.5" thickBot="1"/>
    <row r="53" spans="1:12" ht="13.5" thickBot="1">
      <c r="A53" s="123" t="s">
        <v>2034</v>
      </c>
      <c r="B53" s="1" t="s">
        <v>2035</v>
      </c>
      <c r="C53" s="1">
        <f t="shared" ref="C53" si="3">LEFT(B53,2)+1</f>
        <v>14</v>
      </c>
      <c r="D53" s="1">
        <v>11</v>
      </c>
      <c r="E53" s="1">
        <v>12</v>
      </c>
      <c r="F53" s="1" t="s">
        <v>2036</v>
      </c>
      <c r="J53" s="1">
        <f>(D53*2)+(E53*2)</f>
        <v>46</v>
      </c>
      <c r="K53" s="1" t="s">
        <v>2037</v>
      </c>
      <c r="L53" s="1">
        <f>J53+(D53+1)*(E53+1)</f>
        <v>202</v>
      </c>
    </row>
    <row r="54" spans="1:12">
      <c r="A54" s="1" t="s">
        <v>2033</v>
      </c>
    </row>
    <row r="56" spans="1:12" ht="13.5" thickBot="1"/>
    <row r="57" spans="1:12" ht="13.5" thickBot="1">
      <c r="A57" s="123" t="s">
        <v>2245</v>
      </c>
      <c r="B57" s="1" t="s">
        <v>2249</v>
      </c>
      <c r="C57" s="1">
        <v>19</v>
      </c>
      <c r="D57" s="1">
        <v>19</v>
      </c>
      <c r="E57" s="1">
        <v>15</v>
      </c>
      <c r="F57" s="1" t="s">
        <v>2247</v>
      </c>
      <c r="G57" s="1">
        <f>E57/2</f>
        <v>7.5</v>
      </c>
      <c r="H57" s="60">
        <f>22/7*G57*2</f>
        <v>47.142857142857139</v>
      </c>
      <c r="I57" s="60">
        <f>22/7*G57*G57</f>
        <v>176.78571428571428</v>
      </c>
      <c r="J57" s="60">
        <f>(C57-G57)*2+(0.5*H57)+1</f>
        <v>47.571428571428569</v>
      </c>
      <c r="K57" s="60">
        <f>(C57*E57)*2</f>
        <v>570</v>
      </c>
    </row>
    <row r="58" spans="1:12">
      <c r="A58" s="1" t="s">
        <v>2246</v>
      </c>
    </row>
    <row r="59" spans="1:12" ht="13.5" thickBot="1"/>
    <row r="60" spans="1:12" ht="13.5" thickBot="1">
      <c r="A60" s="123" t="s">
        <v>2298</v>
      </c>
      <c r="B60" s="1" t="s">
        <v>2299</v>
      </c>
      <c r="C60" s="1">
        <v>15</v>
      </c>
      <c r="D60" s="1">
        <v>17</v>
      </c>
      <c r="E60" s="1">
        <v>13</v>
      </c>
      <c r="F60" s="1" t="s">
        <v>2300</v>
      </c>
      <c r="G60" s="1">
        <f>E60/2</f>
        <v>6.5</v>
      </c>
      <c r="H60" s="60">
        <f>22/7*G60*2</f>
        <v>40.857142857142854</v>
      </c>
      <c r="I60" s="60">
        <f>22/7*G60*G60</f>
        <v>132.78571428571428</v>
      </c>
      <c r="J60" s="60">
        <f>(C60-G60)*2+(0.5*H60)+1</f>
        <v>38.428571428571431</v>
      </c>
      <c r="K60" s="60">
        <f>(C60*E60)*2</f>
        <v>390</v>
      </c>
    </row>
    <row r="61" spans="1:12">
      <c r="A61" s="1" t="s">
        <v>2297</v>
      </c>
    </row>
    <row r="63" spans="1:12" ht="13.5" thickBot="1"/>
    <row r="64" spans="1:12" ht="13.5" thickBot="1">
      <c r="A64" s="123" t="s">
        <v>2313</v>
      </c>
      <c r="B64" s="1" t="s">
        <v>2314</v>
      </c>
      <c r="C64" s="1">
        <v>18</v>
      </c>
      <c r="D64" s="1">
        <v>18</v>
      </c>
      <c r="E64" s="1">
        <v>13</v>
      </c>
      <c r="F64" s="1" t="s">
        <v>2315</v>
      </c>
      <c r="G64" s="1">
        <f>E64/2</f>
        <v>6.5</v>
      </c>
      <c r="H64" s="60">
        <f>22/7*G64*2</f>
        <v>40.857142857142854</v>
      </c>
      <c r="I64" s="60">
        <f>22/7*G64*G64</f>
        <v>132.78571428571428</v>
      </c>
      <c r="J64" s="60">
        <f>(C64-G64)*2+(0.5*H64)+1</f>
        <v>44.428571428571431</v>
      </c>
      <c r="K64" s="60">
        <f>C64*E64*2</f>
        <v>468</v>
      </c>
    </row>
    <row r="65" spans="1:11">
      <c r="A65" s="1" t="s">
        <v>2312</v>
      </c>
    </row>
    <row r="66" spans="1:11">
      <c r="I66" s="60"/>
    </row>
    <row r="67" spans="1:11" ht="13.5" thickBot="1"/>
    <row r="68" spans="1:11" ht="13.5" thickBot="1">
      <c r="A68" s="123" t="s">
        <v>2384</v>
      </c>
      <c r="B68" s="1" t="s">
        <v>2386</v>
      </c>
      <c r="C68" s="1">
        <v>15</v>
      </c>
      <c r="D68" s="1">
        <v>17</v>
      </c>
      <c r="E68" s="1">
        <v>10</v>
      </c>
      <c r="F68" s="1" t="s">
        <v>1744</v>
      </c>
      <c r="G68" s="1">
        <f>E68/2</f>
        <v>5</v>
      </c>
      <c r="H68" s="60">
        <f>22/7*G68*2</f>
        <v>31.428571428571427</v>
      </c>
      <c r="I68" s="60">
        <f>22/7*G68*G68</f>
        <v>78.571428571428569</v>
      </c>
      <c r="J68" s="60">
        <f>(C68-G68)*2+(0.5*H68)+1</f>
        <v>36.714285714285715</v>
      </c>
      <c r="K68" s="60">
        <f>C68*E68*2</f>
        <v>300</v>
      </c>
    </row>
    <row r="69" spans="1:11">
      <c r="A69" s="1" t="s">
        <v>2382</v>
      </c>
    </row>
    <row r="71" spans="1:11" ht="13.5" thickBot="1"/>
    <row r="72" spans="1:11" ht="13.5" thickBot="1">
      <c r="A72" s="123" t="s">
        <v>2385</v>
      </c>
      <c r="B72" s="1" t="s">
        <v>2387</v>
      </c>
      <c r="C72" s="1">
        <v>16</v>
      </c>
      <c r="D72" s="1">
        <v>16</v>
      </c>
      <c r="E72" s="1">
        <v>12</v>
      </c>
      <c r="F72" s="1" t="s">
        <v>2388</v>
      </c>
      <c r="G72" s="1">
        <f>E72/2</f>
        <v>6</v>
      </c>
      <c r="H72" s="60">
        <f>22/7*G72*2</f>
        <v>37.714285714285715</v>
      </c>
      <c r="I72" s="60">
        <f>22/7*G72*G72</f>
        <v>113.14285714285714</v>
      </c>
      <c r="J72" s="60">
        <f>(C72-G72)*2+(0.5*H72)+1</f>
        <v>39.857142857142861</v>
      </c>
      <c r="K72" s="60">
        <f>C72*E72*2</f>
        <v>384</v>
      </c>
    </row>
    <row r="73" spans="1:11">
      <c r="A73" s="1" t="s">
        <v>2383</v>
      </c>
    </row>
    <row r="75" spans="1:11" ht="13.5" thickBot="1"/>
    <row r="76" spans="1:11" ht="13.5" thickBot="1">
      <c r="A76" s="123" t="s">
        <v>2401</v>
      </c>
      <c r="B76" s="1" t="s">
        <v>2402</v>
      </c>
      <c r="C76" s="1">
        <v>14</v>
      </c>
      <c r="D76" s="1">
        <v>16</v>
      </c>
      <c r="E76" s="1">
        <v>15</v>
      </c>
      <c r="F76" s="1" t="s">
        <v>2404</v>
      </c>
      <c r="G76" s="1">
        <f>E76/2</f>
        <v>7.5</v>
      </c>
      <c r="H76" s="60">
        <f>22/7*G76*2</f>
        <v>47.142857142857139</v>
      </c>
      <c r="I76" s="60">
        <f>22/7*G76*G76</f>
        <v>176.78571428571428</v>
      </c>
      <c r="J76" s="60">
        <f>(C76-G76)*2+(0.5*H76)+1</f>
        <v>37.571428571428569</v>
      </c>
      <c r="K76" s="60">
        <f>C76*E76*2</f>
        <v>420</v>
      </c>
    </row>
    <row r="77" spans="1:11">
      <c r="A77" s="1" t="s">
        <v>2397</v>
      </c>
      <c r="B77" s="1" t="s">
        <v>2545</v>
      </c>
    </row>
    <row r="80" spans="1:11" ht="13.5" thickBot="1"/>
    <row r="81" spans="1:11" ht="13.5" thickBot="1">
      <c r="A81" s="123" t="s">
        <v>2400</v>
      </c>
      <c r="B81" s="1" t="s">
        <v>2403</v>
      </c>
      <c r="C81" s="1">
        <v>14</v>
      </c>
      <c r="D81" s="1">
        <v>13</v>
      </c>
      <c r="E81" s="1">
        <v>12</v>
      </c>
      <c r="F81" s="1" t="s">
        <v>2405</v>
      </c>
      <c r="G81" s="1">
        <f>E81/2</f>
        <v>6</v>
      </c>
      <c r="H81" s="60">
        <f>22/7*G81*2</f>
        <v>37.714285714285715</v>
      </c>
      <c r="I81" s="60">
        <f>22/7*G81*G81</f>
        <v>113.14285714285714</v>
      </c>
      <c r="J81" s="60">
        <f>(C81-G81)*2+(0.5*H81)+1</f>
        <v>35.857142857142861</v>
      </c>
      <c r="K81" s="60">
        <f>C81*E81*2</f>
        <v>336</v>
      </c>
    </row>
    <row r="82" spans="1:11">
      <c r="A82" s="1" t="s">
        <v>2399</v>
      </c>
    </row>
    <row r="84" spans="1:11" ht="13.5" thickBot="1"/>
    <row r="85" spans="1:11" ht="13.5" thickBot="1">
      <c r="A85" s="295" t="s">
        <v>2594</v>
      </c>
      <c r="B85" s="1" t="s">
        <v>2595</v>
      </c>
      <c r="C85" s="1">
        <v>18</v>
      </c>
      <c r="D85" s="1">
        <v>14</v>
      </c>
      <c r="E85" s="1">
        <v>11</v>
      </c>
      <c r="F85" s="1" t="s">
        <v>2596</v>
      </c>
      <c r="G85" s="1">
        <f>E85/2</f>
        <v>5.5</v>
      </c>
      <c r="H85" s="60">
        <f>22/7*G85*2</f>
        <v>34.571428571428569</v>
      </c>
      <c r="I85" s="60">
        <f>22/7*G85*G85</f>
        <v>95.071428571428569</v>
      </c>
      <c r="J85" s="60">
        <f>(C85-G85)*2+(0.5*H85)+1</f>
        <v>43.285714285714285</v>
      </c>
      <c r="K85" s="60">
        <f>C85*E85*2</f>
        <v>396</v>
      </c>
    </row>
    <row r="86" spans="1:11">
      <c r="A86" s="1" t="s">
        <v>2593</v>
      </c>
    </row>
    <row r="89" spans="1:11" ht="13.5" thickBot="1"/>
    <row r="90" spans="1:11" ht="13.5" thickBot="1">
      <c r="A90" s="295" t="s">
        <v>2600</v>
      </c>
      <c r="B90" s="1" t="s">
        <v>2598</v>
      </c>
      <c r="C90" s="1">
        <v>18</v>
      </c>
      <c r="D90" s="1">
        <v>12</v>
      </c>
      <c r="E90" s="1">
        <v>11</v>
      </c>
      <c r="F90" s="1" t="s">
        <v>2599</v>
      </c>
      <c r="G90" s="1">
        <f>E90/2</f>
        <v>5.5</v>
      </c>
      <c r="H90" s="60">
        <f>22/7*G90*2</f>
        <v>34.571428571428569</v>
      </c>
      <c r="I90" s="60">
        <f>22/7*G90*G90</f>
        <v>95.071428571428569</v>
      </c>
      <c r="J90" s="60">
        <f>(C90-G90)*2+(0.5*H90)+1</f>
        <v>43.285714285714285</v>
      </c>
      <c r="K90" s="60">
        <f>C90*E90*2</f>
        <v>396</v>
      </c>
    </row>
    <row r="92" spans="1:11" ht="13.5" thickBot="1"/>
    <row r="93" spans="1:11" ht="13.5" thickBot="1">
      <c r="A93" s="295" t="s">
        <v>2626</v>
      </c>
      <c r="B93" s="1" t="s">
        <v>2629</v>
      </c>
      <c r="C93" s="1">
        <v>18</v>
      </c>
      <c r="D93" s="1">
        <v>8</v>
      </c>
      <c r="E93" s="1">
        <v>10</v>
      </c>
    </row>
    <row r="94" spans="1:11" ht="13.5" thickBot="1"/>
    <row r="95" spans="1:11" ht="13.5" thickBot="1">
      <c r="A95" s="295" t="s">
        <v>2627</v>
      </c>
      <c r="B95" s="1" t="s">
        <v>2630</v>
      </c>
      <c r="C95" s="1">
        <v>19</v>
      </c>
      <c r="D95" s="1">
        <v>10</v>
      </c>
      <c r="E95" s="1">
        <v>10</v>
      </c>
    </row>
    <row r="96" spans="1:11" ht="13.5" thickBot="1"/>
    <row r="97" spans="1:11" ht="13.5" thickBot="1">
      <c r="A97" s="295" t="s">
        <v>2628</v>
      </c>
      <c r="B97" s="1" t="s">
        <v>2631</v>
      </c>
      <c r="C97" s="1">
        <v>17</v>
      </c>
      <c r="D97" s="1">
        <v>10</v>
      </c>
      <c r="E97" s="1">
        <v>11</v>
      </c>
    </row>
    <row r="99" spans="1:11" ht="13.5" thickBot="1"/>
    <row r="100" spans="1:11" ht="13.5" thickBot="1">
      <c r="A100" s="295" t="s">
        <v>2634</v>
      </c>
      <c r="B100" s="1" t="s">
        <v>2635</v>
      </c>
      <c r="C100" s="1">
        <v>15</v>
      </c>
      <c r="D100" s="1">
        <v>18</v>
      </c>
      <c r="E100" s="1">
        <v>13</v>
      </c>
      <c r="F100" s="1" t="s">
        <v>2636</v>
      </c>
      <c r="G100" s="1">
        <f>E100/2</f>
        <v>6.5</v>
      </c>
      <c r="H100" s="60">
        <f>22/7*G100*2</f>
        <v>40.857142857142854</v>
      </c>
      <c r="I100" s="60">
        <f>22/7*G100*G100</f>
        <v>132.78571428571428</v>
      </c>
      <c r="J100" s="60">
        <f>(C100-G100)*2+(0.5*H100)+1</f>
        <v>38.428571428571431</v>
      </c>
      <c r="K100" s="60">
        <f>C100*E100*2</f>
        <v>390</v>
      </c>
    </row>
    <row r="101" spans="1:11">
      <c r="A101" s="1" t="s">
        <v>2633</v>
      </c>
    </row>
    <row r="102" spans="1:11" ht="13.5" thickBot="1"/>
    <row r="103" spans="1:11" ht="13.5" thickBot="1">
      <c r="A103" s="295" t="s">
        <v>2788</v>
      </c>
      <c r="B103" s="1" t="s">
        <v>2790</v>
      </c>
      <c r="C103" s="1">
        <v>13</v>
      </c>
      <c r="D103" s="1">
        <v>9</v>
      </c>
      <c r="E103" s="1">
        <v>9</v>
      </c>
      <c r="F103" s="1" t="s">
        <v>2789</v>
      </c>
      <c r="G103" s="1">
        <f>E103/2</f>
        <v>4.5</v>
      </c>
      <c r="H103" s="60">
        <f>22/7*G103*2</f>
        <v>28.285714285714285</v>
      </c>
      <c r="I103" s="60">
        <f>22/7*G103*G103</f>
        <v>63.642857142857139</v>
      </c>
      <c r="J103" s="60">
        <f>(C103-G103)*2+(0.5*H103)+1</f>
        <v>32.142857142857139</v>
      </c>
      <c r="K103" s="60">
        <f>C103*E103*2</f>
        <v>234</v>
      </c>
    </row>
    <row r="104" spans="1:11" ht="13.5" thickBot="1"/>
    <row r="105" spans="1:11" ht="13.5" thickBot="1">
      <c r="A105" s="295" t="s">
        <v>3506</v>
      </c>
      <c r="B105" s="1" t="s">
        <v>3507</v>
      </c>
      <c r="C105" s="1">
        <v>16</v>
      </c>
      <c r="D105" s="1">
        <v>17</v>
      </c>
      <c r="E105" s="1">
        <v>13</v>
      </c>
      <c r="F105" s="1" t="s">
        <v>3508</v>
      </c>
      <c r="G105" s="1">
        <f>E105/2</f>
        <v>6.5</v>
      </c>
      <c r="H105" s="60">
        <f>22/7*G105*2</f>
        <v>40.857142857142854</v>
      </c>
      <c r="I105" s="60">
        <f>22/7*G105*G105</f>
        <v>132.78571428571428</v>
      </c>
      <c r="J105" s="60">
        <f>(C105-G105)*2+(0.5*H105)+1</f>
        <v>40.428571428571431</v>
      </c>
      <c r="K105" s="60">
        <f>C105*E105*2</f>
        <v>416</v>
      </c>
    </row>
    <row r="106" spans="1:11">
      <c r="A106" s="1" t="s">
        <v>3505</v>
      </c>
    </row>
    <row r="107" spans="1:11" ht="13.5" thickBot="1"/>
    <row r="108" spans="1:11" ht="13.5" thickBot="1">
      <c r="A108" s="295" t="s">
        <v>3516</v>
      </c>
      <c r="B108" s="1" t="s">
        <v>3594</v>
      </c>
      <c r="C108" s="1">
        <v>15</v>
      </c>
      <c r="D108" s="1">
        <v>15</v>
      </c>
      <c r="E108" s="1">
        <v>15</v>
      </c>
      <c r="G108" s="1">
        <f>E108/2</f>
        <v>7.5</v>
      </c>
      <c r="H108" s="60">
        <f>22/7*G108*2</f>
        <v>47.142857142857139</v>
      </c>
      <c r="I108" s="60">
        <f>22/7*G108*G108</f>
        <v>176.78571428571428</v>
      </c>
      <c r="J108" s="60">
        <f>(C108-G108)*2+(0.5*H108)+1</f>
        <v>39.571428571428569</v>
      </c>
      <c r="K108" s="60">
        <f>C108*E108*2</f>
        <v>450</v>
      </c>
    </row>
    <row r="109" spans="1:11">
      <c r="A109" s="1" t="s">
        <v>3657</v>
      </c>
    </row>
    <row r="110" spans="1:11" ht="13.5" thickBot="1"/>
    <row r="111" spans="1:11" ht="13.5" thickBot="1">
      <c r="A111" s="295" t="s">
        <v>3537</v>
      </c>
      <c r="B111" s="1" t="s">
        <v>3507</v>
      </c>
      <c r="C111" s="1">
        <v>15</v>
      </c>
      <c r="D111" s="1">
        <v>16</v>
      </c>
      <c r="E111" s="1">
        <v>12</v>
      </c>
      <c r="G111" s="1">
        <f>E111/2</f>
        <v>6</v>
      </c>
      <c r="H111" s="60">
        <f>22/7*G111*2</f>
        <v>37.714285714285715</v>
      </c>
      <c r="I111" s="60">
        <f>22/7*G111*G111</f>
        <v>113.14285714285714</v>
      </c>
      <c r="J111" s="60">
        <f>(C111-G111)*2+(0.5*H111)+1</f>
        <v>37.857142857142861</v>
      </c>
      <c r="K111" s="60">
        <f>C111*E111*2</f>
        <v>360</v>
      </c>
    </row>
    <row r="112" spans="1:11">
      <c r="A112" s="1" t="s">
        <v>3538</v>
      </c>
    </row>
    <row r="113" spans="1:12" ht="13.5" thickBot="1"/>
    <row r="114" spans="1:12" ht="13.5" thickBot="1">
      <c r="A114" s="295" t="s">
        <v>3569</v>
      </c>
      <c r="B114" s="1" t="s">
        <v>3571</v>
      </c>
      <c r="C114" s="1">
        <v>14</v>
      </c>
      <c r="D114" s="1">
        <v>20</v>
      </c>
      <c r="E114" s="1">
        <v>9</v>
      </c>
      <c r="G114" s="1">
        <f>E114/2</f>
        <v>4.5</v>
      </c>
      <c r="H114" s="60">
        <f>22/7*G114*2</f>
        <v>28.285714285714285</v>
      </c>
      <c r="I114" s="60">
        <f>22/7*G114*G114</f>
        <v>63.642857142857139</v>
      </c>
      <c r="J114" s="60">
        <f>(C114-G114)*2+(0.5*H114)+1</f>
        <v>34.142857142857139</v>
      </c>
      <c r="K114" s="60">
        <f>C114*E114*2</f>
        <v>252</v>
      </c>
    </row>
    <row r="115" spans="1:12">
      <c r="A115" s="1" t="s">
        <v>3570</v>
      </c>
    </row>
    <row r="117" spans="1:12" ht="13.5" thickBot="1"/>
    <row r="118" spans="1:12" ht="13.5" thickBot="1">
      <c r="A118" s="295" t="s">
        <v>3595</v>
      </c>
      <c r="B118" s="1" t="s">
        <v>3597</v>
      </c>
      <c r="C118" s="1">
        <v>13</v>
      </c>
      <c r="D118" s="1">
        <v>14</v>
      </c>
      <c r="E118" s="1">
        <v>17</v>
      </c>
      <c r="G118" s="1">
        <f>E118/2</f>
        <v>8.5</v>
      </c>
      <c r="H118" s="60">
        <f>22/7*G118*2</f>
        <v>53.428571428571431</v>
      </c>
      <c r="I118" s="60">
        <f>22/7*G118*G118</f>
        <v>227.07142857142858</v>
      </c>
      <c r="J118" s="60">
        <f>(C118-G118)*2+(0.5*H118)+1</f>
        <v>36.714285714285715</v>
      </c>
      <c r="K118" s="60">
        <f>C118*E118*2</f>
        <v>442</v>
      </c>
      <c r="L118" s="1">
        <f>(D118+2)*(E118+2)</f>
        <v>304</v>
      </c>
    </row>
    <row r="119" spans="1:12">
      <c r="A119" s="1" t="s">
        <v>3596</v>
      </c>
    </row>
    <row r="121" spans="1:12" ht="13.5" thickBot="1"/>
    <row r="122" spans="1:12" ht="13.5" thickBot="1">
      <c r="A122" s="295" t="s">
        <v>3604</v>
      </c>
      <c r="B122" s="1" t="s">
        <v>3606</v>
      </c>
      <c r="C122" s="1">
        <v>12</v>
      </c>
      <c r="D122" s="1">
        <v>17</v>
      </c>
      <c r="E122" s="1">
        <v>14</v>
      </c>
      <c r="G122" s="1">
        <f>E122/2</f>
        <v>7</v>
      </c>
      <c r="H122" s="60">
        <f>22/7*G122*2</f>
        <v>44</v>
      </c>
      <c r="I122" s="60">
        <f>22/7*G122*G122</f>
        <v>154</v>
      </c>
      <c r="J122" s="60">
        <f>(C122-G122)*2+(0.5*H122)+1</f>
        <v>33</v>
      </c>
      <c r="K122" s="60">
        <f>C122*E122*2</f>
        <v>336</v>
      </c>
      <c r="L122" s="1">
        <f>(D122+2)*(E122+2)</f>
        <v>304</v>
      </c>
    </row>
    <row r="123" spans="1:12">
      <c r="A123" s="1" t="s">
        <v>3605</v>
      </c>
    </row>
    <row r="125" spans="1:12" ht="13.5" thickBot="1"/>
    <row r="126" spans="1:12" ht="13.5" thickBot="1">
      <c r="A126" s="295" t="s">
        <v>3752</v>
      </c>
      <c r="B126" s="1" t="s">
        <v>3755</v>
      </c>
      <c r="C126" s="1">
        <v>12</v>
      </c>
      <c r="D126" s="1">
        <v>7</v>
      </c>
      <c r="E126" s="1">
        <v>12</v>
      </c>
      <c r="G126" s="1">
        <f>E126/2</f>
        <v>6</v>
      </c>
      <c r="H126" s="60">
        <f>22/7*G126*2</f>
        <v>37.714285714285715</v>
      </c>
      <c r="I126" s="60">
        <f>22/7*G126*G126</f>
        <v>113.14285714285714</v>
      </c>
      <c r="J126" s="60">
        <f>(C126-G126)*2+(0.5*H126)+1</f>
        <v>31.857142857142858</v>
      </c>
      <c r="K126" s="60">
        <f>C126*E126*2</f>
        <v>288</v>
      </c>
      <c r="L126" s="1">
        <f>(D126+2)*(E126+2)</f>
        <v>126</v>
      </c>
    </row>
    <row r="127" spans="1:12">
      <c r="A127" s="1" t="s">
        <v>3753</v>
      </c>
    </row>
    <row r="128" spans="1:12">
      <c r="A128" s="1" t="s">
        <v>3754</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AD7F0-D8FB-47CF-BB8C-E841E15CC8D3}">
  <dimension ref="B3:G13"/>
  <sheetViews>
    <sheetView workbookViewId="0">
      <selection activeCell="E9" sqref="E9"/>
    </sheetView>
  </sheetViews>
  <sheetFormatPr defaultRowHeight="15"/>
  <cols>
    <col min="4" max="4" width="16.5703125" bestFit="1" customWidth="1"/>
  </cols>
  <sheetData>
    <row r="3" spans="2:7">
      <c r="B3" t="s">
        <v>2579</v>
      </c>
      <c r="E3" t="s">
        <v>2578</v>
      </c>
      <c r="F3" t="s">
        <v>2581</v>
      </c>
    </row>
    <row r="4" spans="2:7">
      <c r="D4" t="s">
        <v>2574</v>
      </c>
      <c r="E4">
        <v>2500</v>
      </c>
    </row>
    <row r="5" spans="2:7">
      <c r="D5" t="s">
        <v>2575</v>
      </c>
      <c r="E5">
        <v>1030</v>
      </c>
    </row>
    <row r="6" spans="2:7">
      <c r="D6" t="s">
        <v>2576</v>
      </c>
      <c r="E6">
        <v>300</v>
      </c>
    </row>
    <row r="7" spans="2:7">
      <c r="D7" t="s">
        <v>2577</v>
      </c>
      <c r="E7">
        <v>1000</v>
      </c>
    </row>
    <row r="8" spans="2:7">
      <c r="D8" t="s">
        <v>2580</v>
      </c>
      <c r="E8" s="68">
        <f>F8/3</f>
        <v>36.666666666666664</v>
      </c>
      <c r="F8">
        <v>110</v>
      </c>
    </row>
    <row r="9" spans="2:7">
      <c r="D9" t="s">
        <v>2582</v>
      </c>
      <c r="E9">
        <f>F9/3</f>
        <v>100</v>
      </c>
      <c r="F9">
        <v>300</v>
      </c>
    </row>
    <row r="10" spans="2:7">
      <c r="D10" t="s">
        <v>2583</v>
      </c>
      <c r="E10">
        <v>400</v>
      </c>
    </row>
    <row r="13" spans="2:7">
      <c r="B13">
        <v>16000</v>
      </c>
      <c r="E13">
        <f>SUM(E4:E12)</f>
        <v>5366.666666666667</v>
      </c>
      <c r="G13" s="294">
        <f>E13/B13</f>
        <v>0.3354166666666667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Q911"/>
  <sheetViews>
    <sheetView zoomScale="85" zoomScaleNormal="85" workbookViewId="0">
      <pane ySplit="2" topLeftCell="A51" activePane="bottomLeft" state="frozen"/>
      <selection pane="bottomLeft" activeCell="A3" sqref="A3"/>
    </sheetView>
  </sheetViews>
  <sheetFormatPr defaultRowHeight="12.75"/>
  <cols>
    <col min="1" max="1" width="20.28515625" style="1" bestFit="1" customWidth="1"/>
    <col min="2" max="2" width="29.140625" style="17" bestFit="1" customWidth="1"/>
    <col min="3" max="3" width="20.28515625" style="17" bestFit="1" customWidth="1"/>
    <col min="4" max="4" width="12.140625" style="196" bestFit="1" customWidth="1"/>
    <col min="5" max="5" width="11" style="4" customWidth="1"/>
    <col min="6" max="6" width="11" style="1" customWidth="1"/>
    <col min="7" max="7" width="11" style="196" customWidth="1"/>
    <col min="8" max="8" width="11" style="1" customWidth="1"/>
    <col min="9" max="9" width="5.140625" style="1" bestFit="1" customWidth="1"/>
    <col min="10" max="10" width="17.85546875" style="1" bestFit="1" customWidth="1"/>
    <col min="11" max="15" width="9.28515625" style="1" bestFit="1" customWidth="1"/>
    <col min="16" max="16384" width="9.140625" style="1"/>
  </cols>
  <sheetData>
    <row r="2" spans="1:10">
      <c r="A2" s="184" t="s">
        <v>1662</v>
      </c>
      <c r="B2" s="184" t="s">
        <v>1739</v>
      </c>
      <c r="C2" s="184" t="s">
        <v>1757</v>
      </c>
      <c r="D2" s="184" t="s">
        <v>1759</v>
      </c>
      <c r="E2" s="211" t="s">
        <v>1760</v>
      </c>
      <c r="F2" s="184" t="s">
        <v>1761</v>
      </c>
      <c r="G2" s="184" t="s">
        <v>1762</v>
      </c>
      <c r="H2" s="184" t="s">
        <v>1571</v>
      </c>
    </row>
    <row r="3" spans="1:10" ht="25.5">
      <c r="A3" s="17" t="s">
        <v>1750</v>
      </c>
      <c r="B3" s="17" t="s">
        <v>1752</v>
      </c>
      <c r="C3" s="17" t="s">
        <v>1758</v>
      </c>
      <c r="D3" s="1" t="s">
        <v>1556</v>
      </c>
      <c r="E3" s="4">
        <v>903.57142857142856</v>
      </c>
      <c r="F3" s="1">
        <v>1</v>
      </c>
      <c r="G3" s="1">
        <v>6</v>
      </c>
      <c r="H3" s="196">
        <v>3.5856009070294785</v>
      </c>
    </row>
    <row r="4" spans="1:10">
      <c r="D4" s="1" t="s">
        <v>1557</v>
      </c>
      <c r="E4" s="4">
        <v>903.57142857142856</v>
      </c>
      <c r="F4" s="1">
        <v>1</v>
      </c>
      <c r="G4" s="1">
        <v>5</v>
      </c>
      <c r="H4" s="196">
        <v>2.9880007558578985</v>
      </c>
    </row>
    <row r="5" spans="1:10">
      <c r="D5" s="1" t="s">
        <v>1559</v>
      </c>
      <c r="E5" s="4">
        <v>135</v>
      </c>
      <c r="F5" s="1">
        <v>2</v>
      </c>
      <c r="G5" s="1">
        <v>6</v>
      </c>
      <c r="H5" s="196">
        <v>1.0714285714285714</v>
      </c>
    </row>
    <row r="6" spans="1:10">
      <c r="D6" s="1" t="s">
        <v>1566</v>
      </c>
      <c r="E6" s="4">
        <v>1038.5714285714284</v>
      </c>
      <c r="F6" s="1">
        <v>1</v>
      </c>
      <c r="G6" s="1">
        <v>4</v>
      </c>
      <c r="H6" s="196">
        <v>4.9455782312925161</v>
      </c>
      <c r="J6" s="197">
        <v>40</v>
      </c>
    </row>
    <row r="7" spans="1:10">
      <c r="D7" s="1" t="s">
        <v>1616</v>
      </c>
      <c r="E7" s="4">
        <v>220</v>
      </c>
      <c r="F7" s="1">
        <v>1</v>
      </c>
      <c r="G7" s="1">
        <v>5</v>
      </c>
      <c r="H7" s="196">
        <v>0.72751322751322745</v>
      </c>
    </row>
    <row r="8" spans="1:10">
      <c r="D8" s="198" t="s">
        <v>555</v>
      </c>
      <c r="E8" s="212"/>
      <c r="F8" s="198"/>
      <c r="G8" s="198"/>
      <c r="H8" s="199">
        <v>13.318121693121693</v>
      </c>
      <c r="J8" s="1" t="s">
        <v>1753</v>
      </c>
    </row>
    <row r="9" spans="1:10">
      <c r="D9" s="1" t="s">
        <v>1569</v>
      </c>
      <c r="F9" s="1">
        <v>2</v>
      </c>
      <c r="G9" s="1">
        <v>8</v>
      </c>
      <c r="H9" s="196">
        <v>16</v>
      </c>
      <c r="I9" s="196">
        <f>H9+I11</f>
        <v>24.795436507936511</v>
      </c>
    </row>
    <row r="10" spans="1:10">
      <c r="D10" s="27" t="s">
        <v>1571</v>
      </c>
      <c r="E10" s="213"/>
      <c r="F10" s="27"/>
      <c r="G10" s="27"/>
      <c r="H10" s="200">
        <v>29.318121693121693</v>
      </c>
    </row>
    <row r="11" spans="1:10">
      <c r="D11" s="54" t="s">
        <v>1572</v>
      </c>
      <c r="E11" s="214"/>
      <c r="F11" s="54"/>
      <c r="G11" s="54"/>
      <c r="H11" s="201">
        <v>38.113558201058204</v>
      </c>
      <c r="I11" s="196">
        <f>H11-H10</f>
        <v>8.7954365079365111</v>
      </c>
    </row>
    <row r="12" spans="1:10">
      <c r="D12" s="1"/>
      <c r="G12" s="1"/>
    </row>
    <row r="13" spans="1:10" ht="25.5">
      <c r="A13" s="17" t="s">
        <v>1750</v>
      </c>
      <c r="B13" s="17" t="s">
        <v>1764</v>
      </c>
      <c r="C13" s="17" t="s">
        <v>1758</v>
      </c>
      <c r="D13" s="1" t="s">
        <v>1556</v>
      </c>
      <c r="E13" s="4">
        <v>903.57142857142856</v>
      </c>
      <c r="F13" s="1">
        <v>1</v>
      </c>
      <c r="G13" s="1">
        <v>7</v>
      </c>
      <c r="H13" s="196">
        <v>4.1832010582010577</v>
      </c>
    </row>
    <row r="14" spans="1:10">
      <c r="D14" s="1" t="s">
        <v>1557</v>
      </c>
      <c r="E14" s="4">
        <v>903.57142857142856</v>
      </c>
      <c r="F14" s="1">
        <v>1</v>
      </c>
      <c r="G14" s="1">
        <v>10</v>
      </c>
      <c r="H14" s="196">
        <v>5.976001511715797</v>
      </c>
    </row>
    <row r="15" spans="1:10">
      <c r="D15" s="1" t="s">
        <v>1559</v>
      </c>
      <c r="E15" s="4">
        <v>135</v>
      </c>
      <c r="F15" s="1">
        <v>2</v>
      </c>
      <c r="G15" s="1">
        <v>7</v>
      </c>
      <c r="H15" s="196">
        <v>1.25</v>
      </c>
    </row>
    <row r="16" spans="1:10">
      <c r="D16" s="1" t="s">
        <v>1566</v>
      </c>
      <c r="E16" s="4">
        <v>1038.5714285714284</v>
      </c>
      <c r="F16" s="1">
        <v>1</v>
      </c>
      <c r="G16" s="1">
        <v>4</v>
      </c>
      <c r="H16" s="196">
        <v>4.9455782312925161</v>
      </c>
    </row>
    <row r="17" spans="1:10">
      <c r="D17" s="1" t="s">
        <v>1616</v>
      </c>
      <c r="E17" s="4">
        <v>220</v>
      </c>
      <c r="F17" s="1">
        <v>1</v>
      </c>
      <c r="G17" s="1">
        <v>10</v>
      </c>
      <c r="H17" s="196">
        <v>1.4550264550264549</v>
      </c>
      <c r="J17" s="197">
        <v>45</v>
      </c>
    </row>
    <row r="18" spans="1:10">
      <c r="D18" s="198" t="s">
        <v>555</v>
      </c>
      <c r="E18" s="212"/>
      <c r="F18" s="198"/>
      <c r="G18" s="198"/>
      <c r="H18" s="199">
        <v>17.809807256235825</v>
      </c>
      <c r="J18" s="1" t="s">
        <v>1751</v>
      </c>
    </row>
    <row r="19" spans="1:10">
      <c r="D19" s="1" t="s">
        <v>1569</v>
      </c>
      <c r="F19" s="1">
        <v>2</v>
      </c>
      <c r="G19" s="1">
        <v>8</v>
      </c>
      <c r="H19" s="196">
        <v>16</v>
      </c>
      <c r="I19" s="196">
        <f>H19+I21</f>
        <v>26.142942176870747</v>
      </c>
    </row>
    <row r="20" spans="1:10">
      <c r="D20" s="27" t="s">
        <v>1571</v>
      </c>
      <c r="E20" s="213"/>
      <c r="F20" s="27"/>
      <c r="G20" s="27"/>
      <c r="H20" s="200">
        <v>33.809807256235828</v>
      </c>
    </row>
    <row r="21" spans="1:10">
      <c r="D21" s="54" t="s">
        <v>1572</v>
      </c>
      <c r="E21" s="214"/>
      <c r="F21" s="54"/>
      <c r="G21" s="54"/>
      <c r="H21" s="201">
        <v>43.952749433106575</v>
      </c>
      <c r="I21" s="196">
        <f>H21-H20</f>
        <v>10.142942176870747</v>
      </c>
    </row>
    <row r="24" spans="1:10">
      <c r="A24" s="1" t="s">
        <v>1763</v>
      </c>
      <c r="B24" s="17" t="s">
        <v>1766</v>
      </c>
      <c r="D24" s="1" t="s">
        <v>1556</v>
      </c>
      <c r="E24" s="4">
        <v>903.57142857142856</v>
      </c>
      <c r="F24" s="1">
        <v>1</v>
      </c>
      <c r="G24" s="1">
        <v>2</v>
      </c>
      <c r="H24" s="196">
        <v>1.1952003023431594</v>
      </c>
    </row>
    <row r="25" spans="1:10">
      <c r="D25" s="1" t="s">
        <v>1557</v>
      </c>
      <c r="E25" s="4">
        <v>903.57142857142856</v>
      </c>
      <c r="F25" s="1">
        <v>1</v>
      </c>
      <c r="G25" s="1">
        <v>6</v>
      </c>
      <c r="H25" s="196">
        <v>3.5856009070294785</v>
      </c>
    </row>
    <row r="26" spans="1:10">
      <c r="D26" s="1" t="s">
        <v>1559</v>
      </c>
      <c r="E26" s="4">
        <v>135</v>
      </c>
      <c r="F26" s="1">
        <v>2</v>
      </c>
      <c r="G26" s="1">
        <v>6</v>
      </c>
      <c r="H26" s="196">
        <v>1.0714285714285714</v>
      </c>
      <c r="J26" s="197">
        <v>40</v>
      </c>
    </row>
    <row r="27" spans="1:10">
      <c r="D27" s="1" t="s">
        <v>1566</v>
      </c>
      <c r="E27" s="4">
        <v>1038.5714285714284</v>
      </c>
      <c r="F27" s="1">
        <v>1</v>
      </c>
      <c r="G27" s="1">
        <v>4</v>
      </c>
      <c r="H27" s="196">
        <v>4.9455782312925161</v>
      </c>
      <c r="J27" s="1" t="s">
        <v>1765</v>
      </c>
    </row>
    <row r="28" spans="1:10">
      <c r="D28" s="1" t="s">
        <v>1616</v>
      </c>
      <c r="E28" s="4">
        <v>220</v>
      </c>
      <c r="F28" s="1">
        <v>1</v>
      </c>
      <c r="G28" s="1">
        <v>6</v>
      </c>
      <c r="H28" s="196">
        <v>0.87301587301587302</v>
      </c>
    </row>
    <row r="29" spans="1:10">
      <c r="D29" s="198" t="s">
        <v>555</v>
      </c>
      <c r="E29" s="212"/>
      <c r="F29" s="198"/>
      <c r="G29" s="198"/>
      <c r="H29" s="199">
        <v>11.670823885109598</v>
      </c>
    </row>
    <row r="30" spans="1:10">
      <c r="D30" s="1" t="s">
        <v>1569</v>
      </c>
      <c r="F30" s="1">
        <v>2</v>
      </c>
      <c r="G30" s="1">
        <v>8</v>
      </c>
      <c r="H30" s="196">
        <v>16</v>
      </c>
    </row>
    <row r="31" spans="1:10">
      <c r="D31" s="27" t="s">
        <v>1571</v>
      </c>
      <c r="E31" s="213"/>
      <c r="F31" s="27"/>
      <c r="G31" s="27"/>
      <c r="H31" s="200">
        <v>27.670823885109598</v>
      </c>
    </row>
    <row r="32" spans="1:10">
      <c r="D32" s="54" t="s">
        <v>1572</v>
      </c>
      <c r="E32" s="214"/>
      <c r="F32" s="54"/>
      <c r="G32" s="54"/>
      <c r="H32" s="201">
        <v>35.972071050642477</v>
      </c>
    </row>
    <row r="35" spans="1:15">
      <c r="A35" s="1" t="s">
        <v>1774</v>
      </c>
      <c r="B35" s="17" t="s">
        <v>1776</v>
      </c>
      <c r="C35" s="17" t="s">
        <v>1777</v>
      </c>
      <c r="D35" s="205" t="s">
        <v>1767</v>
      </c>
      <c r="G35" s="1"/>
      <c r="H35" s="3"/>
      <c r="K35" s="1" t="s">
        <v>1595</v>
      </c>
      <c r="L35" s="1" t="s">
        <v>1594</v>
      </c>
      <c r="M35" s="1" t="s">
        <v>1770</v>
      </c>
      <c r="N35" s="27" t="s">
        <v>1771</v>
      </c>
      <c r="O35" s="1" t="s">
        <v>1572</v>
      </c>
    </row>
    <row r="36" spans="1:15">
      <c r="D36" s="1" t="s">
        <v>1556</v>
      </c>
      <c r="E36" s="4">
        <v>304</v>
      </c>
      <c r="F36" s="1">
        <v>1</v>
      </c>
      <c r="G36" s="1">
        <v>2</v>
      </c>
      <c r="H36" s="3">
        <v>0.40211640211640209</v>
      </c>
      <c r="K36" s="27">
        <v>16</v>
      </c>
      <c r="L36" s="27">
        <v>19</v>
      </c>
      <c r="M36" s="1">
        <v>11.27</v>
      </c>
      <c r="N36" s="27">
        <v>10</v>
      </c>
      <c r="O36" s="1">
        <v>11</v>
      </c>
    </row>
    <row r="37" spans="1:15">
      <c r="D37" s="1" t="s">
        <v>1557</v>
      </c>
      <c r="E37" s="4">
        <v>304</v>
      </c>
      <c r="F37" s="1">
        <v>1</v>
      </c>
      <c r="G37" s="1">
        <v>2</v>
      </c>
      <c r="H37" s="3">
        <v>0.40211640211640209</v>
      </c>
      <c r="K37" s="1">
        <v>10</v>
      </c>
      <c r="L37" s="1">
        <v>14</v>
      </c>
      <c r="M37" s="1">
        <v>9.6</v>
      </c>
      <c r="N37" s="1">
        <v>9</v>
      </c>
    </row>
    <row r="38" spans="1:15">
      <c r="D38" s="1" t="s">
        <v>1566</v>
      </c>
      <c r="E38" s="4">
        <v>304</v>
      </c>
      <c r="F38" s="1">
        <v>1</v>
      </c>
      <c r="G38" s="1">
        <v>2</v>
      </c>
      <c r="H38" s="3">
        <v>0.69885057471264367</v>
      </c>
    </row>
    <row r="39" spans="1:15">
      <c r="D39" s="1" t="s">
        <v>1737</v>
      </c>
      <c r="E39" s="4">
        <v>72</v>
      </c>
      <c r="F39" s="1">
        <v>1</v>
      </c>
      <c r="G39" s="1">
        <v>2</v>
      </c>
      <c r="H39" s="3">
        <v>9.5238095238095233E-2</v>
      </c>
    </row>
    <row r="40" spans="1:15">
      <c r="D40" s="1" t="s">
        <v>1559</v>
      </c>
      <c r="E40" s="4">
        <v>304</v>
      </c>
      <c r="F40" s="1">
        <v>1</v>
      </c>
      <c r="G40" s="1">
        <v>2</v>
      </c>
      <c r="H40" s="3">
        <v>0.40211640211640209</v>
      </c>
      <c r="I40" s="206" t="s">
        <v>1669</v>
      </c>
      <c r="K40" s="1" t="s">
        <v>1768</v>
      </c>
      <c r="M40" s="1">
        <v>870</v>
      </c>
      <c r="N40" s="1" t="s">
        <v>1769</v>
      </c>
    </row>
    <row r="41" spans="1:15">
      <c r="D41" s="198" t="s">
        <v>555</v>
      </c>
      <c r="E41" s="212"/>
      <c r="F41" s="198"/>
      <c r="G41" s="198"/>
      <c r="H41" s="207">
        <v>2.0004378762999453</v>
      </c>
      <c r="I41" s="208">
        <v>6.0013136288998359</v>
      </c>
    </row>
    <row r="42" spans="1:15">
      <c r="D42" s="1" t="s">
        <v>1569</v>
      </c>
      <c r="F42" s="1">
        <v>1</v>
      </c>
      <c r="G42" s="1">
        <v>8</v>
      </c>
      <c r="H42" s="3">
        <v>8</v>
      </c>
    </row>
    <row r="43" spans="1:15">
      <c r="D43" s="7" t="s">
        <v>1571</v>
      </c>
      <c r="E43" s="9"/>
      <c r="F43" s="7"/>
      <c r="G43" s="7"/>
      <c r="H43" s="10">
        <v>10.000437876299944</v>
      </c>
      <c r="I43" s="1">
        <v>3.0001313628899831</v>
      </c>
    </row>
    <row r="44" spans="1:15">
      <c r="D44" s="209" t="s">
        <v>1572</v>
      </c>
      <c r="E44" s="215"/>
      <c r="F44" s="209"/>
      <c r="G44" s="209"/>
      <c r="H44" s="210">
        <v>13.000569239189929</v>
      </c>
      <c r="I44" s="1">
        <v>22</v>
      </c>
    </row>
    <row r="47" spans="1:15" ht="25.5">
      <c r="A47" s="1" t="s">
        <v>1772</v>
      </c>
      <c r="B47" s="17" t="s">
        <v>1785</v>
      </c>
      <c r="C47" s="17" t="s">
        <v>1778</v>
      </c>
      <c r="D47" s="1" t="s">
        <v>1556</v>
      </c>
      <c r="E47" s="4">
        <v>903.57142857142856</v>
      </c>
      <c r="F47" s="1">
        <v>1</v>
      </c>
      <c r="G47" s="1">
        <v>10</v>
      </c>
      <c r="H47" s="3">
        <v>5.976001511715797</v>
      </c>
    </row>
    <row r="48" spans="1:15">
      <c r="D48" s="1" t="s">
        <v>1557</v>
      </c>
      <c r="E48" s="4">
        <v>903.57142857142856</v>
      </c>
      <c r="F48" s="1">
        <v>1</v>
      </c>
      <c r="G48" s="1">
        <v>10</v>
      </c>
      <c r="H48" s="3">
        <v>5.976001511715797</v>
      </c>
    </row>
    <row r="49" spans="2:10">
      <c r="D49" s="1" t="s">
        <v>1559</v>
      </c>
      <c r="E49" s="4">
        <v>135</v>
      </c>
      <c r="F49" s="1">
        <v>2</v>
      </c>
      <c r="G49" s="1">
        <v>10</v>
      </c>
      <c r="H49" s="3">
        <v>1.7857142857142858</v>
      </c>
    </row>
    <row r="50" spans="2:10">
      <c r="D50" s="1" t="s">
        <v>1566</v>
      </c>
      <c r="E50" s="4">
        <v>1038.5714285714284</v>
      </c>
      <c r="F50" s="1">
        <v>1</v>
      </c>
      <c r="G50" s="1">
        <v>4</v>
      </c>
      <c r="H50" s="3">
        <v>4.9455782312925161</v>
      </c>
      <c r="J50" s="197">
        <v>45</v>
      </c>
    </row>
    <row r="51" spans="2:10">
      <c r="D51" s="1" t="s">
        <v>1616</v>
      </c>
      <c r="E51" s="4">
        <v>220</v>
      </c>
      <c r="F51" s="1">
        <v>1</v>
      </c>
      <c r="G51" s="1">
        <v>10</v>
      </c>
      <c r="H51" s="3">
        <v>1.4550264550264549</v>
      </c>
      <c r="J51" s="1" t="s">
        <v>1779</v>
      </c>
    </row>
    <row r="52" spans="2:10">
      <c r="D52" s="198" t="s">
        <v>555</v>
      </c>
      <c r="E52" s="212"/>
      <c r="F52" s="198"/>
      <c r="G52" s="198"/>
      <c r="H52" s="207">
        <v>20.138321995464853</v>
      </c>
    </row>
    <row r="53" spans="2:10">
      <c r="D53" s="1" t="s">
        <v>1569</v>
      </c>
      <c r="F53" s="1">
        <v>2</v>
      </c>
      <c r="G53" s="1">
        <v>8</v>
      </c>
      <c r="H53" s="3">
        <v>16</v>
      </c>
    </row>
    <row r="54" spans="2:10">
      <c r="D54" s="7" t="s">
        <v>1571</v>
      </c>
      <c r="E54" s="9"/>
      <c r="F54" s="7"/>
      <c r="G54" s="7"/>
      <c r="H54" s="10">
        <v>36.13832199546485</v>
      </c>
    </row>
    <row r="55" spans="2:10">
      <c r="D55" s="209" t="s">
        <v>1572</v>
      </c>
      <c r="E55" s="215"/>
      <c r="F55" s="209"/>
      <c r="G55" s="209"/>
      <c r="H55" s="210">
        <v>46.979818594104309</v>
      </c>
    </row>
    <row r="58" spans="2:10" ht="38.25">
      <c r="B58" s="17" t="s">
        <v>1786</v>
      </c>
      <c r="D58" s="1" t="s">
        <v>1556</v>
      </c>
      <c r="E58" s="4">
        <v>903.57142857142856</v>
      </c>
      <c r="F58" s="1">
        <v>1</v>
      </c>
      <c r="G58" s="1">
        <v>10</v>
      </c>
      <c r="H58" s="3">
        <v>5.976001511715797</v>
      </c>
    </row>
    <row r="59" spans="2:10">
      <c r="D59" s="1" t="s">
        <v>1557</v>
      </c>
      <c r="E59" s="4">
        <v>903.57142857142856</v>
      </c>
      <c r="F59" s="1">
        <v>1</v>
      </c>
      <c r="G59" s="1">
        <v>6</v>
      </c>
      <c r="H59" s="3">
        <v>3.5856009070294785</v>
      </c>
    </row>
    <row r="60" spans="2:10">
      <c r="D60" s="1" t="s">
        <v>1559</v>
      </c>
      <c r="E60" s="4">
        <v>135</v>
      </c>
      <c r="F60" s="1">
        <v>2</v>
      </c>
      <c r="G60" s="1">
        <v>10</v>
      </c>
      <c r="H60" s="3">
        <v>1.7857142857142858</v>
      </c>
      <c r="J60" s="197">
        <v>45</v>
      </c>
    </row>
    <row r="61" spans="2:10">
      <c r="D61" s="1" t="s">
        <v>1566</v>
      </c>
      <c r="E61" s="4">
        <v>1038.5714285714284</v>
      </c>
      <c r="F61" s="1">
        <v>1</v>
      </c>
      <c r="G61" s="1">
        <v>4</v>
      </c>
      <c r="H61" s="3">
        <v>4.9455782312925161</v>
      </c>
      <c r="J61" s="1" t="s">
        <v>1751</v>
      </c>
    </row>
    <row r="62" spans="2:10">
      <c r="D62" s="1" t="s">
        <v>1616</v>
      </c>
      <c r="E62" s="4">
        <v>220</v>
      </c>
      <c r="F62" s="1">
        <v>1</v>
      </c>
      <c r="G62" s="1">
        <v>6</v>
      </c>
      <c r="H62" s="3">
        <v>0.87301587301587302</v>
      </c>
    </row>
    <row r="63" spans="2:10">
      <c r="D63" s="198" t="s">
        <v>555</v>
      </c>
      <c r="E63" s="212"/>
      <c r="F63" s="198"/>
      <c r="G63" s="198"/>
      <c r="H63" s="207">
        <v>17.165910808767951</v>
      </c>
    </row>
    <row r="64" spans="2:10">
      <c r="D64" s="1" t="s">
        <v>1569</v>
      </c>
      <c r="F64" s="1">
        <v>2</v>
      </c>
      <c r="G64" s="1">
        <v>8</v>
      </c>
      <c r="H64" s="3">
        <v>16</v>
      </c>
    </row>
    <row r="65" spans="1:16">
      <c r="D65" s="7" t="s">
        <v>1571</v>
      </c>
      <c r="E65" s="9"/>
      <c r="F65" s="7"/>
      <c r="G65" s="7"/>
      <c r="H65" s="10">
        <v>33.165910808767947</v>
      </c>
    </row>
    <row r="66" spans="1:16">
      <c r="D66" s="209" t="s">
        <v>1572</v>
      </c>
      <c r="E66" s="215"/>
      <c r="F66" s="209"/>
      <c r="G66" s="209"/>
      <c r="H66" s="210">
        <v>43.115684051398333</v>
      </c>
    </row>
    <row r="69" spans="1:16" ht="25.5">
      <c r="A69" s="1" t="s">
        <v>1741</v>
      </c>
      <c r="B69" s="17" t="s">
        <v>1749</v>
      </c>
      <c r="C69" s="17" t="s">
        <v>1742</v>
      </c>
      <c r="D69" s="205" t="s">
        <v>1745</v>
      </c>
      <c r="E69" s="1"/>
      <c r="G69" s="1"/>
      <c r="H69" s="3"/>
      <c r="L69" s="1" t="s">
        <v>1595</v>
      </c>
      <c r="M69" s="1" t="s">
        <v>1594</v>
      </c>
      <c r="N69" s="1" t="s">
        <v>1646</v>
      </c>
      <c r="O69" s="1" t="s">
        <v>1643</v>
      </c>
      <c r="P69" s="1" t="s">
        <v>1648</v>
      </c>
    </row>
    <row r="70" spans="1:16">
      <c r="D70" s="1" t="s">
        <v>1556</v>
      </c>
      <c r="E70" s="60">
        <v>903.57142857142856</v>
      </c>
      <c r="F70" s="1">
        <v>1</v>
      </c>
      <c r="G70" s="1">
        <v>16</v>
      </c>
      <c r="H70" s="3">
        <v>9.5616024187452755</v>
      </c>
      <c r="L70" s="1">
        <v>15</v>
      </c>
      <c r="M70" s="1">
        <v>17</v>
      </c>
      <c r="N70" s="1">
        <v>10</v>
      </c>
      <c r="O70" s="1">
        <v>35</v>
      </c>
      <c r="P70" s="60">
        <v>378.57142857142856</v>
      </c>
    </row>
    <row r="71" spans="1:16">
      <c r="D71" s="1" t="s">
        <v>1557</v>
      </c>
      <c r="E71" s="60">
        <v>903.57142857142856</v>
      </c>
      <c r="F71" s="1">
        <v>1</v>
      </c>
      <c r="G71" s="1">
        <v>6</v>
      </c>
      <c r="H71" s="3">
        <v>3.5856009070294785</v>
      </c>
    </row>
    <row r="72" spans="1:16">
      <c r="D72" s="1" t="s">
        <v>1559</v>
      </c>
      <c r="E72" s="60">
        <v>135</v>
      </c>
      <c r="F72" s="1">
        <v>2</v>
      </c>
      <c r="G72" s="1">
        <v>11</v>
      </c>
      <c r="H72" s="3">
        <v>1.9642857142857144</v>
      </c>
      <c r="J72" s="197">
        <v>45</v>
      </c>
    </row>
    <row r="73" spans="1:16">
      <c r="D73" s="1" t="s">
        <v>1566</v>
      </c>
      <c r="E73" s="60">
        <v>1038.5714285714284</v>
      </c>
      <c r="F73" s="1">
        <v>1</v>
      </c>
      <c r="G73" s="1">
        <v>4</v>
      </c>
      <c r="H73" s="3">
        <v>4.9455782312925161</v>
      </c>
      <c r="J73" s="1" t="s">
        <v>1787</v>
      </c>
    </row>
    <row r="74" spans="1:16">
      <c r="D74" s="1" t="s">
        <v>1616</v>
      </c>
      <c r="E74" s="60">
        <v>220</v>
      </c>
      <c r="F74" s="1">
        <v>1</v>
      </c>
      <c r="G74" s="1">
        <v>6</v>
      </c>
      <c r="H74" s="3">
        <v>0.87301587301587302</v>
      </c>
    </row>
    <row r="75" spans="1:16">
      <c r="D75" s="198" t="s">
        <v>555</v>
      </c>
      <c r="E75" s="198"/>
      <c r="F75" s="198"/>
      <c r="G75" s="198"/>
      <c r="H75" s="207">
        <v>20.930083144368858</v>
      </c>
      <c r="J75" s="3">
        <f>J72-H77</f>
        <v>8.069916855631142</v>
      </c>
    </row>
    <row r="76" spans="1:16">
      <c r="D76" s="1" t="s">
        <v>1569</v>
      </c>
      <c r="E76" s="1"/>
      <c r="F76" s="1">
        <v>2</v>
      </c>
      <c r="G76" s="1">
        <v>8</v>
      </c>
      <c r="H76" s="3">
        <v>16</v>
      </c>
    </row>
    <row r="77" spans="1:16">
      <c r="D77" s="7" t="s">
        <v>1571</v>
      </c>
      <c r="E77" s="7"/>
      <c r="F77" s="7"/>
      <c r="G77" s="7"/>
      <c r="H77" s="10">
        <v>36.930083144368858</v>
      </c>
    </row>
    <row r="78" spans="1:16">
      <c r="D78" s="209" t="s">
        <v>1572</v>
      </c>
      <c r="E78" s="209"/>
      <c r="F78" s="209"/>
      <c r="G78" s="209"/>
      <c r="H78" s="210">
        <v>48.009108087679515</v>
      </c>
    </row>
    <row r="80" spans="1:16">
      <c r="K80" s="1" t="s">
        <v>1595</v>
      </c>
      <c r="L80" s="1" t="s">
        <v>1594</v>
      </c>
      <c r="M80" s="1" t="s">
        <v>1646</v>
      </c>
      <c r="N80" s="1" t="s">
        <v>1817</v>
      </c>
    </row>
    <row r="81" spans="1:14">
      <c r="A81" s="1" t="s">
        <v>1735</v>
      </c>
      <c r="B81" s="17" t="s">
        <v>1815</v>
      </c>
      <c r="C81" s="17" t="s">
        <v>1813</v>
      </c>
      <c r="D81" s="1" t="s">
        <v>1556</v>
      </c>
      <c r="E81" s="1">
        <v>121</v>
      </c>
      <c r="F81" s="1">
        <v>1</v>
      </c>
      <c r="G81" s="1">
        <v>3</v>
      </c>
      <c r="H81" s="3">
        <v>0.24007936507936509</v>
      </c>
      <c r="K81" s="1">
        <v>11</v>
      </c>
      <c r="L81" s="1">
        <v>11</v>
      </c>
      <c r="M81" s="1">
        <v>7</v>
      </c>
      <c r="N81" s="1">
        <v>77</v>
      </c>
    </row>
    <row r="82" spans="1:14">
      <c r="D82" s="1" t="s">
        <v>1557</v>
      </c>
      <c r="E82" s="1">
        <v>121</v>
      </c>
      <c r="F82" s="1">
        <v>1</v>
      </c>
      <c r="G82" s="1">
        <v>5</v>
      </c>
      <c r="H82" s="3">
        <v>0.40013227513227512</v>
      </c>
    </row>
    <row r="83" spans="1:14">
      <c r="D83" s="1" t="s">
        <v>1566</v>
      </c>
      <c r="E83" s="1">
        <v>121</v>
      </c>
      <c r="F83" s="1">
        <v>1</v>
      </c>
      <c r="G83" s="1">
        <v>4</v>
      </c>
      <c r="H83" s="3">
        <v>0.55632183908045973</v>
      </c>
      <c r="J83" s="197">
        <v>25</v>
      </c>
      <c r="L83" s="1">
        <v>242</v>
      </c>
      <c r="M83" s="1">
        <v>154</v>
      </c>
    </row>
    <row r="84" spans="1:14">
      <c r="D84" s="1" t="s">
        <v>1737</v>
      </c>
      <c r="E84" s="1">
        <v>88</v>
      </c>
      <c r="F84" s="1">
        <v>1</v>
      </c>
      <c r="G84" s="1">
        <v>4</v>
      </c>
      <c r="H84" s="3">
        <v>0.23280423280423279</v>
      </c>
      <c r="J84" s="1" t="s">
        <v>1818</v>
      </c>
    </row>
    <row r="85" spans="1:14">
      <c r="D85" s="198" t="s">
        <v>555</v>
      </c>
      <c r="E85" s="198"/>
      <c r="F85" s="198"/>
      <c r="G85" s="198"/>
      <c r="H85" s="207">
        <v>1.4293377120963326</v>
      </c>
      <c r="N85" s="1">
        <v>473</v>
      </c>
    </row>
    <row r="86" spans="1:14">
      <c r="D86" s="1" t="s">
        <v>1569</v>
      </c>
      <c r="E86" s="1"/>
      <c r="F86" s="1">
        <v>1.5</v>
      </c>
      <c r="G86" s="1">
        <v>8</v>
      </c>
      <c r="H86" s="3">
        <v>12</v>
      </c>
      <c r="J86" s="3">
        <f>J83-H88</f>
        <v>7.5418609742747655</v>
      </c>
    </row>
    <row r="87" spans="1:14">
      <c r="D87" s="7" t="s">
        <v>1571</v>
      </c>
      <c r="E87" s="7"/>
      <c r="F87" s="7"/>
      <c r="G87" s="7"/>
      <c r="H87" s="10">
        <v>13.429337712096332</v>
      </c>
    </row>
    <row r="88" spans="1:14">
      <c r="D88" s="209" t="s">
        <v>1572</v>
      </c>
      <c r="E88" s="209"/>
      <c r="F88" s="209"/>
      <c r="G88" s="209"/>
      <c r="H88" s="210">
        <v>17.458139025725234</v>
      </c>
    </row>
    <row r="89" spans="1:14">
      <c r="D89" s="1"/>
      <c r="E89" s="1"/>
      <c r="G89" s="1"/>
      <c r="H89" s="3"/>
    </row>
    <row r="91" spans="1:14" ht="25.5">
      <c r="A91" s="1" t="s">
        <v>1735</v>
      </c>
      <c r="B91" s="17" t="s">
        <v>1816</v>
      </c>
      <c r="C91" s="17" t="s">
        <v>1814</v>
      </c>
      <c r="D91" s="1" t="s">
        <v>1556</v>
      </c>
      <c r="E91" s="1">
        <v>903.57142857142856</v>
      </c>
      <c r="F91" s="1">
        <v>1</v>
      </c>
      <c r="G91" s="1">
        <v>5</v>
      </c>
      <c r="H91" s="3">
        <v>2.9880007558578985</v>
      </c>
    </row>
    <row r="92" spans="1:14">
      <c r="D92" s="1" t="s">
        <v>1557</v>
      </c>
      <c r="E92" s="1">
        <v>903.57142857142856</v>
      </c>
      <c r="F92" s="1">
        <v>1</v>
      </c>
      <c r="G92" s="1">
        <v>8</v>
      </c>
      <c r="H92" s="3">
        <v>4.7808012093726378</v>
      </c>
    </row>
    <row r="93" spans="1:14">
      <c r="D93" s="1" t="s">
        <v>1559</v>
      </c>
      <c r="E93" s="1">
        <v>135</v>
      </c>
      <c r="F93" s="1">
        <v>2</v>
      </c>
      <c r="G93" s="1">
        <v>6</v>
      </c>
      <c r="H93" s="3">
        <v>1.0714285714285714</v>
      </c>
      <c r="J93" s="197">
        <v>45</v>
      </c>
    </row>
    <row r="94" spans="1:14">
      <c r="D94" s="1" t="s">
        <v>1566</v>
      </c>
      <c r="E94" s="1">
        <v>1038.5714285714284</v>
      </c>
      <c r="F94" s="1">
        <v>1</v>
      </c>
      <c r="G94" s="1">
        <v>4</v>
      </c>
      <c r="H94" s="3">
        <v>4.9455782312925161</v>
      </c>
      <c r="J94" s="1" t="s">
        <v>1819</v>
      </c>
    </row>
    <row r="95" spans="1:14">
      <c r="D95" s="1" t="s">
        <v>1616</v>
      </c>
      <c r="E95" s="1">
        <v>220</v>
      </c>
      <c r="F95" s="1">
        <v>1</v>
      </c>
      <c r="G95" s="1">
        <v>5</v>
      </c>
      <c r="H95" s="3">
        <v>0.72751322751322745</v>
      </c>
    </row>
    <row r="96" spans="1:14">
      <c r="D96" s="198" t="s">
        <v>555</v>
      </c>
      <c r="E96" s="198"/>
      <c r="F96" s="198"/>
      <c r="G96" s="198"/>
      <c r="H96" s="207">
        <v>14.513321995464853</v>
      </c>
      <c r="J96" s="3">
        <f>J93-H98</f>
        <v>14.486678004535147</v>
      </c>
    </row>
    <row r="97" spans="1:14">
      <c r="D97" s="1" t="s">
        <v>1569</v>
      </c>
      <c r="E97" s="1"/>
      <c r="F97" s="1">
        <v>2</v>
      </c>
      <c r="G97" s="1">
        <v>8</v>
      </c>
      <c r="H97" s="3">
        <v>16</v>
      </c>
    </row>
    <row r="98" spans="1:14">
      <c r="D98" s="7" t="s">
        <v>1571</v>
      </c>
      <c r="E98" s="7"/>
      <c r="F98" s="7"/>
      <c r="G98" s="7"/>
      <c r="H98" s="10">
        <v>30.513321995464853</v>
      </c>
    </row>
    <row r="99" spans="1:14">
      <c r="D99" s="209" t="s">
        <v>1572</v>
      </c>
      <c r="E99" s="209"/>
      <c r="F99" s="209"/>
      <c r="G99" s="209"/>
      <c r="H99" s="210">
        <v>39.667318594104309</v>
      </c>
    </row>
    <row r="102" spans="1:14">
      <c r="A102" s="1" t="s">
        <v>1820</v>
      </c>
      <c r="B102" s="17" t="s">
        <v>1821</v>
      </c>
      <c r="C102" s="17" t="s">
        <v>1823</v>
      </c>
      <c r="D102" s="1" t="s">
        <v>1556</v>
      </c>
      <c r="E102" s="1">
        <v>1003.5714285714286</v>
      </c>
      <c r="F102" s="1">
        <v>1</v>
      </c>
      <c r="G102" s="1">
        <v>12</v>
      </c>
      <c r="H102" s="3">
        <v>7.9648526077097506</v>
      </c>
    </row>
    <row r="103" spans="1:14">
      <c r="D103" s="1" t="s">
        <v>1557</v>
      </c>
      <c r="E103" s="1">
        <v>1003.5714285714286</v>
      </c>
      <c r="F103" s="1">
        <v>1</v>
      </c>
      <c r="G103" s="1">
        <v>8</v>
      </c>
      <c r="H103" s="3">
        <v>5.309901738473167</v>
      </c>
      <c r="K103" s="1" t="s">
        <v>1595</v>
      </c>
      <c r="L103" s="1" t="s">
        <v>1594</v>
      </c>
      <c r="M103" s="1" t="s">
        <v>1646</v>
      </c>
      <c r="N103" s="1" t="s">
        <v>1609</v>
      </c>
    </row>
    <row r="104" spans="1:14">
      <c r="D104" s="1" t="s">
        <v>1559</v>
      </c>
      <c r="E104" s="1">
        <v>135</v>
      </c>
      <c r="F104" s="1">
        <v>2</v>
      </c>
      <c r="G104" s="1">
        <v>8</v>
      </c>
      <c r="H104" s="3">
        <v>1.4285714285714286</v>
      </c>
      <c r="K104" s="1">
        <v>17</v>
      </c>
      <c r="L104" s="1">
        <v>15</v>
      </c>
      <c r="M104" s="1">
        <v>10</v>
      </c>
      <c r="N104" s="1">
        <v>39</v>
      </c>
    </row>
    <row r="105" spans="1:14">
      <c r="D105" s="1" t="s">
        <v>1566</v>
      </c>
      <c r="E105" s="1">
        <v>1138.5714285714284</v>
      </c>
      <c r="F105" s="1">
        <v>1</v>
      </c>
      <c r="G105" s="1">
        <v>4</v>
      </c>
      <c r="H105" s="3">
        <v>5.4217687074829923</v>
      </c>
    </row>
    <row r="106" spans="1:14">
      <c r="D106" s="1" t="s">
        <v>1616</v>
      </c>
      <c r="E106" s="1">
        <v>228</v>
      </c>
      <c r="F106" s="1">
        <v>1</v>
      </c>
      <c r="G106" s="1">
        <v>6</v>
      </c>
      <c r="H106" s="3">
        <v>0.90476190476190466</v>
      </c>
      <c r="J106" s="197">
        <v>50</v>
      </c>
    </row>
    <row r="107" spans="1:14">
      <c r="D107" s="198" t="s">
        <v>555</v>
      </c>
      <c r="E107" s="198"/>
      <c r="F107" s="198"/>
      <c r="G107" s="198"/>
      <c r="H107" s="207">
        <v>21.029856386999242</v>
      </c>
      <c r="J107" s="1" t="s">
        <v>1824</v>
      </c>
    </row>
    <row r="108" spans="1:14">
      <c r="D108" s="1" t="s">
        <v>1569</v>
      </c>
      <c r="E108" s="1"/>
      <c r="F108" s="1">
        <v>2</v>
      </c>
      <c r="G108" s="1">
        <v>8</v>
      </c>
      <c r="H108" s="3">
        <v>16</v>
      </c>
    </row>
    <row r="109" spans="1:14">
      <c r="D109" s="7" t="s">
        <v>1571</v>
      </c>
      <c r="E109" s="7"/>
      <c r="F109" s="7"/>
      <c r="G109" s="7"/>
      <c r="H109" s="10">
        <v>37.029856386999242</v>
      </c>
      <c r="J109" s="3">
        <f>J106-H109</f>
        <v>12.970143613000758</v>
      </c>
    </row>
    <row r="110" spans="1:14">
      <c r="D110" s="209" t="s">
        <v>1853</v>
      </c>
      <c r="E110" s="209"/>
      <c r="F110" s="209"/>
      <c r="G110" s="209"/>
      <c r="H110" s="210">
        <f>H109*1.3</f>
        <v>48.138813303099013</v>
      </c>
    </row>
    <row r="114" spans="1:10" ht="25.5">
      <c r="A114" s="1" t="s">
        <v>1820</v>
      </c>
      <c r="B114" s="17" t="s">
        <v>1822</v>
      </c>
      <c r="C114" s="17" t="s">
        <v>1854</v>
      </c>
      <c r="D114" s="1" t="s">
        <v>1556</v>
      </c>
      <c r="E114" s="53">
        <v>180</v>
      </c>
      <c r="F114" s="1">
        <v>1</v>
      </c>
      <c r="G114" s="1">
        <v>12</v>
      </c>
      <c r="H114" s="3">
        <v>1.4285714285714284</v>
      </c>
    </row>
    <row r="115" spans="1:10">
      <c r="D115" s="1" t="s">
        <v>1557</v>
      </c>
      <c r="E115" s="53">
        <v>120</v>
      </c>
      <c r="F115" s="1">
        <v>1</v>
      </c>
      <c r="G115" s="1">
        <v>6</v>
      </c>
      <c r="H115" s="3">
        <v>0.47619047619047616</v>
      </c>
    </row>
    <row r="116" spans="1:10">
      <c r="D116" s="1" t="s">
        <v>1896</v>
      </c>
      <c r="E116" s="53">
        <v>135</v>
      </c>
      <c r="F116" s="1">
        <v>1</v>
      </c>
      <c r="G116" s="1">
        <v>6</v>
      </c>
      <c r="H116" s="3">
        <v>0.5357142857142857</v>
      </c>
    </row>
    <row r="117" spans="1:10">
      <c r="D117" s="1" t="s">
        <v>1897</v>
      </c>
      <c r="E117" s="53">
        <v>166</v>
      </c>
      <c r="F117" s="1">
        <v>1</v>
      </c>
      <c r="G117" s="1">
        <v>6</v>
      </c>
      <c r="H117" s="3">
        <v>0.65873015873015872</v>
      </c>
    </row>
    <row r="118" spans="1:10">
      <c r="D118" s="1" t="s">
        <v>1615</v>
      </c>
      <c r="E118" s="53">
        <v>270.5</v>
      </c>
      <c r="F118" s="1">
        <v>1</v>
      </c>
      <c r="G118" s="1">
        <v>6</v>
      </c>
      <c r="H118" s="3">
        <v>1.0734126984126984</v>
      </c>
      <c r="J118" s="197">
        <v>30</v>
      </c>
    </row>
    <row r="119" spans="1:10">
      <c r="D119" s="1" t="s">
        <v>1886</v>
      </c>
      <c r="E119" s="1"/>
      <c r="F119" s="1">
        <v>1</v>
      </c>
      <c r="G119" s="1">
        <v>1</v>
      </c>
      <c r="H119" s="3">
        <v>1</v>
      </c>
    </row>
    <row r="120" spans="1:10">
      <c r="D120" s="198" t="s">
        <v>555</v>
      </c>
      <c r="E120" s="198"/>
      <c r="F120" s="198"/>
      <c r="G120" s="198"/>
      <c r="H120" s="207">
        <v>5.1726190476190474</v>
      </c>
      <c r="J120" s="3"/>
    </row>
    <row r="121" spans="1:10">
      <c r="D121" s="1" t="s">
        <v>1569</v>
      </c>
      <c r="E121" s="1"/>
      <c r="F121" s="1">
        <v>2</v>
      </c>
      <c r="G121" s="1">
        <v>8</v>
      </c>
      <c r="H121" s="3">
        <v>16</v>
      </c>
    </row>
    <row r="122" spans="1:10">
      <c r="D122" s="7" t="s">
        <v>1571</v>
      </c>
      <c r="E122" s="7"/>
      <c r="F122" s="7"/>
      <c r="G122" s="7"/>
      <c r="H122" s="10">
        <v>21.172619047619047</v>
      </c>
    </row>
    <row r="123" spans="1:10">
      <c r="D123" s="209" t="s">
        <v>1853</v>
      </c>
      <c r="E123" s="209"/>
      <c r="F123" s="209"/>
      <c r="G123" s="209"/>
      <c r="H123" s="210">
        <v>27.524404761904762</v>
      </c>
    </row>
    <row r="126" spans="1:10" ht="25.5">
      <c r="A126" s="1" t="s">
        <v>1862</v>
      </c>
      <c r="B126" s="17" t="s">
        <v>1863</v>
      </c>
      <c r="C126" s="17" t="s">
        <v>1864</v>
      </c>
      <c r="D126" s="1" t="s">
        <v>1556</v>
      </c>
      <c r="E126" s="1">
        <v>903.57142857142856</v>
      </c>
      <c r="F126" s="1">
        <v>1</v>
      </c>
      <c r="G126" s="1">
        <v>16</v>
      </c>
      <c r="H126" s="3">
        <v>9.5616024187452755</v>
      </c>
    </row>
    <row r="127" spans="1:10">
      <c r="D127" s="1" t="s">
        <v>1557</v>
      </c>
      <c r="E127" s="1">
        <v>903.57142857142856</v>
      </c>
      <c r="F127" s="1">
        <v>1</v>
      </c>
      <c r="G127" s="1">
        <v>16</v>
      </c>
      <c r="H127" s="3">
        <v>9.5616024187452755</v>
      </c>
      <c r="J127" s="197">
        <v>55</v>
      </c>
    </row>
    <row r="128" spans="1:10">
      <c r="D128" s="1" t="s">
        <v>1559</v>
      </c>
      <c r="E128" s="1">
        <v>135</v>
      </c>
      <c r="F128" s="1">
        <v>2</v>
      </c>
      <c r="G128" s="1">
        <v>16</v>
      </c>
      <c r="H128" s="3">
        <v>2.8571428571428572</v>
      </c>
      <c r="J128" s="1" t="s">
        <v>1865</v>
      </c>
    </row>
    <row r="129" spans="1:10">
      <c r="D129" s="1" t="s">
        <v>1566</v>
      </c>
      <c r="E129" s="1">
        <v>1038.5714285714284</v>
      </c>
      <c r="F129" s="1">
        <v>1</v>
      </c>
      <c r="G129" s="1">
        <v>4</v>
      </c>
      <c r="H129" s="3">
        <v>4.9455782312925161</v>
      </c>
    </row>
    <row r="130" spans="1:10">
      <c r="D130" s="1" t="s">
        <v>1616</v>
      </c>
      <c r="E130" s="1">
        <v>220</v>
      </c>
      <c r="F130" s="1">
        <v>1</v>
      </c>
      <c r="G130" s="1">
        <v>16</v>
      </c>
      <c r="H130" s="3">
        <v>2.3280423280423279</v>
      </c>
      <c r="J130" s="3">
        <f>J127-H133</f>
        <v>9.7460317460317469</v>
      </c>
    </row>
    <row r="131" spans="1:10">
      <c r="D131" s="198" t="s">
        <v>555</v>
      </c>
      <c r="E131" s="198"/>
      <c r="F131" s="198"/>
      <c r="G131" s="198"/>
      <c r="H131" s="207">
        <v>29.253968253968253</v>
      </c>
    </row>
    <row r="132" spans="1:10">
      <c r="D132" s="1" t="s">
        <v>1569</v>
      </c>
      <c r="E132" s="1"/>
      <c r="F132" s="1">
        <v>2</v>
      </c>
      <c r="G132" s="1">
        <v>8</v>
      </c>
      <c r="H132" s="3">
        <v>16</v>
      </c>
      <c r="J132" s="3"/>
    </row>
    <row r="133" spans="1:10">
      <c r="D133" s="7" t="s">
        <v>1571</v>
      </c>
      <c r="E133" s="7"/>
      <c r="F133" s="7"/>
      <c r="G133" s="7"/>
      <c r="H133" s="10">
        <v>45.253968253968253</v>
      </c>
    </row>
    <row r="134" spans="1:10">
      <c r="D134" s="209" t="s">
        <v>1572</v>
      </c>
      <c r="E134" s="209"/>
      <c r="F134" s="209"/>
      <c r="G134" s="209"/>
      <c r="H134" s="210">
        <v>58.830158730158729</v>
      </c>
    </row>
    <row r="137" spans="1:10" ht="25.5">
      <c r="A137" s="1" t="s">
        <v>1866</v>
      </c>
      <c r="B137" s="17" t="s">
        <v>1867</v>
      </c>
      <c r="D137" s="92" t="s">
        <v>1556</v>
      </c>
      <c r="E137" s="92">
        <v>903.57142857142856</v>
      </c>
      <c r="F137" s="92">
        <v>1</v>
      </c>
      <c r="G137" s="92">
        <v>3</v>
      </c>
      <c r="H137" s="93">
        <v>1.7928004535147393</v>
      </c>
    </row>
    <row r="138" spans="1:10" ht="14.25">
      <c r="D138" s="92" t="s">
        <v>1557</v>
      </c>
      <c r="E138" s="92">
        <v>903.57142857142856</v>
      </c>
      <c r="F138" s="92">
        <v>1</v>
      </c>
      <c r="G138" s="92">
        <v>8</v>
      </c>
      <c r="H138" s="93">
        <v>4.7808012093726378</v>
      </c>
    </row>
    <row r="139" spans="1:10" ht="14.25">
      <c r="D139" s="92" t="s">
        <v>1559</v>
      </c>
      <c r="E139" s="92">
        <v>135</v>
      </c>
      <c r="F139" s="92">
        <v>2</v>
      </c>
      <c r="G139" s="92">
        <v>5</v>
      </c>
      <c r="H139" s="93">
        <v>0.8928571428571429</v>
      </c>
      <c r="J139" s="197">
        <v>40</v>
      </c>
    </row>
    <row r="140" spans="1:10" ht="14.25">
      <c r="D140" s="92" t="s">
        <v>1566</v>
      </c>
      <c r="E140" s="92">
        <v>1038.5714285714284</v>
      </c>
      <c r="F140" s="92">
        <v>1</v>
      </c>
      <c r="G140" s="92">
        <v>4</v>
      </c>
      <c r="H140" s="93">
        <v>4.9455782312925161</v>
      </c>
      <c r="J140" s="1" t="s">
        <v>1753</v>
      </c>
    </row>
    <row r="141" spans="1:10" ht="14.25">
      <c r="D141" s="92" t="s">
        <v>1616</v>
      </c>
      <c r="E141" s="92">
        <v>220</v>
      </c>
      <c r="F141" s="92">
        <v>1</v>
      </c>
      <c r="G141" s="92">
        <v>8</v>
      </c>
      <c r="H141" s="93">
        <v>1.164021164021164</v>
      </c>
    </row>
    <row r="142" spans="1:10" ht="14.25">
      <c r="D142" s="124" t="s">
        <v>555</v>
      </c>
      <c r="E142" s="124"/>
      <c r="F142" s="124"/>
      <c r="G142" s="124"/>
      <c r="H142" s="125">
        <v>13.576058201058201</v>
      </c>
    </row>
    <row r="143" spans="1:10" ht="14.25">
      <c r="D143" s="92" t="s">
        <v>1569</v>
      </c>
      <c r="E143" s="92"/>
      <c r="F143" s="92">
        <v>2</v>
      </c>
      <c r="G143" s="92">
        <v>8</v>
      </c>
      <c r="H143" s="93">
        <v>16</v>
      </c>
    </row>
    <row r="144" spans="1:10" ht="15">
      <c r="D144" s="94" t="s">
        <v>1571</v>
      </c>
      <c r="E144" s="94"/>
      <c r="F144" s="94"/>
      <c r="G144" s="94"/>
      <c r="H144" s="95">
        <v>29.576058201058203</v>
      </c>
    </row>
    <row r="145" spans="1:10" ht="15">
      <c r="D145" s="96" t="s">
        <v>1572</v>
      </c>
      <c r="E145" s="96"/>
      <c r="F145" s="96"/>
      <c r="G145" s="96"/>
      <c r="H145" s="97">
        <v>38.448875661375666</v>
      </c>
    </row>
    <row r="149" spans="1:10" ht="25.5">
      <c r="A149" s="1" t="s">
        <v>1872</v>
      </c>
      <c r="B149" s="17" t="s">
        <v>1873</v>
      </c>
      <c r="C149" s="17" t="s">
        <v>1899</v>
      </c>
      <c r="D149" s="92" t="s">
        <v>1556</v>
      </c>
      <c r="E149" s="92">
        <v>903.57142857142856</v>
      </c>
      <c r="F149" s="92">
        <v>1</v>
      </c>
      <c r="G149" s="92">
        <v>8</v>
      </c>
      <c r="H149" s="93">
        <v>4.7808012093726378</v>
      </c>
    </row>
    <row r="150" spans="1:10" ht="14.25">
      <c r="D150" s="92" t="s">
        <v>1557</v>
      </c>
      <c r="E150" s="92">
        <v>903.57142857142856</v>
      </c>
      <c r="F150" s="92">
        <v>1</v>
      </c>
      <c r="G150" s="92">
        <v>6</v>
      </c>
      <c r="H150" s="93">
        <v>3.5856009070294785</v>
      </c>
    </row>
    <row r="151" spans="1:10" ht="14.25">
      <c r="D151" s="92" t="s">
        <v>1559</v>
      </c>
      <c r="E151" s="92">
        <v>135</v>
      </c>
      <c r="F151" s="92">
        <v>2</v>
      </c>
      <c r="G151" s="92">
        <v>7</v>
      </c>
      <c r="H151" s="93">
        <v>1.25</v>
      </c>
    </row>
    <row r="152" spans="1:10" ht="14.25">
      <c r="D152" s="92" t="s">
        <v>1566</v>
      </c>
      <c r="E152" s="92">
        <v>1038.5714285714284</v>
      </c>
      <c r="F152" s="92">
        <v>1</v>
      </c>
      <c r="G152" s="92">
        <v>4</v>
      </c>
      <c r="H152" s="93">
        <v>4.9455782312925161</v>
      </c>
      <c r="J152" s="197">
        <v>40</v>
      </c>
    </row>
    <row r="153" spans="1:10" ht="14.25">
      <c r="D153" s="92" t="s">
        <v>1616</v>
      </c>
      <c r="E153" s="92">
        <v>220</v>
      </c>
      <c r="F153" s="92">
        <v>1</v>
      </c>
      <c r="G153" s="92">
        <v>7</v>
      </c>
      <c r="H153" s="93">
        <v>1.0185185185185184</v>
      </c>
      <c r="J153" s="1" t="s">
        <v>1913</v>
      </c>
    </row>
    <row r="154" spans="1:10" ht="14.25">
      <c r="D154" s="124" t="s">
        <v>555</v>
      </c>
      <c r="E154" s="124"/>
      <c r="F154" s="124"/>
      <c r="G154" s="124"/>
      <c r="H154" s="125">
        <v>15.580498866213151</v>
      </c>
    </row>
    <row r="155" spans="1:10" ht="14.25">
      <c r="D155" s="92" t="s">
        <v>1569</v>
      </c>
      <c r="E155" s="92"/>
      <c r="F155" s="92">
        <v>2</v>
      </c>
      <c r="G155" s="92">
        <v>8</v>
      </c>
      <c r="H155" s="93">
        <v>16</v>
      </c>
    </row>
    <row r="156" spans="1:10" ht="15">
      <c r="D156" s="94" t="s">
        <v>1571</v>
      </c>
      <c r="E156" s="94"/>
      <c r="F156" s="94"/>
      <c r="G156" s="94"/>
      <c r="H156" s="95">
        <v>31.580498866213151</v>
      </c>
    </row>
    <row r="157" spans="1:10" ht="15">
      <c r="D157" s="96" t="s">
        <v>1572</v>
      </c>
      <c r="E157" s="96"/>
      <c r="F157" s="96"/>
      <c r="G157" s="96"/>
      <c r="H157" s="97">
        <v>41.054648526077095</v>
      </c>
    </row>
    <row r="161" spans="1:10" ht="25.5">
      <c r="A161" s="1" t="s">
        <v>1872</v>
      </c>
      <c r="B161" s="17" t="s">
        <v>1873</v>
      </c>
      <c r="C161" s="17" t="s">
        <v>1902</v>
      </c>
      <c r="D161" s="92" t="s">
        <v>1556</v>
      </c>
      <c r="E161" s="92">
        <v>920</v>
      </c>
      <c r="F161" s="92">
        <v>1</v>
      </c>
      <c r="G161" s="92">
        <v>8</v>
      </c>
      <c r="H161" s="93">
        <v>4.8677248677248679</v>
      </c>
    </row>
    <row r="162" spans="1:10" ht="14.25">
      <c r="D162" s="92" t="s">
        <v>1557</v>
      </c>
      <c r="E162" s="92">
        <v>920</v>
      </c>
      <c r="F162" s="92">
        <v>1</v>
      </c>
      <c r="G162" s="92">
        <v>6</v>
      </c>
      <c r="H162" s="93">
        <v>3.6507936507936511</v>
      </c>
    </row>
    <row r="163" spans="1:10" ht="14.25">
      <c r="D163" s="92" t="s">
        <v>1566</v>
      </c>
      <c r="E163" s="92">
        <v>920</v>
      </c>
      <c r="F163" s="92">
        <v>1</v>
      </c>
      <c r="G163" s="92">
        <v>4</v>
      </c>
      <c r="H163" s="93">
        <v>4.3809523809523814</v>
      </c>
    </row>
    <row r="164" spans="1:10" ht="14.25">
      <c r="D164" s="92" t="s">
        <v>1616</v>
      </c>
      <c r="E164" s="92">
        <v>130</v>
      </c>
      <c r="F164" s="92">
        <v>1</v>
      </c>
      <c r="G164" s="92">
        <v>7</v>
      </c>
      <c r="H164" s="93">
        <v>0.60185185185185186</v>
      </c>
      <c r="J164" s="197">
        <v>40</v>
      </c>
    </row>
    <row r="165" spans="1:10" ht="14.25">
      <c r="D165" s="124" t="s">
        <v>555</v>
      </c>
      <c r="E165" s="124"/>
      <c r="F165" s="124"/>
      <c r="G165" s="124"/>
      <c r="H165" s="125">
        <v>13.501322751322752</v>
      </c>
      <c r="J165" s="1" t="s">
        <v>1753</v>
      </c>
    </row>
    <row r="166" spans="1:10" ht="14.25">
      <c r="D166" s="92" t="s">
        <v>1569</v>
      </c>
      <c r="E166" s="92"/>
      <c r="F166" s="92">
        <v>2</v>
      </c>
      <c r="G166" s="92">
        <v>8</v>
      </c>
      <c r="H166" s="93">
        <v>16</v>
      </c>
    </row>
    <row r="167" spans="1:10" ht="15">
      <c r="D167" s="94" t="s">
        <v>1571</v>
      </c>
      <c r="E167" s="94"/>
      <c r="F167" s="94"/>
      <c r="G167" s="94"/>
      <c r="H167" s="95">
        <v>29.501322751322753</v>
      </c>
    </row>
    <row r="168" spans="1:10" ht="15">
      <c r="D168" s="96" t="s">
        <v>1572</v>
      </c>
      <c r="E168" s="96"/>
      <c r="F168" s="96"/>
      <c r="G168" s="96"/>
      <c r="H168" s="97">
        <v>38.351719576719582</v>
      </c>
    </row>
    <row r="171" spans="1:10" ht="25.5">
      <c r="A171" s="1" t="s">
        <v>1900</v>
      </c>
      <c r="B171" s="17" t="s">
        <v>1955</v>
      </c>
      <c r="C171" s="17" t="s">
        <v>1901</v>
      </c>
      <c r="D171" s="92" t="s">
        <v>1556</v>
      </c>
      <c r="E171" s="92">
        <v>903.57142857142856</v>
      </c>
      <c r="F171" s="92">
        <v>1</v>
      </c>
      <c r="G171" s="92">
        <v>10</v>
      </c>
      <c r="H171" s="93">
        <v>5.976001511715797</v>
      </c>
    </row>
    <row r="172" spans="1:10" ht="14.25">
      <c r="D172" s="92" t="s">
        <v>1557</v>
      </c>
      <c r="E172" s="92">
        <v>903.57142857142856</v>
      </c>
      <c r="F172" s="92">
        <v>1</v>
      </c>
      <c r="G172" s="92">
        <v>3</v>
      </c>
      <c r="H172" s="93">
        <v>1.7928004535147393</v>
      </c>
    </row>
    <row r="173" spans="1:10" ht="14.25">
      <c r="D173" s="92" t="s">
        <v>1559</v>
      </c>
      <c r="E173" s="92">
        <v>135</v>
      </c>
      <c r="F173" s="92">
        <v>2</v>
      </c>
      <c r="G173" s="92">
        <v>8</v>
      </c>
      <c r="H173" s="93">
        <v>1.4285714285714286</v>
      </c>
      <c r="J173" s="197">
        <v>40</v>
      </c>
    </row>
    <row r="174" spans="1:10" ht="14.25">
      <c r="D174" s="92" t="s">
        <v>1566</v>
      </c>
      <c r="E174" s="92">
        <v>1038.5714285714284</v>
      </c>
      <c r="F174" s="92">
        <v>1</v>
      </c>
      <c r="G174" s="92">
        <v>4</v>
      </c>
      <c r="H174" s="93">
        <v>4.9455782312925161</v>
      </c>
      <c r="J174" s="1" t="s">
        <v>1819</v>
      </c>
    </row>
    <row r="175" spans="1:10" ht="14.25">
      <c r="D175" s="92" t="s">
        <v>1616</v>
      </c>
      <c r="E175" s="92">
        <v>220</v>
      </c>
      <c r="F175" s="92">
        <v>1</v>
      </c>
      <c r="G175" s="92">
        <v>7</v>
      </c>
      <c r="H175" s="93">
        <v>1.0185185185185184</v>
      </c>
    </row>
    <row r="176" spans="1:10" ht="14.25">
      <c r="D176" s="124" t="s">
        <v>555</v>
      </c>
      <c r="E176" s="124"/>
      <c r="F176" s="124"/>
      <c r="G176" s="124"/>
      <c r="H176" s="125">
        <v>15.161470143612998</v>
      </c>
    </row>
    <row r="177" spans="1:10" ht="14.25">
      <c r="D177" s="92" t="s">
        <v>1569</v>
      </c>
      <c r="E177" s="92"/>
      <c r="F177" s="92">
        <v>2</v>
      </c>
      <c r="G177" s="92">
        <v>8</v>
      </c>
      <c r="H177" s="93">
        <v>16</v>
      </c>
    </row>
    <row r="178" spans="1:10" ht="15">
      <c r="D178" s="94" t="s">
        <v>1571</v>
      </c>
      <c r="E178" s="94"/>
      <c r="F178" s="94"/>
      <c r="G178" s="94"/>
      <c r="H178" s="95">
        <v>31.161470143612998</v>
      </c>
    </row>
    <row r="179" spans="1:10" ht="15">
      <c r="D179" s="96" t="s">
        <v>1572</v>
      </c>
      <c r="E179" s="96"/>
      <c r="F179" s="96"/>
      <c r="G179" s="96"/>
      <c r="H179" s="97">
        <v>40.509911186696897</v>
      </c>
    </row>
    <row r="182" spans="1:10" ht="25.5">
      <c r="A182" s="1" t="s">
        <v>1931</v>
      </c>
      <c r="B182" s="17" t="s">
        <v>1932</v>
      </c>
      <c r="C182" s="17" t="s">
        <v>1878</v>
      </c>
      <c r="D182" s="92" t="s">
        <v>1556</v>
      </c>
      <c r="E182" s="92">
        <v>663.5</v>
      </c>
      <c r="F182" s="92">
        <v>1</v>
      </c>
      <c r="G182" s="92">
        <v>13</v>
      </c>
      <c r="H182" s="93">
        <v>5.7046957671957674</v>
      </c>
    </row>
    <row r="183" spans="1:10" ht="14.25">
      <c r="D183" s="92" t="s">
        <v>1557</v>
      </c>
      <c r="E183" s="92">
        <v>1226.75</v>
      </c>
      <c r="F183" s="92">
        <v>1</v>
      </c>
      <c r="G183" s="92">
        <v>6</v>
      </c>
      <c r="H183" s="93">
        <v>4.8680555555555554</v>
      </c>
    </row>
    <row r="184" spans="1:10" ht="14.25">
      <c r="D184" s="92" t="s">
        <v>1926</v>
      </c>
      <c r="E184" s="92">
        <v>1226.75</v>
      </c>
      <c r="F184" s="92">
        <v>1</v>
      </c>
      <c r="G184" s="92">
        <v>6.5</v>
      </c>
      <c r="H184" s="93">
        <v>1.2305362654320988</v>
      </c>
    </row>
    <row r="185" spans="1:10" ht="14.25">
      <c r="D185" s="92" t="s">
        <v>1918</v>
      </c>
      <c r="E185" s="92">
        <v>494</v>
      </c>
      <c r="F185" s="92">
        <v>2</v>
      </c>
      <c r="G185" s="92">
        <v>21</v>
      </c>
      <c r="H185" s="93">
        <v>13.722222222222223</v>
      </c>
      <c r="J185" s="197">
        <v>50</v>
      </c>
    </row>
    <row r="186" spans="1:10" ht="14.25">
      <c r="D186" s="92" t="s">
        <v>1922</v>
      </c>
      <c r="E186" s="92">
        <v>27</v>
      </c>
      <c r="F186" s="92">
        <v>1</v>
      </c>
      <c r="G186" s="92">
        <v>1.5</v>
      </c>
      <c r="H186" s="93">
        <v>1.125</v>
      </c>
      <c r="J186" s="1" t="s">
        <v>2008</v>
      </c>
    </row>
    <row r="187" spans="1:10" ht="14.25">
      <c r="D187" s="92" t="s">
        <v>1923</v>
      </c>
      <c r="E187" s="92"/>
      <c r="F187" s="92">
        <v>2</v>
      </c>
      <c r="G187" s="92">
        <v>0.6</v>
      </c>
      <c r="H187" s="93">
        <v>1.2</v>
      </c>
    </row>
    <row r="188" spans="1:10" ht="14.25">
      <c r="D188" s="92" t="s">
        <v>1927</v>
      </c>
      <c r="E188" s="92">
        <v>110.5</v>
      </c>
      <c r="F188" s="92">
        <v>1</v>
      </c>
      <c r="G188" s="92">
        <v>3</v>
      </c>
      <c r="H188" s="93">
        <v>0.21249999999999999</v>
      </c>
    </row>
    <row r="189" spans="1:10" ht="14.25">
      <c r="D189" s="92" t="s">
        <v>1930</v>
      </c>
      <c r="E189" s="92"/>
      <c r="F189" s="92">
        <v>8</v>
      </c>
      <c r="G189" s="92">
        <v>5</v>
      </c>
      <c r="H189" s="93">
        <v>0.8</v>
      </c>
    </row>
    <row r="190" spans="1:10" ht="14.25">
      <c r="D190" s="124" t="s">
        <v>555</v>
      </c>
      <c r="E190" s="124"/>
      <c r="F190" s="124"/>
      <c r="G190" s="124"/>
      <c r="H190" s="125">
        <v>28.863009810405643</v>
      </c>
    </row>
    <row r="191" spans="1:10" ht="14.25">
      <c r="D191" s="92" t="s">
        <v>1569</v>
      </c>
      <c r="E191" s="92"/>
      <c r="F191" s="92">
        <v>3</v>
      </c>
      <c r="G191" s="92">
        <v>8</v>
      </c>
      <c r="H191" s="93">
        <v>24</v>
      </c>
    </row>
    <row r="192" spans="1:10" ht="15">
      <c r="D192" s="94" t="s">
        <v>1571</v>
      </c>
      <c r="E192" s="94"/>
      <c r="F192" s="94"/>
      <c r="G192" s="94"/>
      <c r="H192" s="95">
        <v>52.863009810405643</v>
      </c>
    </row>
    <row r="193" spans="1:10" ht="15">
      <c r="D193" s="96" t="s">
        <v>1572</v>
      </c>
      <c r="E193" s="96"/>
      <c r="F193" s="96"/>
      <c r="G193" s="96"/>
      <c r="H193" s="97">
        <v>60</v>
      </c>
    </row>
    <row r="197" spans="1:10" ht="25.5">
      <c r="A197" s="1" t="s">
        <v>1933</v>
      </c>
      <c r="B197" s="17" t="s">
        <v>1934</v>
      </c>
      <c r="C197" s="17" t="s">
        <v>1936</v>
      </c>
      <c r="D197" s="92" t="s">
        <v>1556</v>
      </c>
      <c r="E197" s="92">
        <v>841</v>
      </c>
      <c r="F197" s="92">
        <v>1</v>
      </c>
      <c r="G197" s="92">
        <v>10</v>
      </c>
      <c r="H197" s="230">
        <v>3.9207459207459205</v>
      </c>
    </row>
    <row r="198" spans="1:10" ht="14.25">
      <c r="D198" s="92" t="s">
        <v>1557</v>
      </c>
      <c r="E198" s="92">
        <v>841</v>
      </c>
      <c r="F198" s="92">
        <v>1</v>
      </c>
      <c r="G198" s="92">
        <v>8</v>
      </c>
      <c r="H198" s="93">
        <v>4.4497354497354493</v>
      </c>
    </row>
    <row r="199" spans="1:10" ht="14.25">
      <c r="D199" s="92" t="s">
        <v>1566</v>
      </c>
      <c r="E199" s="92">
        <v>841</v>
      </c>
      <c r="F199" s="92">
        <v>1</v>
      </c>
      <c r="G199" s="92">
        <v>4</v>
      </c>
      <c r="H199" s="93">
        <v>4.0047619047619047</v>
      </c>
      <c r="J199" s="197">
        <v>40</v>
      </c>
    </row>
    <row r="200" spans="1:10" ht="14.25">
      <c r="D200" s="92" t="s">
        <v>1616</v>
      </c>
      <c r="E200" s="92">
        <v>100</v>
      </c>
      <c r="F200" s="92">
        <v>1</v>
      </c>
      <c r="G200" s="92">
        <v>8</v>
      </c>
      <c r="H200" s="93">
        <v>0.52910052910052907</v>
      </c>
      <c r="J200" s="1" t="s">
        <v>1753</v>
      </c>
    </row>
    <row r="201" spans="1:10" ht="14.25">
      <c r="D201" s="124" t="s">
        <v>555</v>
      </c>
      <c r="E201" s="124"/>
      <c r="F201" s="124"/>
      <c r="G201" s="124"/>
      <c r="H201" s="125">
        <v>12.904343804343803</v>
      </c>
    </row>
    <row r="202" spans="1:10" ht="14.25">
      <c r="D202" s="92" t="s">
        <v>1569</v>
      </c>
      <c r="E202" s="92"/>
      <c r="F202" s="92">
        <v>2</v>
      </c>
      <c r="G202" s="92">
        <v>8</v>
      </c>
      <c r="H202" s="93">
        <v>16</v>
      </c>
    </row>
    <row r="203" spans="1:10" ht="15">
      <c r="D203" s="94" t="s">
        <v>1571</v>
      </c>
      <c r="E203" s="94"/>
      <c r="F203" s="94"/>
      <c r="G203" s="94"/>
      <c r="H203" s="95">
        <v>28.904343804343803</v>
      </c>
    </row>
    <row r="204" spans="1:10" ht="15">
      <c r="D204" s="96" t="s">
        <v>1572</v>
      </c>
      <c r="E204" s="96"/>
      <c r="F204" s="96"/>
      <c r="G204" s="96"/>
      <c r="H204" s="97">
        <v>37.575646945646945</v>
      </c>
    </row>
    <row r="208" spans="1:10" ht="14.25">
      <c r="A208" s="1" t="s">
        <v>1933</v>
      </c>
      <c r="B208" s="17" t="s">
        <v>1934</v>
      </c>
      <c r="C208" s="17" t="s">
        <v>1935</v>
      </c>
      <c r="D208" s="92" t="s">
        <v>1556</v>
      </c>
      <c r="E208" s="92">
        <v>865.07142857142856</v>
      </c>
      <c r="F208" s="92">
        <v>1</v>
      </c>
      <c r="G208" s="92">
        <v>10</v>
      </c>
      <c r="H208" s="230">
        <v>4.0329670329670328</v>
      </c>
    </row>
    <row r="209" spans="1:10" ht="14.25">
      <c r="D209" s="92" t="s">
        <v>1557</v>
      </c>
      <c r="E209" s="92">
        <v>865.07142857142856</v>
      </c>
      <c r="F209" s="92">
        <v>1</v>
      </c>
      <c r="G209" s="92">
        <v>8</v>
      </c>
      <c r="H209" s="93">
        <v>4.5770975056689345</v>
      </c>
    </row>
    <row r="210" spans="1:10" ht="14.25">
      <c r="D210" s="92" t="s">
        <v>1559</v>
      </c>
      <c r="E210" s="92">
        <v>126</v>
      </c>
      <c r="F210" s="92">
        <v>2</v>
      </c>
      <c r="G210" s="92">
        <v>8</v>
      </c>
      <c r="H210" s="93">
        <v>2.4</v>
      </c>
      <c r="J210" s="197">
        <v>40</v>
      </c>
    </row>
    <row r="211" spans="1:10" ht="14.25">
      <c r="D211" s="92" t="s">
        <v>1566</v>
      </c>
      <c r="E211" s="92">
        <v>991.07142857142856</v>
      </c>
      <c r="F211" s="92">
        <v>1</v>
      </c>
      <c r="G211" s="92">
        <v>4</v>
      </c>
      <c r="H211" s="93">
        <v>2.6218820861678003</v>
      </c>
      <c r="J211" s="1" t="s">
        <v>1819</v>
      </c>
    </row>
    <row r="212" spans="1:10" ht="14.25">
      <c r="D212" s="92" t="s">
        <v>1616</v>
      </c>
      <c r="E212" s="92">
        <v>137.25</v>
      </c>
      <c r="F212" s="92">
        <v>1</v>
      </c>
      <c r="G212" s="92">
        <v>8</v>
      </c>
      <c r="H212" s="93">
        <v>0.72619047619047616</v>
      </c>
    </row>
    <row r="213" spans="1:10" ht="14.25">
      <c r="D213" s="124" t="s">
        <v>555</v>
      </c>
      <c r="E213" s="124"/>
      <c r="F213" s="124"/>
      <c r="G213" s="124"/>
      <c r="H213" s="125">
        <v>14.358137100994243</v>
      </c>
    </row>
    <row r="214" spans="1:10" ht="14.25">
      <c r="D214" s="92" t="s">
        <v>1569</v>
      </c>
      <c r="E214" s="92"/>
      <c r="F214" s="92">
        <v>2</v>
      </c>
      <c r="G214" s="92">
        <v>8</v>
      </c>
      <c r="H214" s="93">
        <v>16</v>
      </c>
    </row>
    <row r="215" spans="1:10" ht="15">
      <c r="D215" s="94" t="s">
        <v>1571</v>
      </c>
      <c r="E215" s="94"/>
      <c r="F215" s="94"/>
      <c r="G215" s="94"/>
      <c r="H215" s="95">
        <v>30.358137100994242</v>
      </c>
    </row>
    <row r="216" spans="1:10" ht="15">
      <c r="D216" s="96" t="s">
        <v>1572</v>
      </c>
      <c r="E216" s="96"/>
      <c r="F216" s="96"/>
      <c r="G216" s="96"/>
      <c r="H216" s="97">
        <v>39.465578231292518</v>
      </c>
    </row>
    <row r="219" spans="1:10" ht="14.25">
      <c r="A219" s="1" t="s">
        <v>2026</v>
      </c>
      <c r="B219" s="17" t="s">
        <v>2006</v>
      </c>
      <c r="C219" s="17" t="s">
        <v>2007</v>
      </c>
      <c r="D219" s="92" t="s">
        <v>1556</v>
      </c>
      <c r="E219" s="92">
        <v>574.5</v>
      </c>
      <c r="F219" s="92">
        <v>1</v>
      </c>
      <c r="G219" s="92">
        <v>13</v>
      </c>
      <c r="H219" s="93">
        <v>4.9394841269841265</v>
      </c>
    </row>
    <row r="220" spans="1:10" ht="14.25">
      <c r="D220" s="92" t="s">
        <v>1916</v>
      </c>
      <c r="E220" s="92">
        <v>453.5</v>
      </c>
      <c r="F220" s="92">
        <v>1</v>
      </c>
      <c r="G220" s="92">
        <v>8</v>
      </c>
      <c r="H220" s="93">
        <v>2.3994708994708995</v>
      </c>
    </row>
    <row r="221" spans="1:10" ht="14.25">
      <c r="D221" s="92" t="s">
        <v>1557</v>
      </c>
      <c r="E221" s="92">
        <v>1220.375</v>
      </c>
      <c r="F221" s="92">
        <v>1</v>
      </c>
      <c r="G221" s="92">
        <v>8</v>
      </c>
      <c r="H221" s="93">
        <v>6.4570105820105823</v>
      </c>
    </row>
    <row r="222" spans="1:10" ht="14.25">
      <c r="D222" s="92" t="s">
        <v>1926</v>
      </c>
      <c r="E222" s="92">
        <v>1220.375</v>
      </c>
      <c r="F222" s="92">
        <v>1</v>
      </c>
      <c r="G222" s="92">
        <v>6.5</v>
      </c>
      <c r="H222" s="93">
        <v>1.2241415895061727</v>
      </c>
      <c r="J222" s="197">
        <v>60</v>
      </c>
    </row>
    <row r="223" spans="1:10" ht="14.25">
      <c r="D223" s="92" t="s">
        <v>1918</v>
      </c>
      <c r="E223" s="92">
        <v>561.5</v>
      </c>
      <c r="F223" s="92">
        <v>1</v>
      </c>
      <c r="G223" s="92">
        <v>21</v>
      </c>
      <c r="H223" s="93">
        <v>7.7986111111111107</v>
      </c>
      <c r="J223" s="1" t="s">
        <v>2008</v>
      </c>
    </row>
    <row r="224" spans="1:10" ht="14.25">
      <c r="D224" s="92" t="s">
        <v>1922</v>
      </c>
      <c r="E224" s="92">
        <v>42</v>
      </c>
      <c r="F224" s="92">
        <v>1</v>
      </c>
      <c r="G224" s="92">
        <v>1.5</v>
      </c>
      <c r="H224" s="93">
        <v>1.75</v>
      </c>
    </row>
    <row r="225" spans="1:10" ht="14.25">
      <c r="D225" s="92" t="s">
        <v>1923</v>
      </c>
      <c r="E225" s="92"/>
      <c r="F225" s="92">
        <v>4</v>
      </c>
      <c r="G225" s="92">
        <v>0.3</v>
      </c>
      <c r="H225" s="93">
        <v>1.2</v>
      </c>
    </row>
    <row r="226" spans="1:10" ht="14.25">
      <c r="D226" s="92" t="s">
        <v>1927</v>
      </c>
      <c r="E226" s="92">
        <v>56</v>
      </c>
      <c r="F226" s="92">
        <v>1</v>
      </c>
      <c r="G226" s="92">
        <v>3</v>
      </c>
      <c r="H226" s="93">
        <v>0.10769230769230768</v>
      </c>
    </row>
    <row r="227" spans="1:10" ht="14.25">
      <c r="D227" s="92" t="s">
        <v>1930</v>
      </c>
      <c r="E227" s="92"/>
      <c r="F227" s="92">
        <v>4</v>
      </c>
      <c r="G227" s="92">
        <v>5</v>
      </c>
      <c r="H227" s="93">
        <v>0.4</v>
      </c>
    </row>
    <row r="228" spans="1:10" ht="14.25">
      <c r="D228" s="92" t="s">
        <v>1994</v>
      </c>
      <c r="E228" s="92"/>
      <c r="F228" s="92">
        <v>2</v>
      </c>
      <c r="G228" s="92">
        <v>0.25</v>
      </c>
      <c r="H228" s="93">
        <v>0.5</v>
      </c>
    </row>
    <row r="229" spans="1:10" ht="14.25">
      <c r="D229" s="124" t="s">
        <v>555</v>
      </c>
      <c r="E229" s="124"/>
      <c r="F229" s="124"/>
      <c r="G229" s="124"/>
      <c r="H229" s="125">
        <v>26.276410616775195</v>
      </c>
    </row>
    <row r="230" spans="1:10" ht="14.25">
      <c r="D230" s="92" t="s">
        <v>1569</v>
      </c>
      <c r="E230" s="92"/>
      <c r="F230" s="92">
        <v>3</v>
      </c>
      <c r="G230" s="92">
        <v>8</v>
      </c>
      <c r="H230" s="93">
        <v>24</v>
      </c>
    </row>
    <row r="231" spans="1:10" ht="15">
      <c r="D231" s="94" t="s">
        <v>1571</v>
      </c>
      <c r="E231" s="94"/>
      <c r="F231" s="94"/>
      <c r="G231" s="94"/>
      <c r="H231" s="95">
        <v>50.276410616775195</v>
      </c>
    </row>
    <row r="232" spans="1:10" ht="15">
      <c r="D232" s="96" t="s">
        <v>1572</v>
      </c>
      <c r="E232" s="96"/>
      <c r="F232" s="96"/>
      <c r="G232" s="96"/>
      <c r="H232" s="97">
        <v>60.331692740130229</v>
      </c>
    </row>
    <row r="235" spans="1:10" ht="14.25">
      <c r="A235" s="1" t="s">
        <v>1949</v>
      </c>
      <c r="B235" s="17" t="s">
        <v>2005</v>
      </c>
      <c r="C235" s="17" t="s">
        <v>1621</v>
      </c>
      <c r="D235" s="92" t="s">
        <v>1556</v>
      </c>
      <c r="E235" s="92">
        <v>903.57142857142856</v>
      </c>
      <c r="F235" s="92">
        <v>1</v>
      </c>
      <c r="G235" s="92">
        <v>8</v>
      </c>
      <c r="H235" s="93">
        <v>4.7808012093726378</v>
      </c>
    </row>
    <row r="236" spans="1:10" ht="14.25">
      <c r="D236" s="92" t="s">
        <v>1557</v>
      </c>
      <c r="E236" s="92">
        <v>903.57142857142856</v>
      </c>
      <c r="F236" s="92">
        <v>1</v>
      </c>
      <c r="G236" s="92">
        <v>5</v>
      </c>
      <c r="H236" s="93">
        <v>2.9880007558578985</v>
      </c>
    </row>
    <row r="237" spans="1:10" ht="14.25">
      <c r="D237" s="92" t="s">
        <v>1559</v>
      </c>
      <c r="E237" s="92">
        <v>135</v>
      </c>
      <c r="F237" s="92">
        <v>2</v>
      </c>
      <c r="G237" s="92">
        <v>8</v>
      </c>
      <c r="H237" s="93">
        <v>1.4285714285714286</v>
      </c>
      <c r="J237" s="197">
        <v>40</v>
      </c>
    </row>
    <row r="238" spans="1:10" ht="14.25">
      <c r="D238" s="92" t="s">
        <v>1566</v>
      </c>
      <c r="E238" s="92">
        <v>1038.5714285714284</v>
      </c>
      <c r="F238" s="92">
        <v>1</v>
      </c>
      <c r="G238" s="92">
        <v>4</v>
      </c>
      <c r="H238" s="93">
        <v>4.9455782312925161</v>
      </c>
      <c r="J238" s="1" t="s">
        <v>1753</v>
      </c>
    </row>
    <row r="239" spans="1:10" ht="14.25">
      <c r="D239" s="92" t="s">
        <v>1616</v>
      </c>
      <c r="E239" s="92">
        <v>220</v>
      </c>
      <c r="F239" s="92">
        <v>1</v>
      </c>
      <c r="G239" s="92">
        <v>5</v>
      </c>
      <c r="H239" s="93">
        <v>0.72751322751322745</v>
      </c>
    </row>
    <row r="240" spans="1:10" ht="14.25">
      <c r="D240" s="124" t="s">
        <v>555</v>
      </c>
      <c r="E240" s="124"/>
      <c r="F240" s="124"/>
      <c r="G240" s="124"/>
      <c r="H240" s="125">
        <v>14.870464852607707</v>
      </c>
    </row>
    <row r="241" spans="1:10" ht="14.25">
      <c r="D241" s="92" t="s">
        <v>1569</v>
      </c>
      <c r="E241" s="92"/>
      <c r="F241" s="92">
        <v>2</v>
      </c>
      <c r="G241" s="92">
        <v>8</v>
      </c>
      <c r="H241" s="93">
        <v>16</v>
      </c>
    </row>
    <row r="242" spans="1:10" ht="15">
      <c r="D242" s="94" t="s">
        <v>1571</v>
      </c>
      <c r="E242" s="94"/>
      <c r="F242" s="94"/>
      <c r="G242" s="94"/>
      <c r="H242" s="95">
        <v>30.870464852607707</v>
      </c>
    </row>
    <row r="243" spans="1:10" ht="15">
      <c r="D243" s="96" t="s">
        <v>1572</v>
      </c>
      <c r="E243" s="96"/>
      <c r="F243" s="96"/>
      <c r="G243" s="96"/>
      <c r="H243" s="97">
        <v>40.131604308390024</v>
      </c>
    </row>
    <row r="245" spans="1:10" ht="14.25">
      <c r="E245" s="92"/>
      <c r="F245" s="92"/>
      <c r="G245" s="92"/>
      <c r="H245" s="93"/>
    </row>
    <row r="246" spans="1:10" ht="14.25">
      <c r="A246" s="1" t="s">
        <v>2012</v>
      </c>
      <c r="D246" s="92" t="s">
        <v>1556</v>
      </c>
      <c r="E246" s="92">
        <v>1980</v>
      </c>
      <c r="F246" s="92">
        <v>1</v>
      </c>
      <c r="G246" s="92">
        <v>5</v>
      </c>
      <c r="H246" s="93">
        <v>6.5476190476190474</v>
      </c>
    </row>
    <row r="247" spans="1:10" ht="14.25">
      <c r="D247" s="92" t="s">
        <v>1557</v>
      </c>
      <c r="E247" s="92">
        <v>1980</v>
      </c>
      <c r="F247" s="92">
        <v>1</v>
      </c>
      <c r="G247" s="92">
        <v>4</v>
      </c>
      <c r="H247" s="93">
        <v>5.2380952380952381</v>
      </c>
    </row>
    <row r="248" spans="1:10" ht="14.25">
      <c r="D248" s="92" t="s">
        <v>1566</v>
      </c>
      <c r="E248" s="92">
        <v>1980</v>
      </c>
      <c r="F248" s="92">
        <v>1</v>
      </c>
      <c r="G248" s="92">
        <v>4</v>
      </c>
      <c r="H248" s="93">
        <v>9.4285714285714288</v>
      </c>
    </row>
    <row r="249" spans="1:10" ht="14.25">
      <c r="D249" s="92" t="s">
        <v>1616</v>
      </c>
      <c r="E249" s="92">
        <v>225</v>
      </c>
      <c r="F249" s="92">
        <v>1</v>
      </c>
      <c r="G249" s="92">
        <v>8</v>
      </c>
      <c r="H249" s="93">
        <v>1.1904761904761905</v>
      </c>
    </row>
    <row r="250" spans="1:10" ht="14.25">
      <c r="D250" s="124" t="s">
        <v>555</v>
      </c>
      <c r="E250" s="124"/>
      <c r="F250" s="124"/>
      <c r="G250" s="124"/>
      <c r="H250" s="125">
        <v>22.404761904761905</v>
      </c>
    </row>
    <row r="251" spans="1:10" ht="14.25">
      <c r="D251" s="92" t="s">
        <v>1569</v>
      </c>
      <c r="E251" s="92"/>
      <c r="F251" s="92">
        <v>2</v>
      </c>
      <c r="G251" s="92">
        <v>8</v>
      </c>
      <c r="H251" s="93">
        <v>16</v>
      </c>
      <c r="J251" s="197">
        <v>38</v>
      </c>
    </row>
    <row r="252" spans="1:10" ht="15">
      <c r="D252" s="94" t="s">
        <v>1571</v>
      </c>
      <c r="E252" s="94"/>
      <c r="F252" s="94"/>
      <c r="G252" s="94"/>
      <c r="H252" s="95">
        <v>38.404761904761905</v>
      </c>
      <c r="J252" s="1" t="s">
        <v>1753</v>
      </c>
    </row>
    <row r="253" spans="1:10" ht="15">
      <c r="D253" s="96" t="s">
        <v>1572</v>
      </c>
      <c r="E253" s="96"/>
      <c r="F253" s="96"/>
      <c r="G253" s="96"/>
      <c r="H253" s="97">
        <v>49.926190476190477</v>
      </c>
    </row>
    <row r="254" spans="1:10" ht="14.25">
      <c r="D254" s="92"/>
      <c r="E254" s="92"/>
      <c r="F254" s="92"/>
      <c r="G254" s="92"/>
      <c r="H254" s="93"/>
    </row>
    <row r="255" spans="1:10" ht="14.25">
      <c r="E255" s="92"/>
      <c r="F255" s="92"/>
      <c r="G255" s="92"/>
      <c r="H255" s="93"/>
    </row>
    <row r="256" spans="1:10" ht="14.25">
      <c r="A256" s="1" t="s">
        <v>2013</v>
      </c>
      <c r="D256" s="92" t="s">
        <v>1556</v>
      </c>
      <c r="E256" s="92">
        <v>1708</v>
      </c>
      <c r="F256" s="92">
        <v>1</v>
      </c>
      <c r="G256" s="92">
        <v>5</v>
      </c>
      <c r="H256" s="93">
        <v>5.6481481481481479</v>
      </c>
    </row>
    <row r="257" spans="1:10" ht="14.25">
      <c r="D257" s="92" t="s">
        <v>1557</v>
      </c>
      <c r="E257" s="92">
        <v>1708</v>
      </c>
      <c r="F257" s="92">
        <v>1</v>
      </c>
      <c r="G257" s="92">
        <v>4</v>
      </c>
      <c r="H257" s="93">
        <v>4.5185185185185182</v>
      </c>
    </row>
    <row r="258" spans="1:10" ht="14.25">
      <c r="D258" s="92" t="s">
        <v>1566</v>
      </c>
      <c r="E258" s="92">
        <v>1708</v>
      </c>
      <c r="F258" s="92">
        <v>1</v>
      </c>
      <c r="G258" s="92">
        <v>4</v>
      </c>
      <c r="H258" s="93">
        <v>8.1333333333333329</v>
      </c>
    </row>
    <row r="259" spans="1:10" ht="14.25">
      <c r="D259" s="92" t="s">
        <v>1616</v>
      </c>
      <c r="E259" s="92">
        <v>215</v>
      </c>
      <c r="F259" s="92">
        <v>1</v>
      </c>
      <c r="G259" s="92">
        <v>8</v>
      </c>
      <c r="H259" s="93">
        <v>1.1375661375661377</v>
      </c>
    </row>
    <row r="260" spans="1:10" ht="14.25">
      <c r="D260" s="124" t="s">
        <v>555</v>
      </c>
      <c r="E260" s="124"/>
      <c r="F260" s="124"/>
      <c r="G260" s="124"/>
      <c r="H260" s="125">
        <v>19.437566137566137</v>
      </c>
    </row>
    <row r="261" spans="1:10" ht="14.25">
      <c r="D261" s="92" t="s">
        <v>1569</v>
      </c>
      <c r="E261" s="92"/>
      <c r="F261" s="92">
        <v>2</v>
      </c>
      <c r="G261" s="92">
        <v>8</v>
      </c>
      <c r="H261" s="93">
        <v>16</v>
      </c>
      <c r="J261" s="197">
        <v>37</v>
      </c>
    </row>
    <row r="262" spans="1:10" ht="15">
      <c r="D262" s="94" t="s">
        <v>1571</v>
      </c>
      <c r="E262" s="94"/>
      <c r="F262" s="94"/>
      <c r="G262" s="94"/>
      <c r="H262" s="95">
        <v>35.437566137566137</v>
      </c>
      <c r="J262" s="1" t="s">
        <v>1753</v>
      </c>
    </row>
    <row r="263" spans="1:10" ht="15">
      <c r="D263" s="96" t="s">
        <v>1572</v>
      </c>
      <c r="E263" s="96"/>
      <c r="F263" s="96"/>
      <c r="G263" s="96"/>
      <c r="H263" s="97">
        <v>46.068835978835978</v>
      </c>
    </row>
    <row r="264" spans="1:10" ht="14.25">
      <c r="D264" s="92"/>
      <c r="E264" s="92"/>
      <c r="F264" s="92"/>
      <c r="G264" s="92"/>
      <c r="H264" s="93"/>
    </row>
    <row r="265" spans="1:10" ht="14.25">
      <c r="E265" s="92"/>
      <c r="F265" s="92"/>
      <c r="G265" s="92"/>
      <c r="H265" s="93"/>
    </row>
    <row r="266" spans="1:10" ht="14.25">
      <c r="A266" s="1" t="s">
        <v>2014</v>
      </c>
      <c r="D266" s="92" t="s">
        <v>1556</v>
      </c>
      <c r="E266" s="92">
        <v>1330</v>
      </c>
      <c r="F266" s="92">
        <v>1</v>
      </c>
      <c r="G266" s="92">
        <v>5</v>
      </c>
      <c r="H266" s="93">
        <v>4.3981481481481479</v>
      </c>
    </row>
    <row r="267" spans="1:10" ht="14.25">
      <c r="D267" s="92" t="s">
        <v>1557</v>
      </c>
      <c r="E267" s="92">
        <v>1330</v>
      </c>
      <c r="F267" s="92">
        <v>1</v>
      </c>
      <c r="G267" s="92">
        <v>4</v>
      </c>
      <c r="H267" s="93">
        <v>3.5185185185185186</v>
      </c>
    </row>
    <row r="268" spans="1:10" ht="14.25">
      <c r="D268" s="92" t="s">
        <v>1566</v>
      </c>
      <c r="E268" s="92">
        <v>1330</v>
      </c>
      <c r="F268" s="92">
        <v>1</v>
      </c>
      <c r="G268" s="92">
        <v>4</v>
      </c>
      <c r="H268" s="93">
        <v>6.333333333333333</v>
      </c>
    </row>
    <row r="269" spans="1:10" ht="14.25">
      <c r="D269" s="92" t="s">
        <v>1616</v>
      </c>
      <c r="E269" s="92">
        <v>185</v>
      </c>
      <c r="F269" s="92">
        <v>1</v>
      </c>
      <c r="G269" s="92">
        <v>8</v>
      </c>
      <c r="H269" s="93">
        <v>0.97883597883597884</v>
      </c>
    </row>
    <row r="270" spans="1:10" ht="14.25">
      <c r="D270" s="124" t="s">
        <v>555</v>
      </c>
      <c r="E270" s="124"/>
      <c r="F270" s="124"/>
      <c r="G270" s="124"/>
      <c r="H270" s="125">
        <v>15.22883597883598</v>
      </c>
    </row>
    <row r="271" spans="1:10" ht="14.25">
      <c r="D271" s="92" t="s">
        <v>1569</v>
      </c>
      <c r="E271" s="92"/>
      <c r="F271" s="92">
        <v>2</v>
      </c>
      <c r="G271" s="92">
        <v>8</v>
      </c>
      <c r="H271" s="93">
        <v>16</v>
      </c>
      <c r="J271" s="197">
        <v>35</v>
      </c>
    </row>
    <row r="272" spans="1:10" ht="15">
      <c r="D272" s="94" t="s">
        <v>1571</v>
      </c>
      <c r="E272" s="94"/>
      <c r="F272" s="94"/>
      <c r="G272" s="94"/>
      <c r="H272" s="95">
        <v>31.228835978835981</v>
      </c>
      <c r="J272" s="1" t="s">
        <v>1753</v>
      </c>
    </row>
    <row r="273" spans="1:10" ht="15">
      <c r="D273" s="96" t="s">
        <v>1572</v>
      </c>
      <c r="E273" s="96"/>
      <c r="F273" s="96"/>
      <c r="G273" s="96"/>
      <c r="H273" s="97">
        <v>40.597486772486775</v>
      </c>
    </row>
    <row r="276" spans="1:10" ht="25.5">
      <c r="A276" s="1" t="s">
        <v>1952</v>
      </c>
      <c r="B276" s="17" t="s">
        <v>1954</v>
      </c>
      <c r="C276" s="17" t="s">
        <v>1953</v>
      </c>
      <c r="D276" s="92" t="s">
        <v>1556</v>
      </c>
      <c r="E276" s="92">
        <v>903.57142857142856</v>
      </c>
      <c r="F276" s="92">
        <v>1</v>
      </c>
      <c r="G276" s="92">
        <v>8</v>
      </c>
      <c r="H276" s="93">
        <v>4.7808012093726378</v>
      </c>
    </row>
    <row r="277" spans="1:10" ht="14.25">
      <c r="D277" s="92" t="s">
        <v>1557</v>
      </c>
      <c r="E277" s="92">
        <v>903.57142857142856</v>
      </c>
      <c r="F277" s="92">
        <v>1</v>
      </c>
      <c r="G277" s="92">
        <v>5</v>
      </c>
      <c r="H277" s="93">
        <v>2.9880007558578985</v>
      </c>
    </row>
    <row r="278" spans="1:10" ht="14.25">
      <c r="D278" s="92" t="s">
        <v>1559</v>
      </c>
      <c r="E278" s="92">
        <v>135</v>
      </c>
      <c r="F278" s="92">
        <v>2</v>
      </c>
      <c r="G278" s="92">
        <v>8</v>
      </c>
      <c r="H278" s="93">
        <v>1.4285714285714286</v>
      </c>
      <c r="J278" s="197">
        <v>42</v>
      </c>
    </row>
    <row r="279" spans="1:10" ht="14.25">
      <c r="D279" s="92" t="s">
        <v>1566</v>
      </c>
      <c r="E279" s="92">
        <v>1038.5714285714284</v>
      </c>
      <c r="F279" s="92">
        <v>1</v>
      </c>
      <c r="G279" s="92">
        <v>4</v>
      </c>
      <c r="H279" s="93">
        <v>4.9455782312925161</v>
      </c>
      <c r="J279" s="1" t="s">
        <v>1819</v>
      </c>
    </row>
    <row r="280" spans="1:10" ht="14.25">
      <c r="D280" s="92" t="s">
        <v>1616</v>
      </c>
      <c r="E280" s="92">
        <v>220</v>
      </c>
      <c r="F280" s="92">
        <v>1</v>
      </c>
      <c r="G280" s="92">
        <v>5</v>
      </c>
      <c r="H280" s="93">
        <v>0.72751322751322745</v>
      </c>
    </row>
    <row r="281" spans="1:10" ht="14.25">
      <c r="D281" s="124" t="s">
        <v>555</v>
      </c>
      <c r="E281" s="124"/>
      <c r="F281" s="124"/>
      <c r="G281" s="124"/>
      <c r="H281" s="125">
        <v>14.870464852607707</v>
      </c>
    </row>
    <row r="282" spans="1:10" ht="14.25">
      <c r="D282" s="92" t="s">
        <v>1569</v>
      </c>
      <c r="E282" s="92"/>
      <c r="F282" s="92">
        <v>2</v>
      </c>
      <c r="G282" s="92">
        <v>8</v>
      </c>
      <c r="H282" s="93">
        <v>16</v>
      </c>
    </row>
    <row r="283" spans="1:10" ht="15">
      <c r="D283" s="94" t="s">
        <v>1571</v>
      </c>
      <c r="E283" s="94"/>
      <c r="F283" s="94"/>
      <c r="G283" s="94"/>
      <c r="H283" s="95">
        <v>30.870464852607707</v>
      </c>
    </row>
    <row r="284" spans="1:10" ht="15">
      <c r="D284" s="96" t="s">
        <v>1572</v>
      </c>
      <c r="E284" s="96"/>
      <c r="F284" s="96"/>
      <c r="G284" s="96"/>
      <c r="H284" s="97">
        <v>40.131604308390024</v>
      </c>
    </row>
    <row r="288" spans="1:10" ht="25.5">
      <c r="A288" s="1" t="s">
        <v>2018</v>
      </c>
      <c r="B288" s="17" t="s">
        <v>2039</v>
      </c>
      <c r="C288" s="17" t="s">
        <v>2019</v>
      </c>
      <c r="D288" s="92" t="s">
        <v>1556</v>
      </c>
      <c r="E288" s="92">
        <v>903.57142857142856</v>
      </c>
      <c r="F288" s="92">
        <v>1</v>
      </c>
      <c r="G288" s="92">
        <v>12</v>
      </c>
      <c r="H288" s="93">
        <v>7.1712018140589571</v>
      </c>
    </row>
    <row r="289" spans="1:10" ht="14.25">
      <c r="D289" s="92" t="s">
        <v>1557</v>
      </c>
      <c r="E289" s="92">
        <v>903.57142857142856</v>
      </c>
      <c r="F289" s="92">
        <v>1</v>
      </c>
      <c r="G289" s="92">
        <v>5</v>
      </c>
      <c r="H289" s="93">
        <v>2.9880007558578985</v>
      </c>
      <c r="J289" s="197">
        <v>45</v>
      </c>
    </row>
    <row r="290" spans="1:10" ht="14.25">
      <c r="D290" s="92" t="s">
        <v>1559</v>
      </c>
      <c r="E290" s="92">
        <v>135</v>
      </c>
      <c r="F290" s="92">
        <v>2</v>
      </c>
      <c r="G290" s="92">
        <v>8</v>
      </c>
      <c r="H290" s="93">
        <v>1.4285714285714286</v>
      </c>
      <c r="J290" s="1" t="s">
        <v>1751</v>
      </c>
    </row>
    <row r="291" spans="1:10" ht="14.25">
      <c r="D291" s="92" t="s">
        <v>1566</v>
      </c>
      <c r="E291" s="92">
        <v>1038.5714285714284</v>
      </c>
      <c r="F291" s="92">
        <v>1</v>
      </c>
      <c r="G291" s="92">
        <v>4</v>
      </c>
      <c r="H291" s="93">
        <v>4.9455782312925161</v>
      </c>
    </row>
    <row r="292" spans="1:10" ht="14.25">
      <c r="D292" s="92" t="s">
        <v>1616</v>
      </c>
      <c r="E292" s="92">
        <v>220</v>
      </c>
      <c r="F292" s="92">
        <v>1</v>
      </c>
      <c r="G292" s="92">
        <v>5</v>
      </c>
      <c r="H292" s="93">
        <v>0.72751322751322745</v>
      </c>
    </row>
    <row r="293" spans="1:10" ht="14.25">
      <c r="D293" s="124" t="s">
        <v>555</v>
      </c>
      <c r="E293" s="124"/>
      <c r="F293" s="124"/>
      <c r="G293" s="124"/>
      <c r="H293" s="125">
        <v>17.260865457294027</v>
      </c>
    </row>
    <row r="294" spans="1:10" ht="14.25">
      <c r="D294" s="92" t="s">
        <v>1569</v>
      </c>
      <c r="E294" s="92"/>
      <c r="F294" s="92">
        <v>2</v>
      </c>
      <c r="G294" s="92">
        <v>8</v>
      </c>
      <c r="H294" s="93">
        <v>16</v>
      </c>
    </row>
    <row r="295" spans="1:10" ht="15">
      <c r="D295" s="94" t="s">
        <v>1571</v>
      </c>
      <c r="E295" s="94"/>
      <c r="F295" s="94"/>
      <c r="G295" s="94"/>
      <c r="H295" s="95">
        <v>33.260865457294031</v>
      </c>
    </row>
    <row r="296" spans="1:10" ht="15">
      <c r="D296" s="96" t="s">
        <v>1572</v>
      </c>
      <c r="E296" s="96"/>
      <c r="F296" s="96"/>
      <c r="G296" s="96"/>
      <c r="H296" s="97">
        <v>43.23912509448224</v>
      </c>
    </row>
    <row r="300" spans="1:10" ht="25.5">
      <c r="A300" s="1" t="s">
        <v>2018</v>
      </c>
      <c r="B300" s="17" t="s">
        <v>2042</v>
      </c>
      <c r="C300" s="17" t="s">
        <v>2031</v>
      </c>
      <c r="D300" s="92" t="s">
        <v>1556</v>
      </c>
      <c r="E300" s="92">
        <v>800</v>
      </c>
      <c r="F300" s="92">
        <v>1</v>
      </c>
      <c r="G300" s="92">
        <v>8</v>
      </c>
      <c r="H300" s="93">
        <v>4.2328042328042326</v>
      </c>
    </row>
    <row r="301" spans="1:10" ht="14.25">
      <c r="D301" s="92" t="s">
        <v>1557</v>
      </c>
      <c r="E301" s="92">
        <v>800</v>
      </c>
      <c r="F301" s="92">
        <v>1</v>
      </c>
      <c r="G301" s="92">
        <v>5</v>
      </c>
      <c r="H301" s="93">
        <v>2.6455026455026456</v>
      </c>
    </row>
    <row r="302" spans="1:10" ht="14.25">
      <c r="D302" s="92" t="s">
        <v>1566</v>
      </c>
      <c r="E302" s="92">
        <v>800</v>
      </c>
      <c r="F302" s="92">
        <v>1</v>
      </c>
      <c r="G302" s="92">
        <v>4</v>
      </c>
      <c r="H302" s="93">
        <v>3.8095238095238093</v>
      </c>
    </row>
    <row r="303" spans="1:10" ht="14.25">
      <c r="D303" s="92" t="s">
        <v>1616</v>
      </c>
      <c r="E303" s="92">
        <v>115</v>
      </c>
      <c r="F303" s="92">
        <v>1</v>
      </c>
      <c r="G303" s="92">
        <v>5</v>
      </c>
      <c r="H303" s="93">
        <v>0.38029100529100529</v>
      </c>
    </row>
    <row r="304" spans="1:10" ht="14.25">
      <c r="D304" s="124" t="s">
        <v>555</v>
      </c>
      <c r="E304" s="124"/>
      <c r="F304" s="124"/>
      <c r="G304" s="124"/>
      <c r="H304" s="125">
        <v>11.068121693121691</v>
      </c>
    </row>
    <row r="305" spans="1:10" ht="14.25">
      <c r="D305" s="92" t="s">
        <v>1569</v>
      </c>
      <c r="E305" s="92"/>
      <c r="F305" s="92">
        <v>2</v>
      </c>
      <c r="G305" s="92">
        <v>8</v>
      </c>
      <c r="H305" s="93">
        <v>16</v>
      </c>
    </row>
    <row r="306" spans="1:10" ht="15">
      <c r="D306" s="94" t="s">
        <v>1571</v>
      </c>
      <c r="E306" s="94"/>
      <c r="F306" s="94"/>
      <c r="G306" s="94"/>
      <c r="H306" s="95">
        <v>27.068121693121689</v>
      </c>
    </row>
    <row r="307" spans="1:10" ht="15">
      <c r="D307" s="96" t="s">
        <v>1572</v>
      </c>
      <c r="E307" s="96"/>
      <c r="F307" s="96"/>
      <c r="G307" s="96"/>
      <c r="H307" s="97">
        <v>35.1885582010582</v>
      </c>
    </row>
    <row r="311" spans="1:10" ht="25.5">
      <c r="A311" s="1" t="s">
        <v>2018</v>
      </c>
      <c r="B311" s="17" t="s">
        <v>2042</v>
      </c>
      <c r="C311" s="17" t="s">
        <v>2041</v>
      </c>
      <c r="D311" s="92" t="s">
        <v>1556</v>
      </c>
      <c r="E311" s="92">
        <v>144</v>
      </c>
      <c r="F311" s="92">
        <v>1</v>
      </c>
      <c r="G311" s="92">
        <v>8</v>
      </c>
      <c r="H311" s="93">
        <v>0.76190476190476186</v>
      </c>
    </row>
    <row r="312" spans="1:10" ht="14.25">
      <c r="D312" s="92" t="s">
        <v>1557</v>
      </c>
      <c r="E312" s="92">
        <v>144</v>
      </c>
      <c r="F312" s="92">
        <v>1</v>
      </c>
      <c r="G312" s="92">
        <v>5</v>
      </c>
      <c r="H312" s="93">
        <v>0.47619047619047616</v>
      </c>
    </row>
    <row r="313" spans="1:10" ht="14.25">
      <c r="D313" s="92" t="s">
        <v>1566</v>
      </c>
      <c r="E313" s="92">
        <v>144</v>
      </c>
      <c r="F313" s="92">
        <v>1</v>
      </c>
      <c r="G313" s="92">
        <v>8</v>
      </c>
      <c r="H313" s="93">
        <v>1.3714285714285714</v>
      </c>
      <c r="J313" s="1" t="s">
        <v>2050</v>
      </c>
    </row>
    <row r="314" spans="1:10" ht="14.25">
      <c r="D314" s="92" t="s">
        <v>1616</v>
      </c>
      <c r="E314" s="92">
        <v>92</v>
      </c>
      <c r="F314" s="92">
        <v>1</v>
      </c>
      <c r="G314" s="92">
        <v>8</v>
      </c>
      <c r="H314" s="93">
        <v>0.48677248677248675</v>
      </c>
    </row>
    <row r="315" spans="1:10" ht="14.25">
      <c r="D315" s="124" t="s">
        <v>555</v>
      </c>
      <c r="E315" s="124"/>
      <c r="F315" s="124"/>
      <c r="G315" s="124"/>
      <c r="H315" s="125">
        <v>3.0962962962962965</v>
      </c>
    </row>
    <row r="316" spans="1:10" ht="14.25">
      <c r="D316" s="92" t="s">
        <v>1569</v>
      </c>
      <c r="E316" s="92"/>
      <c r="F316" s="92">
        <v>0.5</v>
      </c>
      <c r="G316" s="92">
        <v>8</v>
      </c>
      <c r="H316" s="93">
        <v>4</v>
      </c>
    </row>
    <row r="317" spans="1:10" ht="15">
      <c r="D317" s="94" t="s">
        <v>1571</v>
      </c>
      <c r="E317" s="94"/>
      <c r="F317" s="94"/>
      <c r="G317" s="94"/>
      <c r="H317" s="95">
        <v>7.0962962962962965</v>
      </c>
    </row>
    <row r="318" spans="1:10" ht="15">
      <c r="D318" s="96" t="s">
        <v>1572</v>
      </c>
      <c r="E318" s="96"/>
      <c r="F318" s="96"/>
      <c r="G318" s="96"/>
      <c r="H318" s="97">
        <v>9.225185185185186</v>
      </c>
    </row>
    <row r="321" spans="1:10" ht="25.5">
      <c r="A321" s="1" t="s">
        <v>2020</v>
      </c>
      <c r="B321" s="17" t="s">
        <v>2066</v>
      </c>
      <c r="C321" s="17" t="s">
        <v>2067</v>
      </c>
      <c r="D321" s="92" t="s">
        <v>1556</v>
      </c>
      <c r="E321" s="92">
        <v>763.64285714285711</v>
      </c>
      <c r="F321" s="92">
        <v>1</v>
      </c>
      <c r="G321" s="92">
        <v>0</v>
      </c>
      <c r="H321" s="93">
        <v>0</v>
      </c>
    </row>
    <row r="322" spans="1:10" ht="14.25">
      <c r="D322" s="92" t="s">
        <v>1557</v>
      </c>
      <c r="E322" s="92">
        <v>763.64285714285711</v>
      </c>
      <c r="F322" s="92">
        <v>1</v>
      </c>
      <c r="G322" s="92">
        <v>0</v>
      </c>
      <c r="H322" s="93">
        <v>0</v>
      </c>
    </row>
    <row r="323" spans="1:10" ht="14.25">
      <c r="D323" s="92" t="s">
        <v>1559</v>
      </c>
      <c r="E323" s="92">
        <v>126</v>
      </c>
      <c r="F323" s="92">
        <v>2</v>
      </c>
      <c r="G323" s="92">
        <v>0</v>
      </c>
      <c r="H323" s="93">
        <v>0</v>
      </c>
    </row>
    <row r="324" spans="1:10" ht="14.25">
      <c r="D324" s="92" t="s">
        <v>1566</v>
      </c>
      <c r="E324" s="92">
        <v>889.64285714285711</v>
      </c>
      <c r="F324" s="92">
        <v>1</v>
      </c>
      <c r="G324" s="92">
        <v>4</v>
      </c>
      <c r="H324" s="93">
        <v>4.2363945578231288</v>
      </c>
      <c r="J324" s="1">
        <v>25</v>
      </c>
    </row>
    <row r="325" spans="1:10" ht="14.25">
      <c r="D325" s="92" t="s">
        <v>1616</v>
      </c>
      <c r="E325" s="92">
        <v>204</v>
      </c>
      <c r="F325" s="92">
        <v>1</v>
      </c>
      <c r="G325" s="92">
        <v>0</v>
      </c>
      <c r="H325" s="93">
        <v>0</v>
      </c>
    </row>
    <row r="326" spans="1:10" ht="14.25">
      <c r="D326" s="92" t="s">
        <v>2058</v>
      </c>
      <c r="E326" s="92">
        <v>315.64285714285711</v>
      </c>
      <c r="F326" s="92">
        <v>1</v>
      </c>
      <c r="G326" s="92">
        <v>4</v>
      </c>
      <c r="H326" s="93">
        <v>0.83503401360544205</v>
      </c>
    </row>
    <row r="327" spans="1:10" ht="14.25">
      <c r="D327" s="124" t="s">
        <v>555</v>
      </c>
      <c r="E327" s="124"/>
      <c r="F327" s="124"/>
      <c r="G327" s="124"/>
      <c r="H327" s="125">
        <v>4.2363945578231288</v>
      </c>
    </row>
    <row r="328" spans="1:10" ht="14.25">
      <c r="D328" s="92" t="s">
        <v>1569</v>
      </c>
      <c r="E328" s="92"/>
      <c r="F328" s="92">
        <v>2</v>
      </c>
      <c r="G328" s="92">
        <v>8</v>
      </c>
      <c r="H328" s="93">
        <v>16</v>
      </c>
    </row>
    <row r="329" spans="1:10" ht="15">
      <c r="D329" s="94" t="s">
        <v>1571</v>
      </c>
      <c r="E329" s="94"/>
      <c r="F329" s="94"/>
      <c r="G329" s="94"/>
      <c r="H329" s="95">
        <v>20.236394557823129</v>
      </c>
    </row>
    <row r="330" spans="1:10" ht="15">
      <c r="D330" s="96" t="s">
        <v>1572</v>
      </c>
      <c r="E330" s="96"/>
      <c r="F330" s="96"/>
      <c r="G330" s="96"/>
      <c r="H330" s="97">
        <v>26.30731292517007</v>
      </c>
    </row>
    <row r="333" spans="1:10" ht="25.5">
      <c r="A333" s="1" t="s">
        <v>2020</v>
      </c>
      <c r="B333" s="17" t="s">
        <v>2066</v>
      </c>
      <c r="C333" s="17" t="s">
        <v>2075</v>
      </c>
      <c r="D333" s="92" t="s">
        <v>1556</v>
      </c>
      <c r="E333" s="92">
        <v>371</v>
      </c>
      <c r="F333" s="92">
        <v>1</v>
      </c>
      <c r="G333" s="92"/>
      <c r="H333" s="93">
        <v>0</v>
      </c>
    </row>
    <row r="334" spans="1:10" ht="14.25">
      <c r="D334" s="92" t="s">
        <v>1557</v>
      </c>
      <c r="E334" s="92">
        <v>371</v>
      </c>
      <c r="F334" s="92">
        <v>1</v>
      </c>
      <c r="G334" s="92"/>
      <c r="H334" s="93">
        <v>0</v>
      </c>
    </row>
    <row r="335" spans="1:10" ht="14.25">
      <c r="D335" s="92" t="s">
        <v>2070</v>
      </c>
      <c r="E335" s="92">
        <v>238</v>
      </c>
      <c r="F335" s="92">
        <v>1</v>
      </c>
      <c r="G335" s="92">
        <v>20</v>
      </c>
      <c r="H335" s="93">
        <v>2.7738927738927739</v>
      </c>
    </row>
    <row r="336" spans="1:10" ht="14.25">
      <c r="D336" s="92" t="s">
        <v>2073</v>
      </c>
      <c r="E336" s="92">
        <v>66.5</v>
      </c>
      <c r="F336" s="92">
        <v>2</v>
      </c>
      <c r="G336" s="92">
        <v>20</v>
      </c>
      <c r="H336" s="93">
        <v>1.738562091503268</v>
      </c>
      <c r="J336" s="1">
        <v>15</v>
      </c>
    </row>
    <row r="337" spans="1:10" ht="14.25">
      <c r="D337" s="92" t="s">
        <v>1616</v>
      </c>
      <c r="E337" s="92">
        <v>476</v>
      </c>
      <c r="F337" s="92">
        <v>1</v>
      </c>
      <c r="G337" s="92"/>
      <c r="H337" s="93">
        <v>0</v>
      </c>
    </row>
    <row r="338" spans="1:10" ht="14.25">
      <c r="D338" s="124" t="s">
        <v>555</v>
      </c>
      <c r="E338" s="124"/>
      <c r="F338" s="124"/>
      <c r="G338" s="124"/>
      <c r="H338" s="125">
        <v>4.5124548653960419</v>
      </c>
    </row>
    <row r="339" spans="1:10" ht="14.25">
      <c r="D339" s="92" t="s">
        <v>1569</v>
      </c>
      <c r="E339" s="92"/>
      <c r="F339" s="92">
        <v>1</v>
      </c>
      <c r="G339" s="92">
        <v>8</v>
      </c>
      <c r="H339" s="93">
        <v>8</v>
      </c>
    </row>
    <row r="340" spans="1:10" ht="15">
      <c r="D340" s="94" t="s">
        <v>1571</v>
      </c>
      <c r="E340" s="94"/>
      <c r="F340" s="94"/>
      <c r="G340" s="94"/>
      <c r="H340" s="95">
        <v>12.512454865396041</v>
      </c>
    </row>
    <row r="341" spans="1:10" ht="15">
      <c r="D341" s="96" t="s">
        <v>1572</v>
      </c>
      <c r="E341" s="96"/>
      <c r="F341" s="96"/>
      <c r="G341" s="96"/>
      <c r="H341" s="97">
        <v>16.266191325014855</v>
      </c>
    </row>
    <row r="345" spans="1:10" ht="14.25">
      <c r="A345" s="1" t="s">
        <v>1733</v>
      </c>
      <c r="B345" s="17" t="s">
        <v>2103</v>
      </c>
      <c r="C345" s="17" t="s">
        <v>1878</v>
      </c>
      <c r="D345" s="92" t="s">
        <v>1556</v>
      </c>
      <c r="E345" s="92">
        <v>692.5</v>
      </c>
      <c r="F345" s="92">
        <v>1</v>
      </c>
      <c r="G345" s="92">
        <v>13</v>
      </c>
      <c r="H345" s="93">
        <v>5.9540343915343916</v>
      </c>
    </row>
    <row r="346" spans="1:10" ht="14.25">
      <c r="D346" s="92" t="s">
        <v>1557</v>
      </c>
      <c r="E346" s="92">
        <v>1487.5</v>
      </c>
      <c r="F346" s="92">
        <v>1</v>
      </c>
      <c r="G346" s="92">
        <v>6</v>
      </c>
      <c r="H346" s="93">
        <v>5.9027777777777777</v>
      </c>
    </row>
    <row r="347" spans="1:10" ht="14.25">
      <c r="D347" s="92" t="s">
        <v>1926</v>
      </c>
      <c r="E347" s="92">
        <v>2180</v>
      </c>
      <c r="F347" s="92">
        <v>1</v>
      </c>
      <c r="G347" s="92">
        <v>9</v>
      </c>
      <c r="H347" s="93">
        <v>3.0277777777777777</v>
      </c>
      <c r="J347" s="197">
        <v>50</v>
      </c>
    </row>
    <row r="348" spans="1:10" ht="14.25">
      <c r="D348" s="92" t="s">
        <v>1918</v>
      </c>
      <c r="E348" s="92">
        <v>567.5</v>
      </c>
      <c r="F348" s="92">
        <v>2</v>
      </c>
      <c r="G348" s="92">
        <v>21</v>
      </c>
      <c r="H348" s="93">
        <v>5.7076149425287355</v>
      </c>
      <c r="J348" s="1" t="s">
        <v>2105</v>
      </c>
    </row>
    <row r="349" spans="1:10" ht="14.25">
      <c r="D349" s="92" t="s">
        <v>1922</v>
      </c>
      <c r="E349" s="92">
        <v>41</v>
      </c>
      <c r="F349" s="92">
        <v>1</v>
      </c>
      <c r="G349" s="92">
        <v>1.5</v>
      </c>
      <c r="H349" s="93">
        <v>1.7083333333333333</v>
      </c>
    </row>
    <row r="350" spans="1:10" ht="14.25">
      <c r="D350" s="92" t="s">
        <v>1923</v>
      </c>
      <c r="E350" s="92">
        <v>0</v>
      </c>
      <c r="F350" s="92">
        <v>2</v>
      </c>
      <c r="G350" s="92">
        <v>0.6</v>
      </c>
      <c r="H350" s="93">
        <v>1.7999999999999998</v>
      </c>
    </row>
    <row r="351" spans="1:10" ht="14.25">
      <c r="D351" s="92" t="s">
        <v>1927</v>
      </c>
      <c r="E351" s="92">
        <v>55.25</v>
      </c>
      <c r="F351" s="92">
        <v>1</v>
      </c>
      <c r="G351" s="92">
        <v>3</v>
      </c>
      <c r="H351" s="93">
        <v>0.10625</v>
      </c>
    </row>
    <row r="352" spans="1:10" ht="14.25">
      <c r="D352" s="92" t="s">
        <v>1930</v>
      </c>
      <c r="E352" s="92"/>
      <c r="F352" s="92">
        <v>8</v>
      </c>
      <c r="G352" s="92">
        <v>5</v>
      </c>
      <c r="H352" s="93">
        <v>0.8</v>
      </c>
    </row>
    <row r="353" spans="1:10" ht="14.25">
      <c r="D353" s="124" t="s">
        <v>555</v>
      </c>
      <c r="E353" s="124"/>
      <c r="F353" s="124"/>
      <c r="G353" s="124"/>
      <c r="H353" s="125">
        <v>25.006788222952014</v>
      </c>
    </row>
    <row r="354" spans="1:10" ht="14.25">
      <c r="D354" s="92" t="s">
        <v>1569</v>
      </c>
      <c r="E354" s="92"/>
      <c r="F354" s="92">
        <v>3</v>
      </c>
      <c r="G354" s="92">
        <v>8</v>
      </c>
      <c r="H354" s="93">
        <v>24</v>
      </c>
    </row>
    <row r="355" spans="1:10" ht="15">
      <c r="D355" s="94" t="s">
        <v>1571</v>
      </c>
      <c r="E355" s="94"/>
      <c r="F355" s="94"/>
      <c r="G355" s="94"/>
      <c r="H355" s="95">
        <v>49.006788222952011</v>
      </c>
    </row>
    <row r="356" spans="1:10" ht="15">
      <c r="D356" s="96" t="s">
        <v>1572</v>
      </c>
      <c r="E356" s="96"/>
      <c r="F356" s="96"/>
      <c r="G356" s="96"/>
      <c r="H356" s="97">
        <v>58.808145867542407</v>
      </c>
    </row>
    <row r="360" spans="1:10" ht="25.5">
      <c r="A360" s="1" t="s">
        <v>2239</v>
      </c>
      <c r="B360" s="17" t="s">
        <v>2258</v>
      </c>
      <c r="C360" s="17" t="s">
        <v>2240</v>
      </c>
      <c r="D360" s="92" t="s">
        <v>1556</v>
      </c>
      <c r="E360" s="126">
        <v>1620.7857142857142</v>
      </c>
      <c r="F360" s="92">
        <v>1</v>
      </c>
      <c r="G360" s="92">
        <v>8</v>
      </c>
      <c r="H360" s="93">
        <v>8.5755857898715036</v>
      </c>
    </row>
    <row r="361" spans="1:10" ht="14.25">
      <c r="D361" s="92" t="s">
        <v>1557</v>
      </c>
      <c r="E361" s="126">
        <v>1620.7857142857142</v>
      </c>
      <c r="F361" s="92">
        <v>1</v>
      </c>
      <c r="G361" s="92">
        <v>8</v>
      </c>
      <c r="H361" s="93">
        <v>8.5755857898715036</v>
      </c>
    </row>
    <row r="362" spans="1:10" ht="14.25">
      <c r="D362" s="92" t="s">
        <v>1559</v>
      </c>
      <c r="E362" s="126">
        <v>171</v>
      </c>
      <c r="F362" s="92">
        <v>2</v>
      </c>
      <c r="G362" s="92">
        <v>8</v>
      </c>
      <c r="H362" s="93">
        <v>1.8095238095238095</v>
      </c>
      <c r="J362" s="1" t="s">
        <v>2268</v>
      </c>
    </row>
    <row r="363" spans="1:10" ht="14.25">
      <c r="D363" s="92" t="s">
        <v>1566</v>
      </c>
      <c r="E363" s="126">
        <v>1791.7857142857142</v>
      </c>
      <c r="F363" s="92">
        <v>1</v>
      </c>
      <c r="G363" s="92">
        <v>4</v>
      </c>
      <c r="H363" s="93">
        <v>8.5323129251700678</v>
      </c>
    </row>
    <row r="364" spans="1:10" ht="14.25">
      <c r="D364" s="92" t="s">
        <v>1616</v>
      </c>
      <c r="E364" s="126">
        <v>498</v>
      </c>
      <c r="F364" s="92">
        <v>1</v>
      </c>
      <c r="G364" s="92">
        <v>8</v>
      </c>
      <c r="H364" s="93">
        <v>2.6349206349206349</v>
      </c>
    </row>
    <row r="365" spans="1:10" ht="14.25">
      <c r="D365" s="124" t="s">
        <v>555</v>
      </c>
      <c r="E365" s="124"/>
      <c r="F365" s="124"/>
      <c r="G365" s="124"/>
      <c r="H365" s="125">
        <v>30.127928949357521</v>
      </c>
    </row>
    <row r="366" spans="1:10" ht="14.25">
      <c r="D366" s="92" t="s">
        <v>1569</v>
      </c>
      <c r="E366" s="92"/>
      <c r="F366" s="92">
        <v>2.5</v>
      </c>
      <c r="G366" s="92">
        <v>8</v>
      </c>
      <c r="H366" s="93">
        <v>20</v>
      </c>
    </row>
    <row r="367" spans="1:10" ht="15">
      <c r="D367" s="94" t="s">
        <v>1571</v>
      </c>
      <c r="E367" s="94"/>
      <c r="F367" s="94"/>
      <c r="G367" s="94"/>
      <c r="H367" s="95">
        <v>50.127928949357525</v>
      </c>
    </row>
    <row r="368" spans="1:10" ht="15">
      <c r="D368" s="96" t="s">
        <v>1572</v>
      </c>
      <c r="E368" s="96"/>
      <c r="F368" s="96"/>
      <c r="G368" s="96"/>
      <c r="H368" s="97">
        <v>65.166307634164781</v>
      </c>
    </row>
    <row r="371" spans="1:10" ht="14.25">
      <c r="A371" s="203" t="s">
        <v>2263</v>
      </c>
      <c r="B371" s="17" t="s">
        <v>2266</v>
      </c>
      <c r="C371" s="17" t="s">
        <v>2233</v>
      </c>
      <c r="D371" s="92" t="s">
        <v>1556</v>
      </c>
      <c r="E371" s="92">
        <v>485</v>
      </c>
      <c r="F371" s="92">
        <v>1</v>
      </c>
      <c r="G371" s="92">
        <v>8</v>
      </c>
      <c r="H371" s="93">
        <v>2.5661375661375661</v>
      </c>
    </row>
    <row r="372" spans="1:10" ht="14.25">
      <c r="D372" s="92" t="s">
        <v>1557</v>
      </c>
      <c r="E372" s="92">
        <v>317</v>
      </c>
      <c r="F372" s="92">
        <v>1</v>
      </c>
      <c r="G372" s="92">
        <v>8</v>
      </c>
      <c r="H372" s="93">
        <v>1.6772486772486772</v>
      </c>
    </row>
    <row r="373" spans="1:10" ht="14.25">
      <c r="D373" s="92" t="s">
        <v>2259</v>
      </c>
      <c r="E373" s="92">
        <v>121</v>
      </c>
      <c r="F373" s="92">
        <v>1</v>
      </c>
      <c r="G373" s="92">
        <v>6</v>
      </c>
      <c r="H373" s="93">
        <v>0.35157384987893459</v>
      </c>
      <c r="J373" s="1" t="s">
        <v>2267</v>
      </c>
    </row>
    <row r="374" spans="1:10" ht="14.25">
      <c r="D374" s="92" t="s">
        <v>1616</v>
      </c>
      <c r="E374" s="92">
        <v>84</v>
      </c>
      <c r="F374" s="92">
        <v>1</v>
      </c>
      <c r="G374" s="92">
        <v>8</v>
      </c>
      <c r="H374" s="93">
        <v>0.44444444444444442</v>
      </c>
    </row>
    <row r="375" spans="1:10" ht="14.25">
      <c r="D375" s="124" t="s">
        <v>555</v>
      </c>
      <c r="E375" s="124"/>
      <c r="F375" s="124"/>
      <c r="G375" s="124"/>
      <c r="H375" s="125">
        <v>5.0394045377096228</v>
      </c>
    </row>
    <row r="376" spans="1:10" ht="14.25">
      <c r="D376" s="92" t="s">
        <v>1569</v>
      </c>
      <c r="E376" s="92"/>
      <c r="F376" s="92">
        <v>0.75</v>
      </c>
      <c r="G376" s="92">
        <v>8</v>
      </c>
      <c r="H376" s="93">
        <v>6</v>
      </c>
    </row>
    <row r="377" spans="1:10" ht="15">
      <c r="D377" s="94" t="s">
        <v>1571</v>
      </c>
      <c r="E377" s="94"/>
      <c r="F377" s="94"/>
      <c r="G377" s="94"/>
      <c r="H377" s="95">
        <v>11.039404537709622</v>
      </c>
    </row>
    <row r="378" spans="1:10" ht="15">
      <c r="D378" s="96" t="s">
        <v>1572</v>
      </c>
      <c r="E378" s="96"/>
      <c r="F378" s="96"/>
      <c r="G378" s="96"/>
      <c r="H378" s="97">
        <v>14.351225899022509</v>
      </c>
    </row>
    <row r="382" spans="1:10" ht="25.5">
      <c r="A382" s="203" t="s">
        <v>2273</v>
      </c>
      <c r="B382" s="17" t="s">
        <v>2277</v>
      </c>
      <c r="C382" s="17" t="s">
        <v>2283</v>
      </c>
      <c r="D382" s="92" t="s">
        <v>1556</v>
      </c>
      <c r="E382" s="126">
        <v>700.57142857142867</v>
      </c>
      <c r="F382" s="92">
        <v>1</v>
      </c>
      <c r="G382" s="92">
        <v>8</v>
      </c>
      <c r="H382" s="93">
        <v>3.7067271352985642</v>
      </c>
    </row>
    <row r="383" spans="1:10" ht="14.25">
      <c r="B383" s="17" t="s">
        <v>2285</v>
      </c>
      <c r="D383" s="92" t="s">
        <v>1557</v>
      </c>
      <c r="E383" s="126">
        <v>700.57142857142867</v>
      </c>
      <c r="F383" s="92">
        <v>1</v>
      </c>
      <c r="G383" s="92">
        <v>8</v>
      </c>
      <c r="H383" s="93">
        <v>3.7067271352985642</v>
      </c>
      <c r="J383" s="273">
        <v>23</v>
      </c>
    </row>
    <row r="384" spans="1:10" ht="14.25">
      <c r="B384" s="1" t="s">
        <v>2286</v>
      </c>
      <c r="D384" s="92" t="s">
        <v>2281</v>
      </c>
      <c r="E384" s="92"/>
      <c r="F384" s="92" t="s">
        <v>2287</v>
      </c>
      <c r="G384" s="92"/>
      <c r="H384" s="93">
        <v>2</v>
      </c>
      <c r="J384" s="27" t="s">
        <v>2282</v>
      </c>
    </row>
    <row r="385" spans="1:10" ht="14.25">
      <c r="D385" s="124" t="s">
        <v>555</v>
      </c>
      <c r="E385" s="124"/>
      <c r="F385" s="124"/>
      <c r="G385" s="124"/>
      <c r="H385" s="125">
        <v>9.4134542705971285</v>
      </c>
    </row>
    <row r="386" spans="1:10" ht="14.25">
      <c r="D386" s="92" t="s">
        <v>1569</v>
      </c>
      <c r="E386" s="92"/>
      <c r="F386" s="92">
        <v>1</v>
      </c>
      <c r="G386" s="92">
        <v>8</v>
      </c>
      <c r="H386" s="93">
        <v>8</v>
      </c>
    </row>
    <row r="387" spans="1:10" ht="15">
      <c r="D387" s="94" t="s">
        <v>1571</v>
      </c>
      <c r="E387" s="94"/>
      <c r="F387" s="94"/>
      <c r="G387" s="94"/>
      <c r="H387" s="95">
        <v>17.413454270597128</v>
      </c>
    </row>
    <row r="388" spans="1:10" ht="15">
      <c r="D388" s="96" t="s">
        <v>1572</v>
      </c>
      <c r="E388" s="96"/>
      <c r="F388" s="96"/>
      <c r="G388" s="96"/>
      <c r="H388" s="97">
        <v>22.637490551776267</v>
      </c>
    </row>
    <row r="392" spans="1:10" ht="14.25">
      <c r="A392" s="1" t="s">
        <v>2293</v>
      </c>
      <c r="B392" s="17" t="s">
        <v>2301</v>
      </c>
      <c r="C392" s="17" t="s">
        <v>2302</v>
      </c>
      <c r="D392" s="92" t="s">
        <v>1556</v>
      </c>
      <c r="E392" s="92">
        <v>102</v>
      </c>
      <c r="F392" s="92">
        <v>1</v>
      </c>
      <c r="G392" s="92">
        <v>6</v>
      </c>
      <c r="H392" s="93">
        <v>0.3035714285714286</v>
      </c>
    </row>
    <row r="393" spans="1:10" ht="14.25">
      <c r="D393" s="92" t="s">
        <v>1557</v>
      </c>
      <c r="E393" s="92">
        <v>90</v>
      </c>
      <c r="F393" s="92">
        <v>1</v>
      </c>
      <c r="G393" s="92">
        <v>6</v>
      </c>
      <c r="H393" s="93">
        <v>0.26785714285714285</v>
      </c>
    </row>
    <row r="394" spans="1:10" ht="14.25">
      <c r="A394" s="1" t="s">
        <v>2305</v>
      </c>
      <c r="D394" s="92" t="s">
        <v>1566</v>
      </c>
      <c r="E394" s="92">
        <v>90</v>
      </c>
      <c r="F394" s="92">
        <v>1</v>
      </c>
      <c r="G394" s="92">
        <v>4</v>
      </c>
      <c r="H394" s="93">
        <v>0.42857142857142855</v>
      </c>
    </row>
    <row r="395" spans="1:10" ht="14.25">
      <c r="A395" s="1" t="s">
        <v>2306</v>
      </c>
      <c r="D395" s="92" t="s">
        <v>2061</v>
      </c>
      <c r="E395" s="92">
        <v>12</v>
      </c>
      <c r="F395" s="92">
        <v>1</v>
      </c>
      <c r="G395" s="92">
        <v>6</v>
      </c>
      <c r="H395" s="93">
        <v>4.7058823529411764E-2</v>
      </c>
      <c r="J395" s="1" t="s">
        <v>2307</v>
      </c>
    </row>
    <row r="396" spans="1:10" ht="14.25">
      <c r="D396" s="124" t="s">
        <v>555</v>
      </c>
      <c r="E396" s="124"/>
      <c r="F396" s="124"/>
      <c r="G396" s="124"/>
      <c r="H396" s="125">
        <v>1.0470588235294118</v>
      </c>
    </row>
    <row r="397" spans="1:10" ht="14.25">
      <c r="D397" s="92" t="s">
        <v>1569</v>
      </c>
      <c r="E397" s="92"/>
      <c r="F397" s="92">
        <v>0.25</v>
      </c>
      <c r="G397" s="92">
        <v>8</v>
      </c>
      <c r="H397" s="93">
        <v>2</v>
      </c>
    </row>
    <row r="398" spans="1:10" ht="15">
      <c r="D398" s="94" t="s">
        <v>1571</v>
      </c>
      <c r="E398" s="94"/>
      <c r="F398" s="94"/>
      <c r="G398" s="94"/>
      <c r="H398" s="95">
        <v>3.0470588235294116</v>
      </c>
    </row>
    <row r="399" spans="1:10" ht="15">
      <c r="D399" s="96" t="s">
        <v>1572</v>
      </c>
      <c r="E399" s="96"/>
      <c r="F399" s="96"/>
      <c r="G399" s="96"/>
      <c r="H399" s="97">
        <v>3.9611764705882351</v>
      </c>
    </row>
    <row r="402" spans="1:13" ht="25.5">
      <c r="A402" s="1" t="s">
        <v>2294</v>
      </c>
      <c r="B402" s="17" t="s">
        <v>2303</v>
      </c>
      <c r="C402" s="17" t="s">
        <v>2290</v>
      </c>
      <c r="D402" s="92" t="s">
        <v>1556</v>
      </c>
      <c r="E402" s="126">
        <v>782.5</v>
      </c>
      <c r="F402" s="92">
        <v>1</v>
      </c>
      <c r="G402" s="92">
        <v>8</v>
      </c>
      <c r="H402" s="93">
        <v>4.14021164021164</v>
      </c>
      <c r="I402" s="92"/>
      <c r="J402" s="92"/>
      <c r="K402" s="92" t="s">
        <v>1595</v>
      </c>
      <c r="L402" s="92" t="s">
        <v>1594</v>
      </c>
      <c r="M402" s="92" t="s">
        <v>1973</v>
      </c>
    </row>
    <row r="403" spans="1:13" ht="14.25">
      <c r="D403" s="92" t="s">
        <v>1557</v>
      </c>
      <c r="E403" s="126">
        <v>782.5</v>
      </c>
      <c r="F403" s="92">
        <v>1</v>
      </c>
      <c r="G403" s="92">
        <v>8</v>
      </c>
      <c r="H403" s="93">
        <v>4.14021164021164</v>
      </c>
      <c r="I403" s="92"/>
      <c r="J403" s="92" t="s">
        <v>2071</v>
      </c>
      <c r="K403" s="92">
        <v>28</v>
      </c>
      <c r="L403" s="126">
        <v>22</v>
      </c>
      <c r="M403" s="126">
        <v>616</v>
      </c>
    </row>
    <row r="404" spans="1:13" ht="14.25">
      <c r="D404" s="92" t="s">
        <v>2308</v>
      </c>
      <c r="E404" s="92"/>
      <c r="F404" s="92"/>
      <c r="G404" s="92"/>
      <c r="H404" s="93">
        <v>0.5</v>
      </c>
      <c r="I404" s="92"/>
      <c r="J404" s="92" t="s">
        <v>2270</v>
      </c>
      <c r="K404" s="92"/>
      <c r="L404" s="92">
        <v>7</v>
      </c>
      <c r="M404" s="126">
        <v>38.5</v>
      </c>
    </row>
    <row r="405" spans="1:13" ht="14.25">
      <c r="B405" s="275">
        <v>20</v>
      </c>
      <c r="D405" s="124" t="s">
        <v>555</v>
      </c>
      <c r="E405" s="124"/>
      <c r="F405" s="124"/>
      <c r="G405" s="124"/>
      <c r="H405" s="125">
        <v>8.78042328042328</v>
      </c>
      <c r="I405" s="92"/>
      <c r="J405" s="92" t="s">
        <v>2284</v>
      </c>
      <c r="K405" s="92">
        <v>32</v>
      </c>
      <c r="L405" s="92">
        <v>4</v>
      </c>
      <c r="M405" s="92">
        <v>128</v>
      </c>
    </row>
    <row r="406" spans="1:13" ht="14.25">
      <c r="D406" s="92" t="s">
        <v>1569</v>
      </c>
      <c r="E406" s="92"/>
      <c r="F406" s="92">
        <v>1</v>
      </c>
      <c r="G406" s="92">
        <v>8</v>
      </c>
      <c r="H406" s="93">
        <v>8</v>
      </c>
      <c r="I406" s="92"/>
      <c r="J406" s="92"/>
      <c r="K406" s="92"/>
      <c r="L406" s="92"/>
      <c r="M406" s="126">
        <v>782.5</v>
      </c>
    </row>
    <row r="407" spans="1:13" ht="15">
      <c r="D407" s="94" t="s">
        <v>1571</v>
      </c>
      <c r="E407" s="94"/>
      <c r="F407" s="94"/>
      <c r="G407" s="94"/>
      <c r="H407" s="95">
        <v>16.780423280423278</v>
      </c>
      <c r="I407" s="92"/>
      <c r="J407" s="92"/>
      <c r="K407" s="92"/>
      <c r="L407" s="92"/>
      <c r="M407" s="92"/>
    </row>
    <row r="408" spans="1:13" ht="15">
      <c r="D408" s="96" t="s">
        <v>1572</v>
      </c>
      <c r="E408" s="96"/>
      <c r="F408" s="96"/>
      <c r="G408" s="96"/>
      <c r="H408" s="97">
        <v>21.814550264550263</v>
      </c>
      <c r="I408" s="92"/>
      <c r="J408" s="92"/>
      <c r="K408" s="92"/>
      <c r="L408" s="92"/>
      <c r="M408" s="92"/>
    </row>
    <row r="409" spans="1:13" ht="14.25">
      <c r="I409" s="92"/>
      <c r="J409" s="92"/>
      <c r="K409" s="92"/>
      <c r="L409" s="92"/>
      <c r="M409" s="92"/>
    </row>
    <row r="411" spans="1:13" ht="14.25">
      <c r="A411" s="1" t="s">
        <v>2295</v>
      </c>
      <c r="B411" s="17" t="s">
        <v>2304</v>
      </c>
      <c r="C411" s="17" t="s">
        <v>2296</v>
      </c>
      <c r="D411" s="92" t="s">
        <v>1556</v>
      </c>
      <c r="E411" s="126">
        <v>1203.7857142857142</v>
      </c>
      <c r="F411" s="92">
        <v>1</v>
      </c>
      <c r="G411" s="92">
        <v>15</v>
      </c>
      <c r="H411" s="93">
        <v>8.7442061570390859</v>
      </c>
    </row>
    <row r="412" spans="1:13" ht="14.25">
      <c r="D412" s="92" t="s">
        <v>1557</v>
      </c>
      <c r="E412" s="126">
        <v>1203.7857142857142</v>
      </c>
      <c r="F412" s="92">
        <v>1</v>
      </c>
      <c r="G412" s="92">
        <v>15</v>
      </c>
      <c r="H412" s="93">
        <v>8.7442061570390859</v>
      </c>
    </row>
    <row r="413" spans="1:13" ht="14.25">
      <c r="D413" s="92" t="s">
        <v>1559</v>
      </c>
      <c r="E413" s="126">
        <v>153</v>
      </c>
      <c r="F413" s="92">
        <v>2</v>
      </c>
      <c r="G413" s="92">
        <v>10</v>
      </c>
      <c r="H413" s="93">
        <v>1.4818401937046004</v>
      </c>
      <c r="J413" s="1" t="s">
        <v>2318</v>
      </c>
      <c r="K413" s="273">
        <v>50</v>
      </c>
    </row>
    <row r="414" spans="1:13" ht="14.25">
      <c r="D414" s="92" t="s">
        <v>1566</v>
      </c>
      <c r="E414" s="126">
        <v>1356.7857142857142</v>
      </c>
      <c r="F414" s="92">
        <v>1</v>
      </c>
      <c r="G414" s="92">
        <v>4</v>
      </c>
      <c r="H414" s="93">
        <v>0.68524531024531021</v>
      </c>
      <c r="K414" s="1" t="s">
        <v>2319</v>
      </c>
    </row>
    <row r="415" spans="1:13" ht="14.25">
      <c r="D415" s="92" t="s">
        <v>1616</v>
      </c>
      <c r="E415" s="126">
        <v>404</v>
      </c>
      <c r="F415" s="92">
        <v>1</v>
      </c>
      <c r="G415" s="92">
        <v>15</v>
      </c>
      <c r="H415" s="93">
        <v>2.9346246973365617</v>
      </c>
    </row>
    <row r="416" spans="1:13" ht="14.25">
      <c r="D416" s="124" t="s">
        <v>555</v>
      </c>
      <c r="E416" s="124"/>
      <c r="F416" s="124"/>
      <c r="G416" s="124"/>
      <c r="H416" s="125">
        <v>22.590122515364644</v>
      </c>
    </row>
    <row r="417" spans="1:15" ht="14.25">
      <c r="D417" s="92" t="s">
        <v>1569</v>
      </c>
      <c r="E417" s="92"/>
      <c r="F417" s="92">
        <v>2</v>
      </c>
      <c r="G417" s="92">
        <v>8</v>
      </c>
      <c r="H417" s="93">
        <v>16</v>
      </c>
    </row>
    <row r="418" spans="1:15" ht="15">
      <c r="D418" s="94" t="s">
        <v>1571</v>
      </c>
      <c r="E418" s="94"/>
      <c r="F418" s="94"/>
      <c r="G418" s="94"/>
      <c r="H418" s="95">
        <v>38.590122515364641</v>
      </c>
    </row>
    <row r="419" spans="1:15" ht="15">
      <c r="D419" s="96" t="s">
        <v>1572</v>
      </c>
      <c r="E419" s="96"/>
      <c r="F419" s="96"/>
      <c r="G419" s="96"/>
      <c r="H419" s="97">
        <v>50.167159269974036</v>
      </c>
    </row>
    <row r="422" spans="1:15" ht="25.5">
      <c r="A422" s="1" t="s">
        <v>2311</v>
      </c>
      <c r="B422" s="17" t="s">
        <v>2320</v>
      </c>
      <c r="C422" s="17" t="s">
        <v>2316</v>
      </c>
      <c r="D422" s="92" t="s">
        <v>1556</v>
      </c>
      <c r="E422" s="126">
        <v>1242</v>
      </c>
      <c r="F422" s="92">
        <v>1</v>
      </c>
      <c r="G422" s="92">
        <v>8</v>
      </c>
      <c r="H422" s="93">
        <v>4.8116222760290555</v>
      </c>
    </row>
    <row r="423" spans="1:15" ht="14.25">
      <c r="D423" s="92" t="s">
        <v>1557</v>
      </c>
      <c r="E423" s="126">
        <v>1242</v>
      </c>
      <c r="F423" s="92">
        <v>1</v>
      </c>
      <c r="G423" s="92">
        <v>4</v>
      </c>
      <c r="H423" s="93">
        <v>2.4058111380145277</v>
      </c>
    </row>
    <row r="424" spans="1:15" ht="38.25">
      <c r="B424" s="276" t="s">
        <v>2329</v>
      </c>
      <c r="D424" s="92" t="s">
        <v>1559</v>
      </c>
      <c r="E424" s="126">
        <v>162</v>
      </c>
      <c r="F424" s="92">
        <v>2</v>
      </c>
      <c r="G424" s="92">
        <v>8</v>
      </c>
      <c r="H424" s="93">
        <v>1.2552058111380144</v>
      </c>
      <c r="J424" s="1" t="s">
        <v>2318</v>
      </c>
      <c r="K424" s="1">
        <v>33</v>
      </c>
      <c r="M424" s="1" t="s">
        <v>2322</v>
      </c>
    </row>
    <row r="425" spans="1:15" ht="14.25">
      <c r="B425" s="276" t="s">
        <v>2330</v>
      </c>
      <c r="D425" s="92" t="s">
        <v>1566</v>
      </c>
      <c r="E425" s="126">
        <v>1404</v>
      </c>
      <c r="F425" s="92">
        <v>1</v>
      </c>
      <c r="G425" s="92">
        <v>4</v>
      </c>
      <c r="H425" s="93">
        <v>0.70909090909090911</v>
      </c>
      <c r="J425" s="1" t="s">
        <v>2331</v>
      </c>
      <c r="K425" s="1">
        <v>35</v>
      </c>
      <c r="M425" s="1" t="s">
        <v>2323</v>
      </c>
    </row>
    <row r="426" spans="1:15" ht="14.25">
      <c r="D426" s="92" t="s">
        <v>1616</v>
      </c>
      <c r="E426" s="126">
        <v>180</v>
      </c>
      <c r="F426" s="92">
        <v>1</v>
      </c>
      <c r="G426" s="92">
        <v>4</v>
      </c>
      <c r="H426" s="93">
        <v>0.34866828087167068</v>
      </c>
      <c r="J426" s="1" t="s">
        <v>2321</v>
      </c>
      <c r="K426" s="1">
        <v>38</v>
      </c>
    </row>
    <row r="427" spans="1:15" ht="14.25">
      <c r="D427" s="124" t="s">
        <v>555</v>
      </c>
      <c r="E427" s="124"/>
      <c r="F427" s="124"/>
      <c r="G427" s="124"/>
      <c r="H427" s="125">
        <v>9.5303984151441767</v>
      </c>
    </row>
    <row r="428" spans="1:15" ht="14.25">
      <c r="D428" s="92" t="s">
        <v>1569</v>
      </c>
      <c r="E428" s="92"/>
      <c r="F428" s="92">
        <v>2</v>
      </c>
      <c r="G428" s="92">
        <v>8</v>
      </c>
      <c r="H428" s="93">
        <v>16</v>
      </c>
    </row>
    <row r="429" spans="1:15" ht="15">
      <c r="D429" s="94" t="s">
        <v>1571</v>
      </c>
      <c r="E429" s="94"/>
      <c r="F429" s="94"/>
      <c r="G429" s="94"/>
      <c r="H429" s="95">
        <v>25.530398415144177</v>
      </c>
    </row>
    <row r="430" spans="1:15" ht="15">
      <c r="D430" s="96" t="s">
        <v>1572</v>
      </c>
      <c r="E430" s="96"/>
      <c r="F430" s="96"/>
      <c r="G430" s="96"/>
      <c r="H430" s="97">
        <v>33.189517939687434</v>
      </c>
    </row>
    <row r="432" spans="1:15" ht="14.25">
      <c r="E432" s="92"/>
      <c r="F432" s="92"/>
      <c r="G432" s="92"/>
      <c r="H432" s="93"/>
      <c r="I432" s="92"/>
      <c r="J432" s="92"/>
      <c r="K432" s="92"/>
      <c r="L432" s="92"/>
      <c r="M432" s="92"/>
      <c r="N432" s="92"/>
      <c r="O432" s="92"/>
    </row>
    <row r="433" spans="1:17" ht="14.25">
      <c r="D433" s="92" t="s">
        <v>1556</v>
      </c>
      <c r="E433" s="92">
        <v>918.57142857142856</v>
      </c>
      <c r="F433" s="92">
        <v>1</v>
      </c>
      <c r="G433" s="92">
        <v>6</v>
      </c>
      <c r="H433" s="93">
        <v>3.6451247165532878</v>
      </c>
      <c r="I433" s="92"/>
      <c r="J433" s="92"/>
      <c r="K433" s="92"/>
      <c r="L433" s="92"/>
      <c r="M433" s="92"/>
      <c r="N433" s="92"/>
      <c r="O433" s="92"/>
    </row>
    <row r="434" spans="1:17" ht="15">
      <c r="A434" s="1" t="s">
        <v>2327</v>
      </c>
      <c r="B434" s="17" t="s">
        <v>2324</v>
      </c>
      <c r="C434" s="98" t="s">
        <v>2326</v>
      </c>
      <c r="D434" s="92" t="s">
        <v>1557</v>
      </c>
      <c r="E434" s="92">
        <v>918.57142857142856</v>
      </c>
      <c r="F434" s="92">
        <v>1</v>
      </c>
      <c r="G434" s="92">
        <v>6</v>
      </c>
      <c r="H434" s="93">
        <v>3.6451247165532878</v>
      </c>
      <c r="I434" s="92"/>
      <c r="J434" s="92"/>
      <c r="K434" s="92" t="s">
        <v>1595</v>
      </c>
      <c r="L434" s="92" t="s">
        <v>1594</v>
      </c>
      <c r="M434" s="92" t="s">
        <v>1646</v>
      </c>
      <c r="N434" s="92" t="s">
        <v>1643</v>
      </c>
      <c r="O434" s="92" t="s">
        <v>1648</v>
      </c>
    </row>
    <row r="435" spans="1:17" ht="14.25">
      <c r="B435" s="17" t="s">
        <v>2325</v>
      </c>
      <c r="D435" s="92" t="s">
        <v>1559</v>
      </c>
      <c r="E435" s="92">
        <v>135</v>
      </c>
      <c r="F435" s="92">
        <v>2</v>
      </c>
      <c r="G435" s="92">
        <v>6</v>
      </c>
      <c r="H435" s="93">
        <v>1.0714285714285714</v>
      </c>
      <c r="I435" s="92" t="s">
        <v>1649</v>
      </c>
      <c r="J435" s="92"/>
      <c r="K435" s="188">
        <v>15</v>
      </c>
      <c r="L435" s="188">
        <v>15</v>
      </c>
      <c r="M435" s="188">
        <v>10</v>
      </c>
      <c r="N435" s="188">
        <v>36</v>
      </c>
      <c r="O435" s="241">
        <v>378.57142857142856</v>
      </c>
    </row>
    <row r="436" spans="1:17" ht="14.25">
      <c r="D436" s="92" t="s">
        <v>1566</v>
      </c>
      <c r="E436" s="92">
        <v>1053.5714285714284</v>
      </c>
      <c r="F436" s="92">
        <v>1</v>
      </c>
      <c r="G436" s="92">
        <v>4</v>
      </c>
      <c r="H436" s="93">
        <v>5.0170068027210881</v>
      </c>
      <c r="I436" s="92"/>
      <c r="J436" s="92"/>
      <c r="K436" s="92"/>
      <c r="L436" s="92"/>
      <c r="M436" s="92"/>
      <c r="N436" s="92"/>
      <c r="O436" s="92"/>
    </row>
    <row r="437" spans="1:17" ht="14.25">
      <c r="D437" s="92" t="s">
        <v>1616</v>
      </c>
      <c r="E437" s="92">
        <v>146.25</v>
      </c>
      <c r="F437" s="92">
        <v>1</v>
      </c>
      <c r="G437" s="92">
        <v>6</v>
      </c>
      <c r="H437" s="93">
        <v>1.0446428571428572</v>
      </c>
      <c r="I437" s="176" t="s">
        <v>1669</v>
      </c>
      <c r="J437" s="92"/>
      <c r="K437" s="92" t="s">
        <v>2317</v>
      </c>
      <c r="L437" s="92">
        <v>146.25</v>
      </c>
      <c r="M437" s="92"/>
      <c r="N437" s="92"/>
      <c r="O437" s="92"/>
    </row>
    <row r="438" spans="1:17" ht="14.25">
      <c r="D438" s="124" t="s">
        <v>555</v>
      </c>
      <c r="E438" s="124"/>
      <c r="F438" s="124"/>
      <c r="G438" s="124"/>
      <c r="H438" s="125">
        <v>14.423327664399093</v>
      </c>
      <c r="I438" s="177">
        <v>21.238485687032906</v>
      </c>
      <c r="J438" s="92"/>
      <c r="K438" s="92"/>
      <c r="L438" s="92"/>
      <c r="M438" s="92"/>
      <c r="N438" s="92"/>
      <c r="O438" s="92"/>
    </row>
    <row r="439" spans="1:17" ht="14.25">
      <c r="D439" s="92" t="s">
        <v>1569</v>
      </c>
      <c r="E439" s="92"/>
      <c r="F439" s="92">
        <v>2</v>
      </c>
      <c r="G439" s="92">
        <v>8</v>
      </c>
      <c r="H439" s="93">
        <v>16</v>
      </c>
      <c r="I439" s="92"/>
      <c r="J439" s="92"/>
      <c r="K439" s="92" t="s">
        <v>2318</v>
      </c>
      <c r="L439" s="92">
        <v>35</v>
      </c>
      <c r="M439" s="92"/>
      <c r="N439" s="92"/>
      <c r="O439" s="92"/>
    </row>
    <row r="440" spans="1:17" ht="15">
      <c r="D440" s="94" t="s">
        <v>1571</v>
      </c>
      <c r="E440" s="94"/>
      <c r="F440" s="94"/>
      <c r="G440" s="94"/>
      <c r="H440" s="95">
        <v>30.423327664399093</v>
      </c>
      <c r="I440" s="92">
        <v>35</v>
      </c>
      <c r="J440" s="92"/>
      <c r="K440" s="92" t="s">
        <v>2328</v>
      </c>
      <c r="L440" s="92">
        <v>40</v>
      </c>
      <c r="M440" s="92"/>
      <c r="N440" s="92"/>
      <c r="O440" s="92"/>
    </row>
    <row r="441" spans="1:17" ht="15">
      <c r="D441" s="96" t="s">
        <v>1572</v>
      </c>
      <c r="E441" s="96"/>
      <c r="F441" s="96"/>
      <c r="G441" s="96"/>
      <c r="H441" s="97">
        <v>39.550325963718819</v>
      </c>
      <c r="I441" s="92"/>
      <c r="J441" s="92"/>
      <c r="K441" s="92"/>
      <c r="L441" s="92"/>
      <c r="M441" s="92"/>
      <c r="N441" s="92"/>
      <c r="O441" s="92"/>
    </row>
    <row r="444" spans="1:17" ht="25.5">
      <c r="A444" s="1" t="s">
        <v>2335</v>
      </c>
      <c r="B444" s="17" t="s">
        <v>2336</v>
      </c>
      <c r="C444" s="17" t="s">
        <v>1778</v>
      </c>
      <c r="D444" s="92" t="s">
        <v>1556</v>
      </c>
      <c r="E444" s="92">
        <v>918.57142857142856</v>
      </c>
      <c r="F444" s="92">
        <v>1</v>
      </c>
      <c r="G444" s="92">
        <v>6</v>
      </c>
      <c r="H444" s="93">
        <v>3.6451247165532878</v>
      </c>
      <c r="I444" s="92"/>
      <c r="J444" s="92"/>
      <c r="K444" s="92"/>
      <c r="L444" s="92"/>
      <c r="M444" s="92"/>
      <c r="N444" s="92"/>
      <c r="O444" s="92"/>
      <c r="P444" s="92"/>
      <c r="Q444" s="92"/>
    </row>
    <row r="445" spans="1:17" ht="14.25">
      <c r="D445" s="92" t="s">
        <v>1557</v>
      </c>
      <c r="E445" s="92">
        <v>918.57142857142856</v>
      </c>
      <c r="F445" s="92">
        <v>1</v>
      </c>
      <c r="G445" s="92">
        <v>6</v>
      </c>
      <c r="H445" s="93">
        <v>3.6451247165532878</v>
      </c>
      <c r="I445" s="92"/>
      <c r="J445" s="92"/>
      <c r="K445" s="92" t="s">
        <v>1595</v>
      </c>
      <c r="L445" s="92" t="s">
        <v>1594</v>
      </c>
      <c r="M445" s="92" t="s">
        <v>1646</v>
      </c>
      <c r="N445" s="92" t="s">
        <v>1643</v>
      </c>
      <c r="O445" s="92" t="s">
        <v>1648</v>
      </c>
      <c r="P445" s="92"/>
      <c r="Q445" s="188" t="s">
        <v>2332</v>
      </c>
    </row>
    <row r="446" spans="1:17" ht="14.25">
      <c r="D446" s="92" t="s">
        <v>1559</v>
      </c>
      <c r="E446" s="92">
        <v>135</v>
      </c>
      <c r="F446" s="92">
        <v>2</v>
      </c>
      <c r="G446" s="92">
        <v>6</v>
      </c>
      <c r="H446" s="93">
        <v>1.0714285714285714</v>
      </c>
      <c r="I446" s="92" t="s">
        <v>1649</v>
      </c>
      <c r="J446" s="92"/>
      <c r="K446" s="188">
        <v>15</v>
      </c>
      <c r="L446" s="188">
        <v>15</v>
      </c>
      <c r="M446" s="188">
        <v>10</v>
      </c>
      <c r="N446" s="188">
        <v>36</v>
      </c>
      <c r="O446" s="241">
        <v>378.57142857142856</v>
      </c>
      <c r="P446" s="92"/>
      <c r="Q446" s="92"/>
    </row>
    <row r="447" spans="1:17" ht="14.25">
      <c r="D447" s="92" t="s">
        <v>1566</v>
      </c>
      <c r="E447" s="92">
        <v>1053.5714285714284</v>
      </c>
      <c r="F447" s="92">
        <v>1</v>
      </c>
      <c r="G447" s="92">
        <v>4</v>
      </c>
      <c r="H447" s="93">
        <v>5.0170068027210881</v>
      </c>
      <c r="I447" s="92"/>
      <c r="J447" s="92"/>
      <c r="K447" s="92"/>
      <c r="L447" s="92"/>
      <c r="M447" s="92"/>
      <c r="N447" s="92"/>
      <c r="O447" s="92"/>
      <c r="P447" s="92"/>
      <c r="Q447" s="92"/>
    </row>
    <row r="448" spans="1:17" ht="14.25">
      <c r="D448" s="92" t="s">
        <v>1616</v>
      </c>
      <c r="E448" s="92">
        <v>146.25</v>
      </c>
      <c r="F448" s="92">
        <v>1</v>
      </c>
      <c r="G448" s="92">
        <v>6</v>
      </c>
      <c r="H448" s="93">
        <v>1.0446428571428572</v>
      </c>
      <c r="I448" s="176" t="s">
        <v>1669</v>
      </c>
      <c r="J448" s="92"/>
      <c r="K448" s="92" t="s">
        <v>2317</v>
      </c>
      <c r="L448" s="92">
        <v>146.25</v>
      </c>
      <c r="M448" s="92"/>
      <c r="N448" s="92"/>
      <c r="O448" s="92"/>
      <c r="P448" s="92"/>
      <c r="Q448" s="92"/>
    </row>
    <row r="449" spans="1:17" ht="14.25">
      <c r="D449" s="124" t="s">
        <v>555</v>
      </c>
      <c r="E449" s="124"/>
      <c r="F449" s="124"/>
      <c r="G449" s="124"/>
      <c r="H449" s="125">
        <v>14.423327664399093</v>
      </c>
      <c r="I449" s="177">
        <v>43.269982993197274</v>
      </c>
      <c r="J449" s="92"/>
      <c r="K449" s="92"/>
      <c r="L449" s="92"/>
      <c r="M449" s="92"/>
      <c r="N449" s="92"/>
      <c r="O449" s="92"/>
      <c r="P449" s="92"/>
      <c r="Q449" s="92"/>
    </row>
    <row r="450" spans="1:17" ht="14.25">
      <c r="D450" s="92" t="s">
        <v>1569</v>
      </c>
      <c r="E450" s="92"/>
      <c r="F450" s="92">
        <v>2</v>
      </c>
      <c r="G450" s="92">
        <v>8</v>
      </c>
      <c r="H450" s="93">
        <v>16</v>
      </c>
      <c r="I450" s="92"/>
      <c r="J450" s="92"/>
      <c r="K450" s="92"/>
      <c r="L450" s="92"/>
      <c r="M450" s="92"/>
      <c r="N450" s="92"/>
      <c r="O450" s="92"/>
      <c r="P450" s="92"/>
      <c r="Q450" s="92"/>
    </row>
    <row r="451" spans="1:17" ht="15">
      <c r="D451" s="94" t="s">
        <v>1571</v>
      </c>
      <c r="E451" s="94"/>
      <c r="F451" s="94"/>
      <c r="G451" s="94"/>
      <c r="H451" s="95">
        <v>30.423327664399093</v>
      </c>
      <c r="I451" s="92">
        <v>35</v>
      </c>
      <c r="J451" s="92"/>
      <c r="K451" s="92"/>
      <c r="L451" s="92"/>
      <c r="M451" s="92"/>
      <c r="N451" s="92"/>
      <c r="O451" s="92"/>
      <c r="P451" s="92"/>
      <c r="Q451" s="92"/>
    </row>
    <row r="452" spans="1:17" ht="15">
      <c r="D452" s="96" t="s">
        <v>1572</v>
      </c>
      <c r="E452" s="96"/>
      <c r="F452" s="96"/>
      <c r="G452" s="96"/>
      <c r="H452" s="97">
        <v>39.550325963718819</v>
      </c>
      <c r="I452" s="92"/>
      <c r="J452" s="92"/>
      <c r="K452" s="92"/>
      <c r="L452" s="92"/>
      <c r="M452" s="92"/>
      <c r="N452" s="92"/>
      <c r="O452" s="92"/>
      <c r="P452" s="92"/>
      <c r="Q452" s="92"/>
    </row>
    <row r="456" spans="1:17" ht="25.5">
      <c r="A456" s="236" t="s">
        <v>2350</v>
      </c>
      <c r="B456" s="236" t="s">
        <v>1990</v>
      </c>
      <c r="C456" s="236" t="s">
        <v>2351</v>
      </c>
      <c r="D456" s="92" t="s">
        <v>1556</v>
      </c>
      <c r="E456" s="126">
        <v>1835</v>
      </c>
      <c r="F456" s="92">
        <v>1</v>
      </c>
      <c r="G456" s="92">
        <v>10</v>
      </c>
      <c r="H456" s="93">
        <v>12.136243386243386</v>
      </c>
      <c r="I456" s="92"/>
      <c r="J456" s="92"/>
      <c r="K456" s="92" t="s">
        <v>1595</v>
      </c>
      <c r="L456" s="92" t="s">
        <v>1594</v>
      </c>
      <c r="M456" s="92" t="s">
        <v>1973</v>
      </c>
      <c r="N456" s="92"/>
      <c r="O456" s="92" t="s">
        <v>2356</v>
      </c>
      <c r="P456" s="92"/>
    </row>
    <row r="457" spans="1:17" ht="14.25">
      <c r="D457" s="92" t="s">
        <v>1557</v>
      </c>
      <c r="E457" s="126">
        <v>180</v>
      </c>
      <c r="F457" s="92">
        <v>1</v>
      </c>
      <c r="G457" s="92">
        <v>6</v>
      </c>
      <c r="H457" s="93">
        <v>0.71428571428571419</v>
      </c>
      <c r="I457" s="92"/>
      <c r="J457" s="92" t="s">
        <v>2071</v>
      </c>
      <c r="K457" s="92">
        <v>29</v>
      </c>
      <c r="L457" s="126">
        <v>36.571428571428569</v>
      </c>
      <c r="M457" s="126">
        <v>1060.5714285714284</v>
      </c>
      <c r="N457" s="92" t="s">
        <v>2275</v>
      </c>
      <c r="O457" s="241">
        <v>36.571428571428569</v>
      </c>
      <c r="P457" s="92"/>
    </row>
    <row r="458" spans="1:17" ht="14.25">
      <c r="D458" s="92" t="s">
        <v>2308</v>
      </c>
      <c r="E458" s="92"/>
      <c r="F458" s="92"/>
      <c r="G458" s="92"/>
      <c r="H458" s="93">
        <v>0.5</v>
      </c>
      <c r="I458" s="92"/>
      <c r="J458" s="92" t="s">
        <v>2270</v>
      </c>
      <c r="K458" s="92"/>
      <c r="L458" s="92">
        <v>11</v>
      </c>
      <c r="M458" s="126">
        <v>95.071428571428569</v>
      </c>
      <c r="N458" s="92" t="s">
        <v>2276</v>
      </c>
      <c r="O458" s="92">
        <v>11</v>
      </c>
      <c r="P458" s="92"/>
    </row>
    <row r="459" spans="1:17" ht="14.25">
      <c r="D459" s="92" t="s">
        <v>2371</v>
      </c>
      <c r="E459" s="92"/>
      <c r="F459" s="92" t="s">
        <v>2370</v>
      </c>
      <c r="G459" s="92">
        <v>3</v>
      </c>
      <c r="H459" s="93">
        <v>3</v>
      </c>
      <c r="I459" s="92" t="s">
        <v>2352</v>
      </c>
      <c r="J459" s="92" t="s">
        <v>2357</v>
      </c>
      <c r="K459" s="92"/>
      <c r="L459" s="92">
        <v>11</v>
      </c>
      <c r="M459" s="126">
        <v>95.071428571428569</v>
      </c>
      <c r="N459" s="92" t="s">
        <v>1609</v>
      </c>
      <c r="O459" s="92">
        <v>30</v>
      </c>
      <c r="P459" s="92"/>
    </row>
    <row r="460" spans="1:17" ht="14.25">
      <c r="D460" s="92"/>
      <c r="E460" s="92"/>
      <c r="F460" s="92"/>
      <c r="G460" s="92"/>
      <c r="H460" s="93"/>
      <c r="I460" s="92" t="s">
        <v>2353</v>
      </c>
      <c r="J460" s="92" t="s">
        <v>2284</v>
      </c>
      <c r="K460" s="92">
        <v>44</v>
      </c>
      <c r="L460" s="92">
        <v>4</v>
      </c>
      <c r="M460" s="92">
        <v>176</v>
      </c>
      <c r="N460" s="92" t="s">
        <v>1558</v>
      </c>
      <c r="O460" s="92">
        <v>32</v>
      </c>
      <c r="P460" s="92"/>
    </row>
    <row r="461" spans="1:17" ht="14.25">
      <c r="D461" s="92"/>
      <c r="E461" s="92"/>
      <c r="F461" s="92"/>
      <c r="G461" s="92"/>
      <c r="H461" s="93"/>
      <c r="I461" s="92"/>
      <c r="J461" s="92" t="s">
        <v>2355</v>
      </c>
      <c r="K461" s="92">
        <v>11</v>
      </c>
      <c r="L461" s="126">
        <v>36.571428571428569</v>
      </c>
      <c r="M461" s="126">
        <v>402.28571428571428</v>
      </c>
      <c r="N461" s="92" t="s">
        <v>2355</v>
      </c>
      <c r="O461" s="92"/>
      <c r="P461" s="92"/>
    </row>
    <row r="462" spans="1:17" ht="14.25">
      <c r="D462" s="92"/>
      <c r="E462" s="92"/>
      <c r="F462" s="92"/>
      <c r="G462" s="92"/>
      <c r="H462" s="93"/>
      <c r="I462" s="92"/>
      <c r="J462" s="92" t="s">
        <v>1559</v>
      </c>
      <c r="K462" s="92">
        <v>18</v>
      </c>
      <c r="L462" s="92">
        <v>10</v>
      </c>
      <c r="M462" s="126">
        <v>180</v>
      </c>
      <c r="N462" s="92"/>
      <c r="O462" s="92"/>
      <c r="P462" s="92"/>
    </row>
    <row r="463" spans="1:17" ht="14.25">
      <c r="D463" s="124" t="s">
        <v>555</v>
      </c>
      <c r="E463" s="124"/>
      <c r="F463" s="124"/>
      <c r="G463" s="124"/>
      <c r="H463" s="125">
        <v>16.350529100529101</v>
      </c>
      <c r="I463" s="92"/>
      <c r="J463" s="92" t="s">
        <v>2358</v>
      </c>
      <c r="K463" s="92">
        <v>9</v>
      </c>
      <c r="L463" s="92"/>
      <c r="M463" s="92"/>
      <c r="N463" s="92"/>
      <c r="O463" s="92"/>
      <c r="P463" s="92"/>
    </row>
    <row r="464" spans="1:17" ht="14.25">
      <c r="D464" s="92" t="s">
        <v>1569</v>
      </c>
      <c r="E464" s="92"/>
      <c r="F464" s="92">
        <v>1.5</v>
      </c>
      <c r="G464" s="92">
        <v>8</v>
      </c>
      <c r="H464" s="93">
        <v>12</v>
      </c>
      <c r="I464" s="92"/>
      <c r="J464" s="92" t="s">
        <v>2359</v>
      </c>
      <c r="K464" s="92">
        <v>28</v>
      </c>
      <c r="L464" s="92"/>
      <c r="M464" s="92"/>
      <c r="N464" s="92"/>
      <c r="O464" s="92"/>
      <c r="P464" s="92"/>
    </row>
    <row r="465" spans="1:16" ht="15">
      <c r="D465" s="94" t="s">
        <v>1571</v>
      </c>
      <c r="E465" s="94"/>
      <c r="F465" s="94"/>
      <c r="G465" s="94"/>
      <c r="H465" s="95">
        <v>28.350529100529101</v>
      </c>
      <c r="I465" s="92"/>
      <c r="J465" s="92" t="s">
        <v>2369</v>
      </c>
      <c r="K465" s="92">
        <v>3</v>
      </c>
      <c r="L465" s="92">
        <v>2</v>
      </c>
      <c r="M465" s="126">
        <v>6</v>
      </c>
      <c r="N465" s="92"/>
      <c r="O465" s="92"/>
      <c r="P465" s="92"/>
    </row>
    <row r="466" spans="1:16" ht="15">
      <c r="D466" s="96" t="s">
        <v>1572</v>
      </c>
      <c r="E466" s="96"/>
      <c r="F466" s="96"/>
      <c r="G466" s="96"/>
      <c r="H466" s="97">
        <v>36.855687830687835</v>
      </c>
      <c r="I466" s="92"/>
      <c r="J466" s="92"/>
      <c r="K466" s="92"/>
      <c r="L466" s="92"/>
      <c r="M466" s="126">
        <v>2015</v>
      </c>
      <c r="N466" s="92"/>
      <c r="O466" s="92"/>
      <c r="P466" s="92"/>
    </row>
    <row r="467" spans="1:16" ht="14.25">
      <c r="P467" s="92"/>
    </row>
    <row r="469" spans="1:16" ht="25.5">
      <c r="A469" s="203" t="s">
        <v>2372</v>
      </c>
      <c r="B469" s="203" t="s">
        <v>2373</v>
      </c>
      <c r="C469" s="203" t="s">
        <v>2374</v>
      </c>
      <c r="D469" s="92" t="s">
        <v>1556</v>
      </c>
      <c r="E469" s="126">
        <v>1329.1428571428571</v>
      </c>
      <c r="F469" s="92">
        <v>1</v>
      </c>
      <c r="G469" s="92">
        <v>10</v>
      </c>
      <c r="H469" s="93">
        <v>8.7906273620559325</v>
      </c>
      <c r="I469" s="92"/>
      <c r="J469" s="92"/>
      <c r="K469" s="92" t="s">
        <v>1595</v>
      </c>
      <c r="L469" s="92" t="s">
        <v>1594</v>
      </c>
      <c r="M469" s="92" t="s">
        <v>1973</v>
      </c>
      <c r="N469" s="92"/>
      <c r="O469" s="92" t="s">
        <v>2376</v>
      </c>
    </row>
    <row r="470" spans="1:16" ht="14.25">
      <c r="D470" s="92" t="s">
        <v>1557</v>
      </c>
      <c r="E470" s="126">
        <v>1245.1428571428571</v>
      </c>
      <c r="F470" s="92">
        <v>1</v>
      </c>
      <c r="G470" s="92">
        <v>6</v>
      </c>
      <c r="H470" s="93">
        <v>4.9410430839002268</v>
      </c>
      <c r="I470" s="92"/>
      <c r="J470" s="92" t="s">
        <v>2071</v>
      </c>
      <c r="K470" s="92">
        <v>28</v>
      </c>
      <c r="L470" s="126">
        <v>32.428571428571431</v>
      </c>
      <c r="M470" s="126">
        <v>908</v>
      </c>
      <c r="N470" s="92" t="s">
        <v>2275</v>
      </c>
      <c r="O470" s="265">
        <v>32.428571428571431</v>
      </c>
    </row>
    <row r="471" spans="1:16" ht="14.25">
      <c r="D471" s="92" t="s">
        <v>2371</v>
      </c>
      <c r="E471" s="92"/>
      <c r="F471" s="92" t="s">
        <v>2370</v>
      </c>
      <c r="G471" s="92">
        <v>3</v>
      </c>
      <c r="H471" s="93">
        <v>3</v>
      </c>
      <c r="I471" s="92"/>
      <c r="J471" s="92" t="s">
        <v>2377</v>
      </c>
      <c r="K471" s="92"/>
      <c r="L471" s="92">
        <v>10</v>
      </c>
      <c r="M471" s="126">
        <v>157.14285714285714</v>
      </c>
      <c r="N471" s="92" t="s">
        <v>2276</v>
      </c>
      <c r="O471" s="92">
        <v>10</v>
      </c>
    </row>
    <row r="472" spans="1:16" ht="14.25">
      <c r="D472" s="92"/>
      <c r="E472" s="92"/>
      <c r="F472" s="92"/>
      <c r="G472" s="92"/>
      <c r="H472" s="93"/>
      <c r="I472" s="92" t="s">
        <v>2352</v>
      </c>
      <c r="J472" s="92" t="s">
        <v>2284</v>
      </c>
      <c r="K472" s="92">
        <v>32</v>
      </c>
      <c r="L472" s="92">
        <v>6</v>
      </c>
      <c r="M472" s="92">
        <v>192</v>
      </c>
      <c r="N472" s="92" t="s">
        <v>1609</v>
      </c>
      <c r="O472" s="92">
        <v>28</v>
      </c>
    </row>
    <row r="473" spans="1:16" ht="14.25">
      <c r="D473" s="92"/>
      <c r="E473" s="92"/>
      <c r="F473" s="92"/>
      <c r="G473" s="92"/>
      <c r="H473" s="93"/>
      <c r="I473" s="92" t="s">
        <v>2353</v>
      </c>
      <c r="J473" s="92" t="s">
        <v>1559</v>
      </c>
      <c r="K473" s="92">
        <v>18</v>
      </c>
      <c r="L473" s="92">
        <v>10</v>
      </c>
      <c r="M473" s="126">
        <v>180</v>
      </c>
      <c r="N473" s="92" t="s">
        <v>1558</v>
      </c>
      <c r="O473" s="92">
        <v>32</v>
      </c>
    </row>
    <row r="474" spans="1:16" ht="14.25">
      <c r="D474" s="92"/>
      <c r="E474" s="92"/>
      <c r="F474" s="92"/>
      <c r="G474" s="92"/>
      <c r="H474" s="93"/>
      <c r="I474" s="92"/>
      <c r="J474" s="92" t="s">
        <v>2358</v>
      </c>
      <c r="K474" s="92">
        <v>9</v>
      </c>
      <c r="L474" s="92"/>
      <c r="M474" s="92"/>
      <c r="N474" s="92"/>
      <c r="O474" s="92"/>
    </row>
    <row r="475" spans="1:16" ht="14.25">
      <c r="D475" s="92"/>
      <c r="E475" s="92"/>
      <c r="F475" s="92"/>
      <c r="G475" s="92"/>
      <c r="H475" s="93"/>
      <c r="I475" s="92"/>
      <c r="J475" s="92" t="s">
        <v>2359</v>
      </c>
      <c r="K475" s="92">
        <v>27</v>
      </c>
      <c r="L475" s="92"/>
      <c r="M475" s="92"/>
      <c r="N475" s="92"/>
      <c r="O475" s="92"/>
    </row>
    <row r="476" spans="1:16" ht="14.25">
      <c r="D476" s="124" t="s">
        <v>555</v>
      </c>
      <c r="E476" s="124"/>
      <c r="F476" s="124"/>
      <c r="G476" s="124"/>
      <c r="H476" s="125">
        <v>16.731670445956158</v>
      </c>
      <c r="I476" s="92"/>
      <c r="J476" s="92" t="s">
        <v>2369</v>
      </c>
      <c r="K476" s="92">
        <v>3</v>
      </c>
      <c r="L476" s="92">
        <v>2</v>
      </c>
      <c r="M476" s="126">
        <v>6</v>
      </c>
      <c r="N476" s="92"/>
      <c r="O476" s="92"/>
    </row>
    <row r="477" spans="1:16" ht="14.25">
      <c r="D477" s="92" t="s">
        <v>1569</v>
      </c>
      <c r="E477" s="92"/>
      <c r="F477" s="92">
        <v>1.5</v>
      </c>
      <c r="G477" s="92">
        <v>8</v>
      </c>
      <c r="H477" s="93">
        <v>12</v>
      </c>
      <c r="I477" s="92"/>
      <c r="J477" s="92" t="s">
        <v>2378</v>
      </c>
      <c r="K477" s="92">
        <v>11</v>
      </c>
      <c r="L477" s="92">
        <v>6</v>
      </c>
      <c r="M477" s="126">
        <v>66</v>
      </c>
      <c r="N477" s="92"/>
      <c r="O477" s="92"/>
    </row>
    <row r="478" spans="1:16" ht="15">
      <c r="D478" s="94" t="s">
        <v>1571</v>
      </c>
      <c r="E478" s="94"/>
      <c r="F478" s="94"/>
      <c r="G478" s="94"/>
      <c r="H478" s="95">
        <v>28.731670445956158</v>
      </c>
      <c r="I478" s="92"/>
      <c r="J478" s="92"/>
      <c r="K478" s="92"/>
      <c r="L478" s="92"/>
      <c r="M478" s="92"/>
      <c r="N478" s="92"/>
      <c r="O478" s="92"/>
    </row>
    <row r="479" spans="1:16" ht="15">
      <c r="D479" s="96" t="s">
        <v>1572</v>
      </c>
      <c r="E479" s="96"/>
      <c r="F479" s="96"/>
      <c r="G479" s="96"/>
      <c r="H479" s="97">
        <v>37.35117157974301</v>
      </c>
      <c r="I479" s="92"/>
      <c r="J479" s="92"/>
      <c r="K479" s="92"/>
      <c r="L479" s="92"/>
      <c r="M479" s="92"/>
      <c r="N479" s="92"/>
      <c r="O479" s="92"/>
    </row>
    <row r="483" spans="1:15" ht="14.25">
      <c r="A483" s="203" t="s">
        <v>2379</v>
      </c>
      <c r="B483" s="203" t="s">
        <v>2391</v>
      </c>
      <c r="C483" s="203" t="s">
        <v>2380</v>
      </c>
      <c r="D483" s="92" t="s">
        <v>1556</v>
      </c>
      <c r="E483" s="92">
        <v>912</v>
      </c>
      <c r="F483" s="92">
        <v>1</v>
      </c>
      <c r="G483" s="92">
        <v>8</v>
      </c>
      <c r="H483" s="93">
        <v>4.8253968253968251</v>
      </c>
      <c r="I483" s="92"/>
      <c r="J483" s="92"/>
      <c r="K483" s="92"/>
      <c r="L483" s="92"/>
      <c r="M483" s="92"/>
      <c r="N483" s="92"/>
      <c r="O483" s="92"/>
    </row>
    <row r="484" spans="1:15" ht="14.25">
      <c r="D484" s="92" t="s">
        <v>1557</v>
      </c>
      <c r="E484" s="92">
        <v>912</v>
      </c>
      <c r="F484" s="92">
        <v>1</v>
      </c>
      <c r="G484" s="92">
        <v>8</v>
      </c>
      <c r="H484" s="93">
        <v>4.8253968253968251</v>
      </c>
      <c r="I484" s="92"/>
      <c r="J484" s="92"/>
      <c r="K484" s="92" t="s">
        <v>1595</v>
      </c>
      <c r="L484" s="92" t="s">
        <v>1594</v>
      </c>
      <c r="M484" s="92" t="s">
        <v>1646</v>
      </c>
      <c r="N484" s="92" t="s">
        <v>1643</v>
      </c>
      <c r="O484" s="92" t="s">
        <v>1648</v>
      </c>
    </row>
    <row r="485" spans="1:15" ht="14.25">
      <c r="D485" s="92" t="s">
        <v>1559</v>
      </c>
      <c r="E485" s="92">
        <v>153</v>
      </c>
      <c r="F485" s="92">
        <v>2</v>
      </c>
      <c r="G485" s="92">
        <v>8</v>
      </c>
      <c r="H485" s="93">
        <v>1.6190476190476191</v>
      </c>
      <c r="I485" s="92"/>
      <c r="J485" s="92"/>
      <c r="K485" s="188">
        <v>15</v>
      </c>
      <c r="L485" s="188">
        <v>17</v>
      </c>
      <c r="M485" s="188">
        <v>10</v>
      </c>
      <c r="N485" s="188">
        <v>36</v>
      </c>
      <c r="O485" s="241">
        <v>300</v>
      </c>
    </row>
    <row r="486" spans="1:15" ht="14.25">
      <c r="D486" s="92" t="s">
        <v>1566</v>
      </c>
      <c r="E486" s="92">
        <v>1065</v>
      </c>
      <c r="F486" s="92">
        <v>1</v>
      </c>
      <c r="G486" s="92">
        <v>4</v>
      </c>
      <c r="H486" s="93">
        <v>5.0714285714285712</v>
      </c>
      <c r="I486" s="92"/>
      <c r="J486" s="92"/>
      <c r="K486" s="92"/>
      <c r="L486" s="92"/>
      <c r="M486" s="92"/>
      <c r="N486" s="92"/>
      <c r="O486" s="92"/>
    </row>
    <row r="487" spans="1:15" ht="14.25">
      <c r="D487" s="92" t="s">
        <v>1616</v>
      </c>
      <c r="E487" s="92">
        <v>159.75</v>
      </c>
      <c r="F487" s="92">
        <v>1</v>
      </c>
      <c r="G487" s="92">
        <v>8</v>
      </c>
      <c r="H487" s="93">
        <v>1.5214285714285714</v>
      </c>
      <c r="I487" s="176" t="s">
        <v>1669</v>
      </c>
      <c r="J487" s="92"/>
      <c r="K487" s="92" t="s">
        <v>2317</v>
      </c>
      <c r="L487" s="92">
        <v>159.75</v>
      </c>
      <c r="M487" s="92"/>
      <c r="N487" s="92"/>
      <c r="O487" s="92"/>
    </row>
    <row r="488" spans="1:15" ht="14.25">
      <c r="D488" s="124" t="s">
        <v>555</v>
      </c>
      <c r="E488" s="124"/>
      <c r="F488" s="124"/>
      <c r="G488" s="124"/>
      <c r="H488" s="125">
        <v>17.862698412698414</v>
      </c>
      <c r="I488" s="177">
        <v>53.588095238095242</v>
      </c>
      <c r="J488" s="92"/>
      <c r="K488" s="92"/>
      <c r="L488" s="92"/>
      <c r="M488" s="92"/>
      <c r="N488" s="92"/>
      <c r="O488" s="92"/>
    </row>
    <row r="489" spans="1:15" ht="14.25">
      <c r="D489" s="92" t="s">
        <v>1569</v>
      </c>
      <c r="E489" s="92"/>
      <c r="F489" s="92">
        <v>2</v>
      </c>
      <c r="G489" s="92">
        <v>8</v>
      </c>
      <c r="H489" s="93">
        <v>16</v>
      </c>
      <c r="I489" s="92"/>
      <c r="J489" s="92"/>
      <c r="K489" s="92"/>
      <c r="L489" s="92"/>
      <c r="M489" s="92"/>
      <c r="N489" s="92"/>
      <c r="O489" s="92"/>
    </row>
    <row r="490" spans="1:15" ht="15">
      <c r="D490" s="94" t="s">
        <v>1571</v>
      </c>
      <c r="E490" s="94"/>
      <c r="F490" s="94"/>
      <c r="G490" s="94"/>
      <c r="H490" s="95">
        <v>33.862698412698414</v>
      </c>
      <c r="I490" s="92"/>
      <c r="J490" s="92"/>
      <c r="K490" s="92"/>
      <c r="L490" s="92"/>
      <c r="M490" s="92"/>
      <c r="N490" s="92"/>
      <c r="O490" s="92"/>
    </row>
    <row r="491" spans="1:15" ht="15">
      <c r="D491" s="96" t="s">
        <v>1572</v>
      </c>
      <c r="E491" s="96"/>
      <c r="F491" s="96"/>
      <c r="G491" s="96"/>
      <c r="H491" s="97">
        <v>44.021507936507938</v>
      </c>
      <c r="I491" s="92"/>
      <c r="J491" s="92"/>
      <c r="K491" s="92"/>
      <c r="L491" s="92"/>
      <c r="M491" s="92"/>
      <c r="N491" s="92"/>
      <c r="O491" s="92"/>
    </row>
    <row r="494" spans="1:15" ht="14.25">
      <c r="A494" s="203" t="s">
        <v>2379</v>
      </c>
      <c r="B494" s="203"/>
      <c r="C494" s="203" t="s">
        <v>2381</v>
      </c>
      <c r="D494" s="92" t="s">
        <v>1556</v>
      </c>
      <c r="E494" s="92">
        <v>1008</v>
      </c>
      <c r="F494" s="92">
        <v>1</v>
      </c>
      <c r="G494" s="92">
        <v>8</v>
      </c>
      <c r="H494" s="93">
        <v>5.333333333333333</v>
      </c>
      <c r="I494" s="92"/>
      <c r="J494" s="92"/>
      <c r="K494" s="92"/>
      <c r="L494" s="92"/>
      <c r="M494" s="92"/>
      <c r="N494" s="92"/>
      <c r="O494" s="92"/>
    </row>
    <row r="495" spans="1:15" ht="14.25">
      <c r="D495" s="92" t="s">
        <v>1557</v>
      </c>
      <c r="E495" s="92">
        <v>1008</v>
      </c>
      <c r="F495" s="92">
        <v>1</v>
      </c>
      <c r="G495" s="92">
        <v>8</v>
      </c>
      <c r="H495" s="93">
        <v>5.333333333333333</v>
      </c>
      <c r="I495" s="92"/>
      <c r="J495" s="92"/>
      <c r="K495" s="92" t="s">
        <v>1595</v>
      </c>
      <c r="L495" s="92" t="s">
        <v>1594</v>
      </c>
      <c r="M495" s="92" t="s">
        <v>1646</v>
      </c>
      <c r="N495" s="92" t="s">
        <v>1643</v>
      </c>
      <c r="O495" s="92" t="s">
        <v>1648</v>
      </c>
    </row>
    <row r="496" spans="1:15" ht="14.25">
      <c r="D496" s="92" t="s">
        <v>1559</v>
      </c>
      <c r="E496" s="92">
        <v>144</v>
      </c>
      <c r="F496" s="92">
        <v>2</v>
      </c>
      <c r="G496" s="92">
        <v>8</v>
      </c>
      <c r="H496" s="93">
        <v>1.5238095238095237</v>
      </c>
      <c r="I496" s="92"/>
      <c r="J496" s="92"/>
      <c r="K496" s="188">
        <v>16</v>
      </c>
      <c r="L496" s="188">
        <v>16</v>
      </c>
      <c r="M496" s="188">
        <v>12</v>
      </c>
      <c r="N496" s="188">
        <v>39</v>
      </c>
      <c r="O496" s="241">
        <v>384</v>
      </c>
    </row>
    <row r="497" spans="1:15" ht="14.25">
      <c r="D497" s="92" t="s">
        <v>1566</v>
      </c>
      <c r="E497" s="92">
        <v>1152</v>
      </c>
      <c r="F497" s="92">
        <v>1</v>
      </c>
      <c r="G497" s="92">
        <v>4</v>
      </c>
      <c r="H497" s="93">
        <v>5.4857142857142858</v>
      </c>
      <c r="I497" s="92"/>
      <c r="J497" s="92"/>
      <c r="K497" s="92"/>
      <c r="L497" s="92"/>
      <c r="M497" s="92"/>
      <c r="N497" s="92"/>
      <c r="O497" s="92"/>
    </row>
    <row r="498" spans="1:15" ht="14.25">
      <c r="D498" s="92" t="s">
        <v>1616</v>
      </c>
      <c r="E498" s="92">
        <v>162</v>
      </c>
      <c r="F498" s="92">
        <v>1</v>
      </c>
      <c r="G498" s="92">
        <v>8</v>
      </c>
      <c r="H498" s="93">
        <v>1.5428571428571429</v>
      </c>
      <c r="I498" s="176" t="s">
        <v>1669</v>
      </c>
      <c r="J498" s="92"/>
      <c r="K498" s="92" t="s">
        <v>2317</v>
      </c>
      <c r="L498" s="92">
        <v>162</v>
      </c>
      <c r="M498" s="92"/>
      <c r="N498" s="92"/>
      <c r="O498" s="92"/>
    </row>
    <row r="499" spans="1:15" ht="14.25">
      <c r="D499" s="124" t="s">
        <v>555</v>
      </c>
      <c r="E499" s="124"/>
      <c r="F499" s="124"/>
      <c r="G499" s="124"/>
      <c r="H499" s="125">
        <v>19.219047619047622</v>
      </c>
      <c r="I499" s="177">
        <v>57.657142857142865</v>
      </c>
      <c r="J499" s="92"/>
      <c r="K499" s="92"/>
      <c r="L499" s="92"/>
      <c r="M499" s="92"/>
      <c r="N499" s="92"/>
      <c r="O499" s="92"/>
    </row>
    <row r="500" spans="1:15" ht="14.25">
      <c r="D500" s="92" t="s">
        <v>1569</v>
      </c>
      <c r="E500" s="92"/>
      <c r="F500" s="92">
        <v>2</v>
      </c>
      <c r="G500" s="92">
        <v>8</v>
      </c>
      <c r="H500" s="93">
        <v>16</v>
      </c>
      <c r="I500" s="92"/>
      <c r="J500" s="92"/>
      <c r="K500" s="92"/>
      <c r="L500" s="92"/>
      <c r="M500" s="92"/>
      <c r="N500" s="92"/>
      <c r="O500" s="92"/>
    </row>
    <row r="501" spans="1:15" ht="15">
      <c r="D501" s="94" t="s">
        <v>1571</v>
      </c>
      <c r="E501" s="94"/>
      <c r="F501" s="94"/>
      <c r="G501" s="94"/>
      <c r="H501" s="95">
        <v>35.219047619047622</v>
      </c>
      <c r="I501" s="92"/>
      <c r="J501" s="92"/>
      <c r="K501" s="92"/>
      <c r="L501" s="92"/>
      <c r="M501" s="92"/>
      <c r="N501" s="92"/>
      <c r="O501" s="92"/>
    </row>
    <row r="502" spans="1:15" ht="15">
      <c r="D502" s="96" t="s">
        <v>1572</v>
      </c>
      <c r="E502" s="96"/>
      <c r="F502" s="96"/>
      <c r="G502" s="96"/>
      <c r="H502" s="97">
        <v>45.784761904761908</v>
      </c>
      <c r="I502" s="92"/>
      <c r="J502" s="92"/>
      <c r="K502" s="92"/>
      <c r="L502" s="92"/>
      <c r="M502" s="92"/>
      <c r="N502" s="92"/>
      <c r="O502" s="92"/>
    </row>
    <row r="505" spans="1:15" ht="25.5">
      <c r="A505" s="1" t="s">
        <v>2392</v>
      </c>
      <c r="B505" s="17" t="s">
        <v>2395</v>
      </c>
      <c r="C505" s="17" t="s">
        <v>2394</v>
      </c>
      <c r="D505" s="92" t="s">
        <v>1556</v>
      </c>
      <c r="E505" s="92">
        <v>1044</v>
      </c>
      <c r="F505" s="92">
        <v>1</v>
      </c>
      <c r="G505" s="92">
        <v>6</v>
      </c>
      <c r="H505" s="93">
        <v>4.1428571428571423</v>
      </c>
      <c r="I505" s="92"/>
      <c r="J505" s="92"/>
      <c r="K505" s="92"/>
      <c r="L505" s="92"/>
      <c r="M505" s="92"/>
      <c r="N505" s="92"/>
      <c r="O505" s="92"/>
    </row>
    <row r="506" spans="1:15" ht="14.25">
      <c r="D506" s="92" t="s">
        <v>1557</v>
      </c>
      <c r="E506" s="92">
        <v>1044</v>
      </c>
      <c r="F506" s="92">
        <v>1</v>
      </c>
      <c r="G506" s="92">
        <v>6</v>
      </c>
      <c r="H506" s="93">
        <v>4.1428571428571423</v>
      </c>
      <c r="I506" s="92"/>
      <c r="J506" s="92"/>
      <c r="K506" s="92" t="s">
        <v>1595</v>
      </c>
      <c r="L506" s="92" t="s">
        <v>1594</v>
      </c>
      <c r="M506" s="92" t="s">
        <v>1646</v>
      </c>
      <c r="N506" s="92" t="s">
        <v>1643</v>
      </c>
      <c r="O506" s="92" t="s">
        <v>1648</v>
      </c>
    </row>
    <row r="507" spans="1:15" ht="14.25">
      <c r="D507" s="92" t="s">
        <v>1559</v>
      </c>
      <c r="E507" s="92">
        <v>144</v>
      </c>
      <c r="F507" s="92">
        <v>2</v>
      </c>
      <c r="G507" s="92">
        <v>6</v>
      </c>
      <c r="H507" s="93">
        <v>1.1428571428571428</v>
      </c>
      <c r="I507" s="92"/>
      <c r="J507" s="92"/>
      <c r="K507" s="188">
        <v>14</v>
      </c>
      <c r="L507" s="188">
        <v>16</v>
      </c>
      <c r="M507" s="188">
        <v>15</v>
      </c>
      <c r="N507" s="188">
        <v>39</v>
      </c>
      <c r="O507" s="241">
        <v>420</v>
      </c>
    </row>
    <row r="508" spans="1:15" ht="14.25">
      <c r="D508" s="92" t="s">
        <v>1566</v>
      </c>
      <c r="E508" s="92">
        <v>1188</v>
      </c>
      <c r="F508" s="92">
        <v>1</v>
      </c>
      <c r="G508" s="92">
        <v>4</v>
      </c>
      <c r="H508" s="93">
        <v>5.6571428571428575</v>
      </c>
      <c r="I508" s="92"/>
      <c r="J508" s="92"/>
      <c r="K508" s="92"/>
      <c r="L508" s="92">
        <v>18</v>
      </c>
      <c r="M508" s="92">
        <v>17</v>
      </c>
      <c r="N508" s="92"/>
      <c r="O508" s="92"/>
    </row>
    <row r="509" spans="1:15" ht="14.25">
      <c r="D509" s="92" t="s">
        <v>1616</v>
      </c>
      <c r="E509" s="92">
        <v>175.5</v>
      </c>
      <c r="F509" s="92">
        <v>1</v>
      </c>
      <c r="G509" s="92">
        <v>6</v>
      </c>
      <c r="H509" s="93">
        <v>1.2535714285714286</v>
      </c>
      <c r="I509" s="176" t="s">
        <v>1669</v>
      </c>
      <c r="J509" s="92"/>
      <c r="K509" s="92" t="s">
        <v>2317</v>
      </c>
      <c r="L509" s="92">
        <v>175.5</v>
      </c>
      <c r="M509" s="92"/>
      <c r="N509" s="92" t="s">
        <v>2543</v>
      </c>
      <c r="O509" s="92">
        <v>306</v>
      </c>
    </row>
    <row r="510" spans="1:15" ht="14.25">
      <c r="D510" s="124" t="s">
        <v>555</v>
      </c>
      <c r="E510" s="124"/>
      <c r="F510" s="124"/>
      <c r="G510" s="124"/>
      <c r="H510" s="125">
        <v>16.339285714285715</v>
      </c>
      <c r="I510" s="177">
        <v>49.017857142857146</v>
      </c>
      <c r="J510" s="92"/>
      <c r="K510" s="92"/>
      <c r="L510" s="92"/>
      <c r="M510" s="92"/>
      <c r="N510" s="92" t="s">
        <v>2544</v>
      </c>
      <c r="O510" s="92">
        <v>62</v>
      </c>
    </row>
    <row r="511" spans="1:15" ht="14.25">
      <c r="D511" s="92" t="s">
        <v>1569</v>
      </c>
      <c r="E511" s="92"/>
      <c r="F511" s="92">
        <v>2</v>
      </c>
      <c r="G511" s="92">
        <v>8</v>
      </c>
      <c r="H511" s="93">
        <v>16</v>
      </c>
      <c r="I511" s="92"/>
      <c r="J511" s="92"/>
      <c r="K511" s="92"/>
      <c r="L511" s="92"/>
      <c r="M511" s="92"/>
      <c r="N511" s="92"/>
      <c r="O511" s="92">
        <v>368</v>
      </c>
    </row>
    <row r="512" spans="1:15" ht="15">
      <c r="D512" s="94" t="s">
        <v>1571</v>
      </c>
      <c r="E512" s="94"/>
      <c r="F512" s="94"/>
      <c r="G512" s="94"/>
      <c r="H512" s="95">
        <v>32.339285714285715</v>
      </c>
      <c r="I512" s="92"/>
      <c r="J512" s="92"/>
      <c r="K512" s="92"/>
      <c r="L512" s="92"/>
      <c r="M512" s="92"/>
      <c r="N512" s="92"/>
      <c r="O512" s="92"/>
    </row>
    <row r="513" spans="1:15" ht="15">
      <c r="D513" s="96" t="s">
        <v>1572</v>
      </c>
      <c r="E513" s="96"/>
      <c r="F513" s="96"/>
      <c r="G513" s="96"/>
      <c r="H513" s="97">
        <v>42.041071428571435</v>
      </c>
      <c r="I513" s="92"/>
      <c r="J513" s="92"/>
      <c r="K513" s="92"/>
      <c r="L513" s="92"/>
      <c r="M513" s="92"/>
      <c r="N513" s="92"/>
      <c r="O513" s="92"/>
    </row>
    <row r="515" spans="1:15" ht="15">
      <c r="D515" s="94" t="s">
        <v>2546</v>
      </c>
    </row>
    <row r="516" spans="1:15" ht="14.25">
      <c r="D516" s="92" t="s">
        <v>1556</v>
      </c>
      <c r="E516" s="92">
        <v>368</v>
      </c>
      <c r="F516" s="92">
        <v>1</v>
      </c>
      <c r="G516" s="92">
        <v>6</v>
      </c>
      <c r="H516" s="93">
        <v>1.4603174603174602</v>
      </c>
      <c r="I516" s="92"/>
      <c r="J516" s="92"/>
      <c r="K516" s="92"/>
      <c r="L516" s="92"/>
      <c r="M516" s="92"/>
      <c r="N516" s="92"/>
      <c r="O516" s="92"/>
    </row>
    <row r="517" spans="1:15" ht="14.25">
      <c r="D517" s="92" t="s">
        <v>1557</v>
      </c>
      <c r="E517" s="92">
        <v>368</v>
      </c>
      <c r="F517" s="92">
        <v>1</v>
      </c>
      <c r="G517" s="92">
        <v>6</v>
      </c>
      <c r="H517" s="93">
        <v>1.4603174603174602</v>
      </c>
      <c r="I517" s="92"/>
      <c r="J517" s="92"/>
      <c r="K517" s="92" t="s">
        <v>1595</v>
      </c>
      <c r="L517" s="92" t="s">
        <v>1594</v>
      </c>
      <c r="M517" s="92" t="s">
        <v>1646</v>
      </c>
      <c r="N517" s="92" t="s">
        <v>1643</v>
      </c>
      <c r="O517" s="92" t="s">
        <v>1648</v>
      </c>
    </row>
    <row r="518" spans="1:15" ht="14.25">
      <c r="D518" s="92" t="s">
        <v>1559</v>
      </c>
      <c r="E518" s="92">
        <v>144</v>
      </c>
      <c r="F518" s="92">
        <v>2</v>
      </c>
      <c r="G518" s="92">
        <v>6</v>
      </c>
      <c r="H518" s="93">
        <v>1.1428571428571428</v>
      </c>
      <c r="I518" s="92"/>
      <c r="J518" s="92"/>
      <c r="K518" s="188">
        <v>14</v>
      </c>
      <c r="L518" s="188">
        <v>16</v>
      </c>
      <c r="M518" s="188">
        <v>15</v>
      </c>
      <c r="N518" s="188">
        <v>39</v>
      </c>
      <c r="O518" s="241">
        <v>420</v>
      </c>
    </row>
    <row r="519" spans="1:15" ht="14.25">
      <c r="D519" s="92" t="s">
        <v>1566</v>
      </c>
      <c r="E519" s="92">
        <v>512</v>
      </c>
      <c r="F519" s="92">
        <v>1</v>
      </c>
      <c r="G519" s="92">
        <v>4</v>
      </c>
      <c r="H519" s="93">
        <v>2.4380952380952383</v>
      </c>
      <c r="I519" s="92"/>
      <c r="J519" s="92"/>
      <c r="K519" s="92"/>
      <c r="L519" s="92">
        <v>18</v>
      </c>
      <c r="M519" s="92">
        <v>17</v>
      </c>
      <c r="N519" s="92"/>
      <c r="O519" s="92"/>
    </row>
    <row r="520" spans="1:15" ht="14.25">
      <c r="D520" s="92" t="s">
        <v>1616</v>
      </c>
      <c r="E520" s="92">
        <v>175.5</v>
      </c>
      <c r="F520" s="92">
        <v>1</v>
      </c>
      <c r="G520" s="92">
        <v>6</v>
      </c>
      <c r="H520" s="93">
        <v>1.2535714285714286</v>
      </c>
      <c r="I520" s="176" t="s">
        <v>1669</v>
      </c>
      <c r="J520" s="92"/>
      <c r="K520" s="92" t="s">
        <v>2317</v>
      </c>
      <c r="L520" s="92">
        <v>175.5</v>
      </c>
      <c r="M520" s="92"/>
      <c r="N520" s="92" t="s">
        <v>2543</v>
      </c>
      <c r="O520" s="92">
        <v>306</v>
      </c>
    </row>
    <row r="521" spans="1:15" ht="14.25">
      <c r="D521" s="124" t="s">
        <v>555</v>
      </c>
      <c r="E521" s="124"/>
      <c r="F521" s="124"/>
      <c r="G521" s="124"/>
      <c r="H521" s="125">
        <v>7.7551587301587297</v>
      </c>
      <c r="I521" s="177">
        <v>23.265476190476189</v>
      </c>
      <c r="J521" s="92"/>
      <c r="K521" s="92"/>
      <c r="L521" s="92"/>
      <c r="M521" s="92"/>
      <c r="N521" s="92" t="s">
        <v>2544</v>
      </c>
      <c r="O521" s="92">
        <v>62</v>
      </c>
    </row>
    <row r="522" spans="1:15" ht="14.25">
      <c r="D522" s="92" t="s">
        <v>1569</v>
      </c>
      <c r="E522" s="92"/>
      <c r="F522" s="92">
        <v>2</v>
      </c>
      <c r="G522" s="92">
        <v>8</v>
      </c>
      <c r="H522" s="93">
        <v>16</v>
      </c>
      <c r="I522" s="92"/>
      <c r="J522" s="92"/>
      <c r="K522" s="92"/>
      <c r="L522" s="92"/>
      <c r="M522" s="92"/>
      <c r="N522" s="92" t="s">
        <v>2547</v>
      </c>
      <c r="O522" s="92">
        <v>70</v>
      </c>
    </row>
    <row r="523" spans="1:15" ht="15">
      <c r="D523" s="94" t="s">
        <v>1571</v>
      </c>
      <c r="E523" s="94"/>
      <c r="F523" s="94"/>
      <c r="G523" s="94"/>
      <c r="H523" s="95">
        <v>23.75515873015873</v>
      </c>
      <c r="I523" s="92"/>
      <c r="J523" s="92"/>
      <c r="K523" s="92"/>
      <c r="L523" s="92"/>
      <c r="M523" s="92"/>
      <c r="N523" s="92"/>
      <c r="O523" s="92">
        <v>438</v>
      </c>
    </row>
    <row r="524" spans="1:15" ht="15">
      <c r="D524" s="96" t="s">
        <v>1572</v>
      </c>
      <c r="E524" s="96"/>
      <c r="F524" s="96"/>
      <c r="G524" s="96"/>
      <c r="H524" s="97">
        <v>30.88170634920635</v>
      </c>
      <c r="I524" s="92"/>
      <c r="J524" s="92"/>
      <c r="K524" s="92"/>
      <c r="L524" s="92"/>
      <c r="M524" s="92"/>
      <c r="N524" s="92"/>
      <c r="O524" s="92"/>
    </row>
    <row r="528" spans="1:15" ht="14.25">
      <c r="A528" s="1" t="s">
        <v>2566</v>
      </c>
      <c r="B528" s="17" t="s">
        <v>2568</v>
      </c>
      <c r="C528" s="17" t="s">
        <v>2567</v>
      </c>
      <c r="D528" s="92" t="s">
        <v>1556</v>
      </c>
      <c r="E528" s="92">
        <v>840</v>
      </c>
      <c r="F528" s="92">
        <v>1</v>
      </c>
      <c r="G528" s="92">
        <v>5</v>
      </c>
      <c r="H528" s="93">
        <v>2.7777777777777777</v>
      </c>
      <c r="J528" s="92"/>
      <c r="K528" s="92"/>
      <c r="L528" s="92"/>
      <c r="M528" s="92"/>
      <c r="N528" s="92"/>
      <c r="O528" s="92"/>
    </row>
    <row r="529" spans="1:15" ht="14.25">
      <c r="D529" s="92" t="s">
        <v>1557</v>
      </c>
      <c r="E529" s="92">
        <v>840</v>
      </c>
      <c r="F529" s="92">
        <v>1</v>
      </c>
      <c r="G529" s="92">
        <v>5</v>
      </c>
      <c r="H529" s="93">
        <v>2.7777777777777777</v>
      </c>
      <c r="J529" s="92"/>
      <c r="K529" s="92" t="s">
        <v>1595</v>
      </c>
      <c r="L529" s="92" t="s">
        <v>1594</v>
      </c>
      <c r="M529" s="92" t="s">
        <v>1646</v>
      </c>
      <c r="N529" s="92" t="s">
        <v>1643</v>
      </c>
      <c r="O529" s="92" t="s">
        <v>1648</v>
      </c>
    </row>
    <row r="530" spans="1:15" ht="14.25">
      <c r="D530" s="92" t="s">
        <v>1559</v>
      </c>
      <c r="E530" s="92">
        <v>135</v>
      </c>
      <c r="F530" s="92">
        <v>2</v>
      </c>
      <c r="G530" s="92">
        <v>5</v>
      </c>
      <c r="H530" s="93">
        <v>0.8928571428571429</v>
      </c>
      <c r="J530" s="92"/>
      <c r="K530" s="92">
        <v>14</v>
      </c>
      <c r="L530" s="92">
        <v>14</v>
      </c>
      <c r="M530" s="92">
        <v>9</v>
      </c>
      <c r="N530" s="92">
        <v>32</v>
      </c>
      <c r="O530" s="126">
        <v>252</v>
      </c>
    </row>
    <row r="531" spans="1:15" ht="14.25">
      <c r="D531" s="92" t="s">
        <v>1566</v>
      </c>
      <c r="E531" s="92">
        <v>975</v>
      </c>
      <c r="F531" s="92">
        <v>1</v>
      </c>
      <c r="G531" s="92">
        <v>4</v>
      </c>
      <c r="H531" s="93">
        <v>4.6428571428571432</v>
      </c>
      <c r="J531" s="92"/>
      <c r="K531" s="188">
        <v>15</v>
      </c>
      <c r="L531" s="188">
        <v>15</v>
      </c>
      <c r="M531" s="188">
        <v>10</v>
      </c>
      <c r="N531" s="188">
        <v>36</v>
      </c>
      <c r="O531" s="241">
        <v>300</v>
      </c>
    </row>
    <row r="532" spans="1:15" ht="14.25">
      <c r="D532" s="92" t="s">
        <v>1616</v>
      </c>
      <c r="E532" s="92">
        <v>222</v>
      </c>
      <c r="F532" s="92">
        <v>1</v>
      </c>
      <c r="G532" s="92">
        <v>5</v>
      </c>
      <c r="H532" s="93">
        <v>0.73412698412698418</v>
      </c>
      <c r="J532" s="92"/>
      <c r="K532" s="221">
        <v>18</v>
      </c>
      <c r="L532" s="221">
        <v>16</v>
      </c>
      <c r="M532" s="221">
        <v>13</v>
      </c>
      <c r="N532" s="92">
        <v>42</v>
      </c>
      <c r="O532" s="126">
        <v>468</v>
      </c>
    </row>
    <row r="533" spans="1:15" ht="14.25">
      <c r="D533" s="124" t="s">
        <v>555</v>
      </c>
      <c r="E533" s="124"/>
      <c r="F533" s="124"/>
      <c r="G533" s="124"/>
      <c r="H533" s="125">
        <v>11.825396825396826</v>
      </c>
      <c r="J533" s="92"/>
      <c r="K533" s="92">
        <v>18</v>
      </c>
      <c r="L533" s="92">
        <v>16</v>
      </c>
      <c r="M533" s="92">
        <v>15</v>
      </c>
      <c r="N533" s="92">
        <v>44</v>
      </c>
      <c r="O533" s="126">
        <v>540</v>
      </c>
    </row>
    <row r="534" spans="1:15" ht="14.25">
      <c r="D534" s="92" t="s">
        <v>1569</v>
      </c>
      <c r="E534" s="92"/>
      <c r="F534" s="92">
        <v>2</v>
      </c>
      <c r="G534" s="92">
        <v>8</v>
      </c>
      <c r="H534" s="93">
        <v>16</v>
      </c>
      <c r="J534" s="92"/>
      <c r="K534" s="92"/>
      <c r="L534" s="92"/>
      <c r="M534" s="92"/>
      <c r="N534" s="92"/>
      <c r="O534" s="92"/>
    </row>
    <row r="535" spans="1:15" ht="15">
      <c r="D535" s="94" t="s">
        <v>1571</v>
      </c>
      <c r="E535" s="94"/>
      <c r="F535" s="94"/>
      <c r="G535" s="94"/>
      <c r="H535" s="95">
        <v>27.825396825396826</v>
      </c>
      <c r="J535" s="92"/>
      <c r="K535" s="92"/>
      <c r="L535" s="92"/>
      <c r="M535" s="92"/>
      <c r="N535" s="92"/>
      <c r="O535" s="92"/>
    </row>
    <row r="536" spans="1:15" ht="15">
      <c r="D536" s="96" t="s">
        <v>1572</v>
      </c>
      <c r="E536" s="96"/>
      <c r="F536" s="96"/>
      <c r="G536" s="96"/>
      <c r="H536" s="97">
        <v>36.173015873015878</v>
      </c>
      <c r="J536" s="92"/>
      <c r="K536" s="92"/>
      <c r="L536" s="92"/>
      <c r="M536" s="92"/>
      <c r="N536" s="92"/>
      <c r="O536" s="92"/>
    </row>
    <row r="539" spans="1:15" ht="14.25">
      <c r="A539" s="1" t="s">
        <v>2016</v>
      </c>
      <c r="B539" s="17" t="s">
        <v>2585</v>
      </c>
      <c r="C539" s="17" t="s">
        <v>2586</v>
      </c>
      <c r="D539" s="92" t="s">
        <v>1556</v>
      </c>
      <c r="E539" s="92">
        <v>840</v>
      </c>
      <c r="F539" s="92">
        <v>1</v>
      </c>
      <c r="G539" s="92">
        <v>6</v>
      </c>
      <c r="H539" s="93">
        <v>3.3333333333333335</v>
      </c>
    </row>
    <row r="540" spans="1:15" ht="14.25">
      <c r="D540" s="92" t="s">
        <v>1557</v>
      </c>
      <c r="E540" s="92">
        <v>840</v>
      </c>
      <c r="F540" s="92">
        <v>1</v>
      </c>
      <c r="G540" s="92">
        <v>6</v>
      </c>
      <c r="H540" s="93">
        <v>3.3333333333333335</v>
      </c>
      <c r="J540" s="1">
        <v>40</v>
      </c>
    </row>
    <row r="541" spans="1:15" ht="14.25">
      <c r="D541" s="92" t="s">
        <v>1559</v>
      </c>
      <c r="E541" s="92">
        <v>135</v>
      </c>
      <c r="F541" s="92">
        <v>2</v>
      </c>
      <c r="G541" s="92">
        <v>6</v>
      </c>
      <c r="H541" s="93">
        <v>1.0714285714285714</v>
      </c>
    </row>
    <row r="542" spans="1:15" ht="14.25">
      <c r="D542" s="92" t="s">
        <v>1566</v>
      </c>
      <c r="E542" s="92">
        <v>975</v>
      </c>
      <c r="F542" s="92">
        <v>1</v>
      </c>
      <c r="G542" s="92">
        <v>4</v>
      </c>
      <c r="H542" s="93">
        <v>4.6428571428571432</v>
      </c>
    </row>
    <row r="543" spans="1:15" ht="14.25">
      <c r="D543" s="92" t="s">
        <v>1616</v>
      </c>
      <c r="E543" s="92">
        <v>146.25</v>
      </c>
      <c r="F543" s="92">
        <v>1</v>
      </c>
      <c r="G543" s="92">
        <v>6</v>
      </c>
      <c r="H543" s="93">
        <v>1.0446428571428572</v>
      </c>
    </row>
    <row r="544" spans="1:15" ht="14.25">
      <c r="D544" s="124" t="s">
        <v>555</v>
      </c>
      <c r="E544" s="124"/>
      <c r="F544" s="124"/>
      <c r="G544" s="124"/>
      <c r="H544" s="125">
        <v>13.425595238095239</v>
      </c>
    </row>
    <row r="545" spans="1:8" ht="14.25">
      <c r="D545" s="92" t="s">
        <v>1569</v>
      </c>
      <c r="E545" s="92"/>
      <c r="F545" s="92">
        <v>2</v>
      </c>
      <c r="G545" s="92">
        <v>8</v>
      </c>
      <c r="H545" s="93">
        <v>16</v>
      </c>
    </row>
    <row r="546" spans="1:8" ht="15">
      <c r="D546" s="94" t="s">
        <v>1571</v>
      </c>
      <c r="E546" s="94"/>
      <c r="F546" s="94"/>
      <c r="G546" s="94"/>
      <c r="H546" s="95">
        <v>29.425595238095241</v>
      </c>
    </row>
    <row r="547" spans="1:8" ht="15">
      <c r="D547" s="96" t="s">
        <v>1572</v>
      </c>
      <c r="E547" s="96"/>
      <c r="F547" s="96"/>
      <c r="G547" s="96"/>
      <c r="H547" s="97">
        <v>38.253273809523812</v>
      </c>
    </row>
    <row r="550" spans="1:8" ht="25.5">
      <c r="A550" s="17" t="s">
        <v>2016</v>
      </c>
      <c r="B550" s="17" t="s">
        <v>2597</v>
      </c>
      <c r="C550" s="17" t="s">
        <v>2601</v>
      </c>
      <c r="D550" s="92" t="s">
        <v>1556</v>
      </c>
      <c r="E550" s="92">
        <v>956</v>
      </c>
      <c r="F550" s="92">
        <v>1</v>
      </c>
      <c r="G550" s="92">
        <v>8</v>
      </c>
      <c r="H550" s="93">
        <v>5.0582010582010586</v>
      </c>
    </row>
    <row r="551" spans="1:8" ht="14.25">
      <c r="D551" s="92" t="s">
        <v>1557</v>
      </c>
      <c r="E551" s="92">
        <v>956</v>
      </c>
      <c r="F551" s="92">
        <v>1</v>
      </c>
      <c r="G551" s="92">
        <v>6</v>
      </c>
      <c r="H551" s="93">
        <v>3.7936507936507939</v>
      </c>
    </row>
    <row r="552" spans="1:8" ht="14.25">
      <c r="D552" s="92" t="s">
        <v>1559</v>
      </c>
      <c r="E552" s="92">
        <v>126</v>
      </c>
      <c r="F552" s="92">
        <v>2</v>
      </c>
      <c r="G552" s="92">
        <v>8</v>
      </c>
      <c r="H552" s="93">
        <v>1.3333333333333333</v>
      </c>
    </row>
    <row r="553" spans="1:8" ht="14.25">
      <c r="D553" s="92" t="s">
        <v>1566</v>
      </c>
      <c r="E553" s="92">
        <v>1082</v>
      </c>
      <c r="F553" s="92">
        <v>1</v>
      </c>
      <c r="G553" s="92">
        <v>4</v>
      </c>
      <c r="H553" s="93">
        <v>5.1523809523809527</v>
      </c>
    </row>
    <row r="554" spans="1:8" ht="14.25">
      <c r="D554" s="92" t="s">
        <v>1616</v>
      </c>
      <c r="E554" s="92">
        <v>144</v>
      </c>
      <c r="F554" s="92">
        <v>1</v>
      </c>
      <c r="G554" s="92">
        <v>6</v>
      </c>
      <c r="H554" s="93">
        <v>1.0285714285714285</v>
      </c>
    </row>
    <row r="555" spans="1:8" ht="14.25">
      <c r="D555" s="124" t="s">
        <v>555</v>
      </c>
      <c r="E555" s="124"/>
      <c r="F555" s="124"/>
      <c r="G555" s="124"/>
      <c r="H555" s="125">
        <v>16.366137566137567</v>
      </c>
    </row>
    <row r="556" spans="1:8" ht="14.25">
      <c r="D556" s="92" t="s">
        <v>1569</v>
      </c>
      <c r="E556" s="92"/>
      <c r="F556" s="92">
        <v>2</v>
      </c>
      <c r="G556" s="92">
        <v>8</v>
      </c>
      <c r="H556" s="93">
        <v>16</v>
      </c>
    </row>
    <row r="557" spans="1:8" ht="15">
      <c r="D557" s="94" t="s">
        <v>1571</v>
      </c>
      <c r="E557" s="94"/>
      <c r="F557" s="94"/>
      <c r="G557" s="94"/>
      <c r="H557" s="95">
        <v>32.366137566137567</v>
      </c>
    </row>
    <row r="558" spans="1:8" ht="15">
      <c r="D558" s="96" t="s">
        <v>1572</v>
      </c>
      <c r="E558" s="96"/>
      <c r="F558" s="96"/>
      <c r="G558" s="96"/>
      <c r="H558" s="97">
        <v>42.075978835978837</v>
      </c>
    </row>
    <row r="561" spans="1:15" ht="25.5">
      <c r="A561" s="1" t="s">
        <v>2016</v>
      </c>
      <c r="B561" s="17" t="s">
        <v>2597</v>
      </c>
      <c r="C561" s="17" t="s">
        <v>2602</v>
      </c>
      <c r="D561" s="92" t="s">
        <v>1556</v>
      </c>
      <c r="E561" s="92">
        <v>984</v>
      </c>
      <c r="F561" s="92">
        <v>1</v>
      </c>
      <c r="G561" s="92">
        <v>8</v>
      </c>
      <c r="H561" s="93">
        <v>5.2063492063492065</v>
      </c>
    </row>
    <row r="562" spans="1:15" ht="14.25">
      <c r="D562" s="92" t="s">
        <v>1557</v>
      </c>
      <c r="E562" s="92">
        <v>984</v>
      </c>
      <c r="F562" s="92">
        <v>1</v>
      </c>
      <c r="G562" s="92">
        <v>6</v>
      </c>
      <c r="H562" s="93">
        <v>3.9047619047619051</v>
      </c>
    </row>
    <row r="563" spans="1:15" ht="14.25">
      <c r="D563" s="92" t="s">
        <v>1566</v>
      </c>
      <c r="E563" s="92">
        <v>984</v>
      </c>
      <c r="F563" s="92">
        <v>1</v>
      </c>
      <c r="G563" s="92">
        <v>4</v>
      </c>
      <c r="H563" s="93">
        <v>4.6857142857142859</v>
      </c>
    </row>
    <row r="564" spans="1:15" ht="14.25">
      <c r="D564" s="92" t="s">
        <v>1559</v>
      </c>
      <c r="E564" s="92">
        <v>84</v>
      </c>
      <c r="F564" s="92">
        <v>1</v>
      </c>
      <c r="G564" s="92">
        <v>6</v>
      </c>
      <c r="H564" s="93">
        <v>0.60000000000000009</v>
      </c>
    </row>
    <row r="565" spans="1:15" ht="14.25">
      <c r="D565" s="92" t="s">
        <v>1616</v>
      </c>
      <c r="E565" s="92">
        <v>115</v>
      </c>
      <c r="F565" s="92">
        <v>1</v>
      </c>
      <c r="G565" s="92">
        <v>5</v>
      </c>
      <c r="H565" s="93">
        <v>0.38029100529100529</v>
      </c>
    </row>
    <row r="566" spans="1:15" ht="14.25">
      <c r="D566" s="124" t="s">
        <v>555</v>
      </c>
      <c r="E566" s="124"/>
      <c r="F566" s="124"/>
      <c r="G566" s="124"/>
      <c r="H566" s="125">
        <v>14.777116402116402</v>
      </c>
    </row>
    <row r="567" spans="1:15" ht="14.25">
      <c r="D567" s="92" t="s">
        <v>1569</v>
      </c>
      <c r="E567" s="92"/>
      <c r="F567" s="92">
        <v>2</v>
      </c>
      <c r="G567" s="92">
        <v>8</v>
      </c>
      <c r="H567" s="93">
        <v>16</v>
      </c>
    </row>
    <row r="568" spans="1:15" ht="15">
      <c r="D568" s="94" t="s">
        <v>1571</v>
      </c>
      <c r="E568" s="94"/>
      <c r="F568" s="94"/>
      <c r="G568" s="94"/>
      <c r="H568" s="95">
        <v>30.777116402116402</v>
      </c>
    </row>
    <row r="569" spans="1:15" ht="15">
      <c r="D569" s="96" t="s">
        <v>1572</v>
      </c>
      <c r="E569" s="96"/>
      <c r="F569" s="96"/>
      <c r="G569" s="96"/>
      <c r="H569" s="97">
        <v>40.010251322751323</v>
      </c>
    </row>
    <row r="572" spans="1:15" ht="14.25">
      <c r="A572" s="1" t="s">
        <v>2640</v>
      </c>
      <c r="B572" s="17" t="s">
        <v>2641</v>
      </c>
      <c r="C572" s="17" t="s">
        <v>2642</v>
      </c>
      <c r="D572" s="92" t="s">
        <v>1556</v>
      </c>
      <c r="E572" s="92">
        <v>1056</v>
      </c>
      <c r="F572" s="92">
        <v>1</v>
      </c>
      <c r="G572" s="92">
        <v>3</v>
      </c>
      <c r="H572" s="93">
        <v>1.5621301775147929</v>
      </c>
      <c r="K572" s="92"/>
      <c r="L572" s="92"/>
      <c r="M572" s="92"/>
      <c r="N572" s="92"/>
      <c r="O572" s="92"/>
    </row>
    <row r="573" spans="1:15" ht="14.25">
      <c r="D573" s="92" t="s">
        <v>1557</v>
      </c>
      <c r="E573" s="92">
        <v>1056</v>
      </c>
      <c r="F573" s="92">
        <v>0</v>
      </c>
      <c r="G573" s="92">
        <v>6</v>
      </c>
      <c r="H573" s="93">
        <v>0</v>
      </c>
      <c r="K573" s="92" t="s">
        <v>1595</v>
      </c>
      <c r="L573" s="92" t="s">
        <v>1594</v>
      </c>
      <c r="M573" s="92" t="s">
        <v>1646</v>
      </c>
      <c r="N573" s="92" t="s">
        <v>1643</v>
      </c>
      <c r="O573" s="92" t="s">
        <v>1648</v>
      </c>
    </row>
    <row r="574" spans="1:15" ht="14.25">
      <c r="D574" s="92" t="s">
        <v>1559</v>
      </c>
      <c r="E574" s="92">
        <v>162</v>
      </c>
      <c r="F574" s="92">
        <v>1</v>
      </c>
      <c r="G574" s="92">
        <v>3</v>
      </c>
      <c r="H574" s="93">
        <v>0.23964497041420119</v>
      </c>
      <c r="K574" s="188">
        <v>15</v>
      </c>
      <c r="L574" s="188">
        <v>18</v>
      </c>
      <c r="M574" s="188">
        <v>13</v>
      </c>
      <c r="N574" s="188">
        <v>37</v>
      </c>
      <c r="O574" s="241">
        <v>390</v>
      </c>
    </row>
    <row r="575" spans="1:15" ht="14.25">
      <c r="D575" s="92" t="s">
        <v>1566</v>
      </c>
      <c r="E575" s="92">
        <v>1218</v>
      </c>
      <c r="F575" s="92">
        <v>0</v>
      </c>
      <c r="G575" s="92">
        <v>4</v>
      </c>
      <c r="H575" s="93">
        <v>0</v>
      </c>
      <c r="K575" s="92"/>
      <c r="L575" s="92"/>
      <c r="M575" s="92"/>
      <c r="N575" s="92"/>
      <c r="O575" s="126"/>
    </row>
    <row r="576" spans="1:15" ht="14.25">
      <c r="D576" s="92" t="s">
        <v>1616</v>
      </c>
      <c r="E576" s="92">
        <v>254</v>
      </c>
      <c r="F576" s="92">
        <v>1</v>
      </c>
      <c r="G576" s="92">
        <v>6</v>
      </c>
      <c r="H576" s="93">
        <v>1.0079365079365079</v>
      </c>
      <c r="K576" s="92" t="s">
        <v>2317</v>
      </c>
      <c r="L576" s="92">
        <v>180</v>
      </c>
      <c r="M576" s="92"/>
      <c r="N576" s="92"/>
      <c r="O576" s="92"/>
    </row>
    <row r="577" spans="1:15" ht="14.25">
      <c r="D577" s="124" t="s">
        <v>555</v>
      </c>
      <c r="E577" s="124"/>
      <c r="F577" s="124"/>
      <c r="G577" s="124"/>
      <c r="H577" s="125">
        <v>2.809711655865502</v>
      </c>
      <c r="K577" s="92" t="s">
        <v>2638</v>
      </c>
      <c r="L577" s="92">
        <v>74</v>
      </c>
      <c r="M577" s="92"/>
      <c r="N577" s="92"/>
      <c r="O577" s="92"/>
    </row>
    <row r="578" spans="1:15" ht="14.25">
      <c r="D578" s="92" t="s">
        <v>1569</v>
      </c>
      <c r="E578" s="92"/>
      <c r="F578" s="92">
        <v>2</v>
      </c>
      <c r="G578" s="92">
        <v>8</v>
      </c>
      <c r="H578" s="93">
        <v>16</v>
      </c>
      <c r="K578" s="92"/>
      <c r="L578" s="92">
        <v>254</v>
      </c>
      <c r="M578" s="92"/>
      <c r="N578" s="92"/>
      <c r="O578" s="92"/>
    </row>
    <row r="579" spans="1:15" ht="15">
      <c r="D579" s="94" t="s">
        <v>1571</v>
      </c>
      <c r="E579" s="94"/>
      <c r="F579" s="94"/>
      <c r="G579" s="94"/>
      <c r="H579" s="95">
        <v>18.809711655865502</v>
      </c>
      <c r="K579" s="92"/>
      <c r="L579" s="92"/>
      <c r="M579" s="92"/>
      <c r="N579" s="92"/>
      <c r="O579" s="92"/>
    </row>
    <row r="580" spans="1:15" ht="15">
      <c r="D580" s="96" t="s">
        <v>1572</v>
      </c>
      <c r="E580" s="96"/>
      <c r="F580" s="96"/>
      <c r="G580" s="96"/>
      <c r="H580" s="97">
        <v>28.214567483798255</v>
      </c>
      <c r="K580" s="92"/>
      <c r="L580" s="92"/>
      <c r="M580" s="92"/>
      <c r="N580" s="92"/>
      <c r="O580" s="92"/>
    </row>
    <row r="583" spans="1:15" ht="25.5">
      <c r="A583" s="1" t="s">
        <v>3459</v>
      </c>
      <c r="B583" s="17" t="s">
        <v>3500</v>
      </c>
      <c r="C583" s="17" t="s">
        <v>3509</v>
      </c>
      <c r="D583" s="92" t="s">
        <v>1556</v>
      </c>
      <c r="E583" s="126">
        <v>1269.1428571428571</v>
      </c>
      <c r="F583" s="92">
        <v>1</v>
      </c>
      <c r="G583" s="92">
        <v>8</v>
      </c>
      <c r="H583" s="93">
        <v>6.715041572184429</v>
      </c>
    </row>
    <row r="584" spans="1:15" ht="14.25">
      <c r="D584" s="92" t="s">
        <v>1557</v>
      </c>
      <c r="E584" s="126">
        <v>1269.1428571428571</v>
      </c>
      <c r="F584" s="92">
        <v>1</v>
      </c>
      <c r="G584" s="92">
        <v>8</v>
      </c>
      <c r="H584" s="93">
        <v>6.715041572184429</v>
      </c>
    </row>
    <row r="585" spans="1:15" ht="14.25">
      <c r="D585" s="92" t="s">
        <v>1559</v>
      </c>
      <c r="E585" s="126">
        <v>144</v>
      </c>
      <c r="F585" s="92">
        <v>2</v>
      </c>
      <c r="G585" s="92">
        <v>8</v>
      </c>
      <c r="H585" s="93">
        <v>1.5238095238095237</v>
      </c>
    </row>
    <row r="586" spans="1:15" ht="14.25">
      <c r="D586" s="92" t="s">
        <v>1566</v>
      </c>
      <c r="E586" s="126">
        <v>1413.1428571428571</v>
      </c>
      <c r="F586" s="92">
        <v>1</v>
      </c>
      <c r="G586" s="92">
        <v>4</v>
      </c>
      <c r="H586" s="93">
        <v>6.7292517006802717</v>
      </c>
    </row>
    <row r="587" spans="1:15" ht="14.25">
      <c r="D587" s="92" t="s">
        <v>1616</v>
      </c>
      <c r="E587" s="126">
        <v>251.14285714285714</v>
      </c>
      <c r="F587" s="92">
        <v>1</v>
      </c>
      <c r="G587" s="92">
        <v>8</v>
      </c>
      <c r="H587" s="93">
        <v>1.3287981859410432</v>
      </c>
    </row>
    <row r="588" spans="1:15" ht="14.25">
      <c r="D588" s="124" t="s">
        <v>555</v>
      </c>
      <c r="E588" s="124"/>
      <c r="F588" s="124"/>
      <c r="G588" s="124"/>
      <c r="H588" s="125">
        <v>23.011942554799695</v>
      </c>
    </row>
    <row r="589" spans="1:15" ht="14.25">
      <c r="D589" s="92" t="s">
        <v>1569</v>
      </c>
      <c r="E589" s="92"/>
      <c r="F589" s="92">
        <v>2.5</v>
      </c>
      <c r="G589" s="92">
        <v>8</v>
      </c>
      <c r="H589" s="93">
        <v>20</v>
      </c>
    </row>
    <row r="590" spans="1:15" ht="15">
      <c r="D590" s="94" t="s">
        <v>1571</v>
      </c>
      <c r="E590" s="94"/>
      <c r="F590" s="94"/>
      <c r="G590" s="94"/>
      <c r="H590" s="95">
        <v>43.011942554799695</v>
      </c>
    </row>
    <row r="591" spans="1:15" ht="15">
      <c r="D591" s="96" t="s">
        <v>1572</v>
      </c>
      <c r="E591" s="96"/>
      <c r="F591" s="96"/>
      <c r="G591" s="96"/>
      <c r="H591" s="97">
        <v>55.915525321239606</v>
      </c>
    </row>
    <row r="594" spans="1:8" ht="25.5">
      <c r="A594" s="1" t="s">
        <v>3459</v>
      </c>
      <c r="B594" s="17" t="s">
        <v>3500</v>
      </c>
      <c r="C594" s="17" t="s">
        <v>1935</v>
      </c>
      <c r="D594" s="92" t="s">
        <v>1556</v>
      </c>
      <c r="E594" s="92">
        <v>802</v>
      </c>
      <c r="F594" s="92">
        <v>1</v>
      </c>
      <c r="G594" s="92">
        <v>8</v>
      </c>
      <c r="H594" s="230">
        <v>2.9911421911421909</v>
      </c>
    </row>
    <row r="595" spans="1:8" ht="14.25">
      <c r="D595" s="92" t="s">
        <v>1557</v>
      </c>
      <c r="E595" s="92">
        <v>802</v>
      </c>
      <c r="F595" s="92">
        <v>1</v>
      </c>
      <c r="G595" s="92">
        <v>8</v>
      </c>
      <c r="H595" s="93">
        <v>4.2433862433862437</v>
      </c>
    </row>
    <row r="596" spans="1:8" ht="14.25">
      <c r="D596" s="92" t="s">
        <v>1559</v>
      </c>
      <c r="E596" s="92">
        <v>126</v>
      </c>
      <c r="F596" s="92">
        <v>2</v>
      </c>
      <c r="G596" s="92">
        <v>8</v>
      </c>
      <c r="H596" s="93">
        <v>2.4</v>
      </c>
    </row>
    <row r="597" spans="1:8" ht="14.25">
      <c r="D597" s="92" t="s">
        <v>1566</v>
      </c>
      <c r="E597" s="92">
        <v>928</v>
      </c>
      <c r="F597" s="92">
        <v>1</v>
      </c>
      <c r="G597" s="92">
        <v>4</v>
      </c>
      <c r="H597" s="93">
        <v>2.4550264550264549</v>
      </c>
    </row>
    <row r="598" spans="1:8" ht="14.25">
      <c r="D598" s="92" t="s">
        <v>1616</v>
      </c>
      <c r="E598" s="92">
        <v>137.25</v>
      </c>
      <c r="F598" s="92">
        <v>1</v>
      </c>
      <c r="G598" s="92">
        <v>8</v>
      </c>
      <c r="H598" s="93">
        <v>0.72619047619047616</v>
      </c>
    </row>
    <row r="599" spans="1:8" ht="14.25">
      <c r="D599" s="124" t="s">
        <v>555</v>
      </c>
      <c r="E599" s="124"/>
      <c r="F599" s="124"/>
      <c r="G599" s="124"/>
      <c r="H599" s="125">
        <v>12.815745365745366</v>
      </c>
    </row>
    <row r="600" spans="1:8" ht="14.25">
      <c r="D600" s="92" t="s">
        <v>1569</v>
      </c>
      <c r="E600" s="92"/>
      <c r="F600" s="92">
        <v>2</v>
      </c>
      <c r="G600" s="92">
        <v>8</v>
      </c>
      <c r="H600" s="93">
        <v>16</v>
      </c>
    </row>
    <row r="601" spans="1:8" ht="15">
      <c r="D601" s="94" t="s">
        <v>1571</v>
      </c>
      <c r="E601" s="94"/>
      <c r="F601" s="94"/>
      <c r="G601" s="94"/>
      <c r="H601" s="95">
        <v>28.815745365745364</v>
      </c>
    </row>
    <row r="602" spans="1:8" ht="15">
      <c r="D602" s="96" t="s">
        <v>1572</v>
      </c>
      <c r="E602" s="96"/>
      <c r="F602" s="96"/>
      <c r="G602" s="96"/>
      <c r="H602" s="97">
        <v>37.460468975468977</v>
      </c>
    </row>
    <row r="604" spans="1:8" ht="25.5">
      <c r="A604" s="1" t="s">
        <v>3501</v>
      </c>
      <c r="B604" s="17" t="s">
        <v>3502</v>
      </c>
      <c r="C604" s="17" t="s">
        <v>3503</v>
      </c>
      <c r="D604" s="92" t="s">
        <v>1556</v>
      </c>
      <c r="E604" s="92">
        <v>840</v>
      </c>
      <c r="F604" s="92">
        <v>1</v>
      </c>
      <c r="G604" s="92">
        <v>8</v>
      </c>
      <c r="H604" s="93">
        <v>4.4444444444444446</v>
      </c>
    </row>
    <row r="605" spans="1:8" ht="14.25">
      <c r="D605" s="92" t="s">
        <v>1557</v>
      </c>
      <c r="E605" s="92">
        <v>840</v>
      </c>
      <c r="F605" s="92">
        <v>1</v>
      </c>
      <c r="G605" s="92">
        <v>8</v>
      </c>
      <c r="H605" s="93">
        <v>4.4444444444444446</v>
      </c>
    </row>
    <row r="606" spans="1:8" ht="14.25">
      <c r="D606" s="92" t="s">
        <v>1559</v>
      </c>
      <c r="E606" s="92">
        <v>135</v>
      </c>
      <c r="F606" s="92">
        <v>2</v>
      </c>
      <c r="G606" s="92">
        <v>8</v>
      </c>
      <c r="H606" s="93">
        <v>1.4285714285714286</v>
      </c>
    </row>
    <row r="607" spans="1:8" ht="14.25">
      <c r="D607" s="92" t="s">
        <v>1566</v>
      </c>
      <c r="E607" s="92">
        <v>975</v>
      </c>
      <c r="F607" s="92">
        <v>1</v>
      </c>
      <c r="G607" s="92">
        <v>4</v>
      </c>
      <c r="H607" s="93">
        <v>4.6428571428571432</v>
      </c>
    </row>
    <row r="608" spans="1:8" ht="14.25">
      <c r="D608" s="92" t="s">
        <v>1616</v>
      </c>
      <c r="E608" s="92">
        <v>222</v>
      </c>
      <c r="F608" s="92">
        <v>1</v>
      </c>
      <c r="G608" s="92">
        <v>8</v>
      </c>
      <c r="H608" s="93">
        <v>1.1746031746031746</v>
      </c>
    </row>
    <row r="609" spans="1:8" ht="14.25">
      <c r="D609" s="124" t="s">
        <v>555</v>
      </c>
      <c r="E609" s="124"/>
      <c r="F609" s="124"/>
      <c r="G609" s="124"/>
      <c r="H609" s="125">
        <v>16.134920634920636</v>
      </c>
    </row>
    <row r="610" spans="1:8" ht="14.25">
      <c r="D610" s="92" t="s">
        <v>1569</v>
      </c>
      <c r="E610" s="92"/>
      <c r="F610" s="92">
        <v>2</v>
      </c>
      <c r="G610" s="92">
        <v>8</v>
      </c>
      <c r="H610" s="93">
        <v>16</v>
      </c>
    </row>
    <row r="611" spans="1:8" ht="15">
      <c r="D611" s="94" t="s">
        <v>1571</v>
      </c>
      <c r="E611" s="94"/>
      <c r="F611" s="94"/>
      <c r="G611" s="94"/>
      <c r="H611" s="95">
        <v>32.134920634920633</v>
      </c>
    </row>
    <row r="612" spans="1:8" ht="15">
      <c r="D612" s="96" t="s">
        <v>1572</v>
      </c>
      <c r="E612" s="96"/>
      <c r="F612" s="96"/>
      <c r="G612" s="96"/>
      <c r="H612" s="97">
        <v>41.775396825396825</v>
      </c>
    </row>
    <row r="615" spans="1:8" ht="14.25">
      <c r="A615" s="1" t="s">
        <v>3510</v>
      </c>
      <c r="B615" s="17" t="s">
        <v>3511</v>
      </c>
      <c r="C615" s="17" t="s">
        <v>2642</v>
      </c>
      <c r="D615" s="92" t="s">
        <v>1556</v>
      </c>
      <c r="E615" s="126">
        <v>1103.2857142857142</v>
      </c>
      <c r="F615" s="92">
        <v>1</v>
      </c>
      <c r="G615" s="92">
        <v>8</v>
      </c>
      <c r="H615" s="93">
        <v>5.8374905517762654</v>
      </c>
    </row>
    <row r="616" spans="1:8" ht="14.25">
      <c r="D616" s="92" t="s">
        <v>1557</v>
      </c>
      <c r="E616" s="126">
        <v>1103.2857142857142</v>
      </c>
      <c r="F616" s="92">
        <v>1</v>
      </c>
      <c r="G616" s="92">
        <v>8</v>
      </c>
      <c r="H616" s="93">
        <v>5.8374905517762654</v>
      </c>
    </row>
    <row r="617" spans="1:8" ht="14.25">
      <c r="D617" s="92" t="s">
        <v>1559</v>
      </c>
      <c r="E617" s="126">
        <v>153</v>
      </c>
      <c r="F617" s="92">
        <v>2</v>
      </c>
      <c r="G617" s="92">
        <v>8</v>
      </c>
      <c r="H617" s="93">
        <v>1.6190476190476191</v>
      </c>
    </row>
    <row r="618" spans="1:8" ht="14.25">
      <c r="D618" s="92" t="s">
        <v>1566</v>
      </c>
      <c r="E618" s="126">
        <v>1256.2857142857142</v>
      </c>
      <c r="F618" s="92">
        <v>1</v>
      </c>
      <c r="G618" s="92">
        <v>4</v>
      </c>
      <c r="H618" s="93">
        <v>5.982312925170068</v>
      </c>
    </row>
    <row r="619" spans="1:8" ht="14.25">
      <c r="D619" s="92" t="s">
        <v>1616</v>
      </c>
      <c r="E619" s="126">
        <v>173.25</v>
      </c>
      <c r="F619" s="92">
        <v>1</v>
      </c>
      <c r="G619" s="92">
        <v>8</v>
      </c>
      <c r="H619" s="93">
        <v>0.91666666666666663</v>
      </c>
    </row>
    <row r="620" spans="1:8" ht="14.25">
      <c r="D620" s="124" t="s">
        <v>555</v>
      </c>
      <c r="E620" s="124"/>
      <c r="F620" s="124"/>
      <c r="G620" s="124"/>
      <c r="H620" s="125">
        <v>20.193008314436884</v>
      </c>
    </row>
    <row r="621" spans="1:8" ht="14.25">
      <c r="D621" s="92" t="s">
        <v>1569</v>
      </c>
      <c r="E621" s="92"/>
      <c r="F621" s="92">
        <v>2.5</v>
      </c>
      <c r="G621" s="92">
        <v>8</v>
      </c>
      <c r="H621" s="93">
        <v>20</v>
      </c>
    </row>
    <row r="622" spans="1:8" ht="15">
      <c r="D622" s="94" t="s">
        <v>1571</v>
      </c>
      <c r="E622" s="94"/>
      <c r="F622" s="94"/>
      <c r="G622" s="94"/>
      <c r="H622" s="95">
        <v>40.193008314436881</v>
      </c>
    </row>
    <row r="623" spans="1:8" ht="15">
      <c r="D623" s="96" t="s">
        <v>1572</v>
      </c>
      <c r="E623" s="96"/>
      <c r="F623" s="96"/>
      <c r="G623" s="96"/>
      <c r="H623" s="97">
        <v>56.270211640211627</v>
      </c>
    </row>
    <row r="626" spans="1:8" ht="25.5">
      <c r="A626" s="1" t="s">
        <v>3513</v>
      </c>
      <c r="B626" s="17" t="s">
        <v>3520</v>
      </c>
      <c r="C626" s="17" t="s">
        <v>3514</v>
      </c>
      <c r="D626" s="92" t="s">
        <v>1556</v>
      </c>
      <c r="E626" s="92">
        <v>102</v>
      </c>
      <c r="F626" s="92">
        <v>1</v>
      </c>
      <c r="G626" s="92">
        <v>6</v>
      </c>
      <c r="H626" s="93">
        <v>0.40476190476190477</v>
      </c>
    </row>
    <row r="627" spans="1:8" ht="14.25">
      <c r="D627" s="92" t="s">
        <v>1557</v>
      </c>
      <c r="E627" s="92">
        <v>90</v>
      </c>
      <c r="F627" s="92">
        <v>1</v>
      </c>
      <c r="G627" s="92">
        <v>6</v>
      </c>
      <c r="H627" s="93">
        <v>0.3571428571428571</v>
      </c>
    </row>
    <row r="628" spans="1:8" ht="14.25">
      <c r="D628" s="92" t="s">
        <v>1566</v>
      </c>
      <c r="E628" s="92">
        <v>90</v>
      </c>
      <c r="F628" s="92">
        <v>1</v>
      </c>
      <c r="G628" s="92">
        <v>4</v>
      </c>
      <c r="H628" s="93">
        <v>0.42857142857142855</v>
      </c>
    </row>
    <row r="629" spans="1:8" ht="14.25">
      <c r="D629" s="92" t="s">
        <v>2061</v>
      </c>
      <c r="E629" s="92">
        <v>12</v>
      </c>
      <c r="F629" s="92">
        <v>1</v>
      </c>
      <c r="G629" s="92">
        <v>6</v>
      </c>
      <c r="H629" s="93">
        <v>4.7619047619047616E-2</v>
      </c>
    </row>
    <row r="630" spans="1:8" ht="14.25">
      <c r="D630" s="124" t="s">
        <v>555</v>
      </c>
      <c r="E630" s="124"/>
      <c r="F630" s="124"/>
      <c r="G630" s="124"/>
      <c r="H630" s="125">
        <v>1.2380952380952381</v>
      </c>
    </row>
    <row r="631" spans="1:8" ht="14.25">
      <c r="D631" s="92" t="s">
        <v>1569</v>
      </c>
      <c r="E631" s="92"/>
      <c r="F631" s="92">
        <v>0.25</v>
      </c>
      <c r="G631" s="92">
        <v>8</v>
      </c>
      <c r="H631" s="93">
        <v>2</v>
      </c>
    </row>
    <row r="632" spans="1:8" ht="15">
      <c r="D632" s="94" t="s">
        <v>1571</v>
      </c>
      <c r="E632" s="94"/>
      <c r="F632" s="94"/>
      <c r="G632" s="94"/>
      <c r="H632" s="95">
        <v>3.2380952380952381</v>
      </c>
    </row>
    <row r="633" spans="1:8" ht="15">
      <c r="D633" s="96" t="s">
        <v>1572</v>
      </c>
      <c r="E633" s="96"/>
      <c r="F633" s="96"/>
      <c r="G633" s="96"/>
      <c r="H633" s="97">
        <v>4.2095238095238097</v>
      </c>
    </row>
    <row r="636" spans="1:8" ht="14.25">
      <c r="A636" s="1" t="s">
        <v>3517</v>
      </c>
      <c r="B636" s="17" t="s">
        <v>3528</v>
      </c>
      <c r="C636" s="17" t="s">
        <v>3518</v>
      </c>
      <c r="D636" s="92" t="s">
        <v>1556</v>
      </c>
      <c r="E636" s="92">
        <v>840</v>
      </c>
      <c r="F636" s="92">
        <v>1</v>
      </c>
      <c r="G636" s="92">
        <v>9</v>
      </c>
      <c r="H636" s="93">
        <v>5</v>
      </c>
    </row>
    <row r="637" spans="1:8" ht="14.25">
      <c r="D637" s="92" t="s">
        <v>1557</v>
      </c>
      <c r="E637" s="92">
        <v>840</v>
      </c>
      <c r="F637" s="92">
        <v>1</v>
      </c>
      <c r="G637" s="92">
        <v>9</v>
      </c>
      <c r="H637" s="93">
        <v>5</v>
      </c>
    </row>
    <row r="638" spans="1:8" ht="14.25">
      <c r="D638" s="92" t="s">
        <v>1559</v>
      </c>
      <c r="E638" s="92">
        <v>135</v>
      </c>
      <c r="F638" s="92">
        <v>2</v>
      </c>
      <c r="G638" s="92">
        <v>9</v>
      </c>
      <c r="H638" s="93">
        <v>1.6071428571428572</v>
      </c>
    </row>
    <row r="639" spans="1:8" ht="14.25">
      <c r="D639" s="92" t="s">
        <v>1566</v>
      </c>
      <c r="E639" s="92">
        <v>975</v>
      </c>
      <c r="F639" s="92">
        <v>1</v>
      </c>
      <c r="G639" s="92">
        <v>4</v>
      </c>
      <c r="H639" s="93">
        <v>4.6428571428571432</v>
      </c>
    </row>
    <row r="640" spans="1:8" ht="14.25">
      <c r="D640" s="92" t="s">
        <v>1616</v>
      </c>
      <c r="E640" s="92">
        <v>146.25</v>
      </c>
      <c r="F640" s="92">
        <v>1</v>
      </c>
      <c r="G640" s="92">
        <v>9</v>
      </c>
      <c r="H640" s="93">
        <v>1.5669642857142856</v>
      </c>
    </row>
    <row r="641" spans="1:8" ht="14.25">
      <c r="D641" s="124" t="s">
        <v>555</v>
      </c>
      <c r="E641" s="124"/>
      <c r="F641" s="124"/>
      <c r="G641" s="124"/>
      <c r="H641" s="125">
        <v>17.816964285714285</v>
      </c>
    </row>
    <row r="642" spans="1:8" ht="14.25">
      <c r="D642" s="92" t="s">
        <v>1569</v>
      </c>
      <c r="E642" s="92"/>
      <c r="F642" s="92">
        <v>2</v>
      </c>
      <c r="G642" s="92">
        <v>8</v>
      </c>
      <c r="H642" s="93">
        <v>16</v>
      </c>
    </row>
    <row r="643" spans="1:8" ht="15">
      <c r="D643" s="94" t="s">
        <v>1571</v>
      </c>
      <c r="E643" s="94"/>
      <c r="F643" s="94"/>
      <c r="G643" s="94"/>
      <c r="H643" s="95">
        <v>33.816964285714285</v>
      </c>
    </row>
    <row r="644" spans="1:8" ht="15">
      <c r="D644" s="96" t="s">
        <v>1572</v>
      </c>
      <c r="E644" s="96"/>
      <c r="F644" s="96"/>
      <c r="G644" s="96"/>
      <c r="H644" s="97">
        <v>43.962053571428569</v>
      </c>
    </row>
    <row r="647" spans="1:8" ht="14.25">
      <c r="A647" s="1" t="s">
        <v>3517</v>
      </c>
      <c r="B647" s="17" t="s">
        <v>3528</v>
      </c>
      <c r="C647" s="17" t="s">
        <v>3519</v>
      </c>
      <c r="D647" s="92" t="s">
        <v>1556</v>
      </c>
      <c r="E647" s="92">
        <v>1980</v>
      </c>
      <c r="F647" s="92">
        <v>1</v>
      </c>
      <c r="G647" s="92">
        <v>8</v>
      </c>
      <c r="H647" s="93">
        <v>10.476190476190476</v>
      </c>
    </row>
    <row r="648" spans="1:8" ht="14.25">
      <c r="D648" s="92" t="s">
        <v>1557</v>
      </c>
      <c r="E648" s="92">
        <v>1980</v>
      </c>
      <c r="F648" s="92">
        <v>1</v>
      </c>
      <c r="G648" s="92">
        <v>8</v>
      </c>
      <c r="H648" s="93">
        <v>10.476190476190476</v>
      </c>
    </row>
    <row r="649" spans="1:8" ht="14.25">
      <c r="D649" s="92" t="s">
        <v>1566</v>
      </c>
      <c r="E649" s="92">
        <v>1980</v>
      </c>
      <c r="F649" s="92">
        <v>1</v>
      </c>
      <c r="G649" s="92">
        <v>4</v>
      </c>
      <c r="H649" s="93">
        <v>9.4285714285714288</v>
      </c>
    </row>
    <row r="650" spans="1:8" ht="14.25">
      <c r="D650" s="92" t="s">
        <v>1616</v>
      </c>
      <c r="E650" s="92">
        <v>225</v>
      </c>
      <c r="F650" s="92">
        <v>1</v>
      </c>
      <c r="G650" s="92">
        <v>8</v>
      </c>
      <c r="H650" s="93">
        <v>1.1904761904761905</v>
      </c>
    </row>
    <row r="651" spans="1:8" ht="14.25">
      <c r="D651" s="124" t="s">
        <v>555</v>
      </c>
      <c r="E651" s="124"/>
      <c r="F651" s="124"/>
      <c r="G651" s="124"/>
      <c r="H651" s="125">
        <v>31.571428571428569</v>
      </c>
    </row>
    <row r="652" spans="1:8" ht="14.25">
      <c r="D652" s="92" t="s">
        <v>1569</v>
      </c>
      <c r="E652" s="92"/>
      <c r="F652" s="92">
        <v>2.5</v>
      </c>
      <c r="G652" s="92">
        <v>8</v>
      </c>
      <c r="H652" s="93">
        <v>20</v>
      </c>
    </row>
    <row r="653" spans="1:8" ht="15">
      <c r="D653" s="94" t="s">
        <v>1571</v>
      </c>
      <c r="E653" s="94"/>
      <c r="F653" s="94"/>
      <c r="G653" s="94"/>
      <c r="H653" s="95">
        <v>51.571428571428569</v>
      </c>
    </row>
    <row r="654" spans="1:8" ht="15">
      <c r="D654" s="96" t="s">
        <v>1572</v>
      </c>
      <c r="E654" s="96"/>
      <c r="F654" s="96"/>
      <c r="G654" s="96"/>
      <c r="H654" s="97">
        <v>67.042857142857144</v>
      </c>
    </row>
    <row r="657" spans="1:8" ht="14.25">
      <c r="A657" s="1" t="s">
        <v>3517</v>
      </c>
      <c r="B657" s="17" t="s">
        <v>3528</v>
      </c>
      <c r="C657" s="17" t="s">
        <v>2022</v>
      </c>
      <c r="D657" s="92" t="s">
        <v>1556</v>
      </c>
      <c r="E657" s="92">
        <v>322</v>
      </c>
      <c r="F657" s="92">
        <v>1</v>
      </c>
      <c r="G657" s="92">
        <v>8</v>
      </c>
      <c r="H657" s="93">
        <v>1.7037037037037037</v>
      </c>
    </row>
    <row r="658" spans="1:8" ht="14.25">
      <c r="D658" s="92" t="s">
        <v>1557</v>
      </c>
      <c r="E658" s="92">
        <v>322</v>
      </c>
      <c r="F658" s="92">
        <v>1</v>
      </c>
      <c r="G658" s="92">
        <v>8</v>
      </c>
      <c r="H658" s="93">
        <v>1.7037037037037037</v>
      </c>
    </row>
    <row r="659" spans="1:8" ht="14.25">
      <c r="D659" s="92" t="s">
        <v>2070</v>
      </c>
      <c r="E659" s="92">
        <v>210</v>
      </c>
      <c r="F659" s="92">
        <v>1</v>
      </c>
      <c r="G659" s="92">
        <v>20</v>
      </c>
      <c r="H659" s="93">
        <v>2.6515151515151514</v>
      </c>
    </row>
    <row r="660" spans="1:8" ht="14.25">
      <c r="D660" s="92" t="s">
        <v>2073</v>
      </c>
      <c r="E660" s="92">
        <v>56</v>
      </c>
      <c r="F660" s="92">
        <v>2</v>
      </c>
      <c r="G660" s="92">
        <v>20</v>
      </c>
      <c r="H660" s="93">
        <v>1.4814814814814814</v>
      </c>
    </row>
    <row r="661" spans="1:8" ht="14.25">
      <c r="D661" s="92" t="s">
        <v>1616</v>
      </c>
      <c r="E661" s="92">
        <v>420</v>
      </c>
      <c r="F661" s="92">
        <v>1</v>
      </c>
      <c r="G661" s="92">
        <v>1</v>
      </c>
      <c r="H661" s="93">
        <v>0.27777777777777779</v>
      </c>
    </row>
    <row r="662" spans="1:8" ht="14.25">
      <c r="D662" s="124" t="s">
        <v>555</v>
      </c>
      <c r="E662" s="124"/>
      <c r="F662" s="124"/>
      <c r="G662" s="124"/>
      <c r="H662" s="125">
        <v>7.8181818181818175</v>
      </c>
    </row>
    <row r="663" spans="1:8" ht="14.25">
      <c r="D663" s="92" t="s">
        <v>1569</v>
      </c>
      <c r="E663" s="92"/>
      <c r="F663" s="92">
        <v>1</v>
      </c>
      <c r="G663" s="92">
        <v>8</v>
      </c>
      <c r="H663" s="93">
        <v>8</v>
      </c>
    </row>
    <row r="664" spans="1:8" ht="15">
      <c r="D664" s="94" t="s">
        <v>1571</v>
      </c>
      <c r="E664" s="94"/>
      <c r="F664" s="94"/>
      <c r="G664" s="94"/>
      <c r="H664" s="95">
        <v>15.818181818181817</v>
      </c>
    </row>
    <row r="665" spans="1:8" ht="15">
      <c r="D665" s="96" t="s">
        <v>1572</v>
      </c>
      <c r="E665" s="96"/>
      <c r="F665" s="96"/>
      <c r="G665" s="96"/>
      <c r="H665" s="97">
        <v>20.563636363636363</v>
      </c>
    </row>
    <row r="669" spans="1:8" ht="14.25">
      <c r="A669" s="1" t="s">
        <v>3513</v>
      </c>
      <c r="B669" s="17" t="s">
        <v>3545</v>
      </c>
      <c r="C669" s="17" t="s">
        <v>3544</v>
      </c>
      <c r="D669" s="92" t="s">
        <v>1556</v>
      </c>
      <c r="E669" s="92">
        <v>102</v>
      </c>
      <c r="F669" s="92">
        <v>1</v>
      </c>
      <c r="G669" s="92">
        <v>6</v>
      </c>
      <c r="H669" s="93">
        <v>0.40476190476190477</v>
      </c>
    </row>
    <row r="670" spans="1:8" ht="14.25">
      <c r="D670" s="92" t="s">
        <v>1557</v>
      </c>
      <c r="E670" s="92">
        <v>90</v>
      </c>
      <c r="F670" s="92">
        <v>1</v>
      </c>
      <c r="G670" s="92">
        <v>6</v>
      </c>
      <c r="H670" s="93">
        <v>0.3571428571428571</v>
      </c>
    </row>
    <row r="671" spans="1:8" ht="14.25">
      <c r="D671" s="92" t="s">
        <v>1566</v>
      </c>
      <c r="E671" s="92">
        <v>90</v>
      </c>
      <c r="F671" s="92">
        <v>1</v>
      </c>
      <c r="G671" s="92">
        <v>4</v>
      </c>
      <c r="H671" s="93">
        <v>0.42857142857142855</v>
      </c>
    </row>
    <row r="672" spans="1:8" ht="14.25">
      <c r="D672" s="92" t="s">
        <v>2061</v>
      </c>
      <c r="E672" s="92">
        <v>12</v>
      </c>
      <c r="F672" s="92">
        <v>1</v>
      </c>
      <c r="G672" s="92">
        <v>6</v>
      </c>
      <c r="H672" s="93">
        <v>4.7619047619047616E-2</v>
      </c>
    </row>
    <row r="673" spans="1:8" ht="14.25">
      <c r="D673" s="124" t="s">
        <v>555</v>
      </c>
      <c r="E673" s="124"/>
      <c r="F673" s="124"/>
      <c r="G673" s="124"/>
      <c r="H673" s="125">
        <v>1.2380952380952381</v>
      </c>
    </row>
    <row r="674" spans="1:8" ht="14.25">
      <c r="D674" s="92" t="s">
        <v>1569</v>
      </c>
      <c r="E674" s="92"/>
      <c r="F674" s="92">
        <v>0.25</v>
      </c>
      <c r="G674" s="92">
        <v>8</v>
      </c>
      <c r="H674" s="93">
        <v>2</v>
      </c>
    </row>
    <row r="675" spans="1:8" ht="15">
      <c r="D675" s="94" t="s">
        <v>1571</v>
      </c>
      <c r="E675" s="94"/>
      <c r="F675" s="94"/>
      <c r="G675" s="94"/>
      <c r="H675" s="95">
        <v>3.2380952380952381</v>
      </c>
    </row>
    <row r="676" spans="1:8" ht="15">
      <c r="D676" s="96" t="s">
        <v>1572</v>
      </c>
      <c r="E676" s="96"/>
      <c r="F676" s="96"/>
      <c r="G676" s="96"/>
      <c r="H676" s="97">
        <v>4.2095238095238097</v>
      </c>
    </row>
    <row r="680" spans="1:8" ht="25.5">
      <c r="A680" s="1" t="s">
        <v>3540</v>
      </c>
      <c r="B680" s="17" t="s">
        <v>3541</v>
      </c>
      <c r="C680" s="17" t="s">
        <v>3542</v>
      </c>
      <c r="D680" s="92" t="s">
        <v>1556</v>
      </c>
      <c r="E680" s="126">
        <v>965.71428571428578</v>
      </c>
      <c r="F680" s="92">
        <v>1</v>
      </c>
      <c r="G680" s="92">
        <v>8</v>
      </c>
      <c r="H680" s="93">
        <v>5.1095993953136816</v>
      </c>
    </row>
    <row r="681" spans="1:8" ht="14.25">
      <c r="D681" s="92" t="s">
        <v>1557</v>
      </c>
      <c r="E681" s="126">
        <v>965.71428571428578</v>
      </c>
      <c r="F681" s="92">
        <v>1</v>
      </c>
      <c r="G681" s="92">
        <v>8</v>
      </c>
      <c r="H681" s="93">
        <v>5.1095993953136816</v>
      </c>
    </row>
    <row r="682" spans="1:8" ht="14.25">
      <c r="D682" s="92" t="s">
        <v>1559</v>
      </c>
      <c r="E682" s="126">
        <v>144</v>
      </c>
      <c r="F682" s="92">
        <v>2</v>
      </c>
      <c r="G682" s="92">
        <v>8</v>
      </c>
      <c r="H682" s="93">
        <v>1.5238095238095237</v>
      </c>
    </row>
    <row r="683" spans="1:8" ht="14.25">
      <c r="D683" s="92" t="s">
        <v>1566</v>
      </c>
      <c r="E683" s="126">
        <v>1109.7142857142858</v>
      </c>
      <c r="F683" s="92">
        <v>1</v>
      </c>
      <c r="G683" s="92">
        <v>4</v>
      </c>
      <c r="H683" s="93">
        <v>5.2843537414965986</v>
      </c>
    </row>
    <row r="684" spans="1:8" ht="14.25">
      <c r="D684" s="92" t="s">
        <v>1616</v>
      </c>
      <c r="E684" s="126">
        <v>410.57142857142861</v>
      </c>
      <c r="F684" s="92">
        <v>1</v>
      </c>
      <c r="G684" s="92">
        <v>6</v>
      </c>
      <c r="H684" s="93">
        <v>1.6292517006802725</v>
      </c>
    </row>
    <row r="685" spans="1:8" ht="14.25">
      <c r="D685" s="124" t="s">
        <v>555</v>
      </c>
      <c r="E685" s="124"/>
      <c r="F685" s="124"/>
      <c r="G685" s="124"/>
      <c r="H685" s="125">
        <v>18.656613756613758</v>
      </c>
    </row>
    <row r="686" spans="1:8" ht="14.25">
      <c r="D686" s="92" t="s">
        <v>1569</v>
      </c>
      <c r="E686" s="92"/>
      <c r="F686" s="92">
        <v>2</v>
      </c>
      <c r="G686" s="92">
        <v>8</v>
      </c>
      <c r="H686" s="93">
        <v>16</v>
      </c>
    </row>
    <row r="687" spans="1:8" ht="15">
      <c r="D687" s="94" t="s">
        <v>1571</v>
      </c>
      <c r="E687" s="94"/>
      <c r="F687" s="94"/>
      <c r="G687" s="94"/>
      <c r="H687" s="95">
        <v>34.656613756613758</v>
      </c>
    </row>
    <row r="688" spans="1:8" ht="15">
      <c r="D688" s="96" t="s">
        <v>1572</v>
      </c>
      <c r="E688" s="96"/>
      <c r="F688" s="96"/>
      <c r="G688" s="96"/>
      <c r="H688" s="97">
        <v>45.053597883597888</v>
      </c>
    </row>
    <row r="691" spans="1:10" ht="25.5">
      <c r="A691" s="1" t="s">
        <v>3558</v>
      </c>
      <c r="B691" s="17" t="s">
        <v>3581</v>
      </c>
      <c r="C691" s="17" t="s">
        <v>3559</v>
      </c>
      <c r="D691" s="92" t="s">
        <v>1556</v>
      </c>
      <c r="E691" s="92">
        <v>523.28571428571422</v>
      </c>
      <c r="F691" s="92">
        <v>1</v>
      </c>
      <c r="G691" s="92">
        <v>3</v>
      </c>
      <c r="H691" s="93">
        <v>0.77409129332206239</v>
      </c>
    </row>
    <row r="692" spans="1:10" ht="14.25">
      <c r="D692" s="92" t="s">
        <v>1557</v>
      </c>
      <c r="E692" s="92">
        <v>523.28571428571422</v>
      </c>
      <c r="F692" s="92">
        <v>0</v>
      </c>
      <c r="G692" s="92">
        <v>6</v>
      </c>
      <c r="H692" s="93">
        <v>0</v>
      </c>
    </row>
    <row r="693" spans="1:10" ht="14.25">
      <c r="D693" s="92" t="s">
        <v>1559</v>
      </c>
      <c r="E693" s="92">
        <v>72</v>
      </c>
      <c r="F693" s="92">
        <v>1</v>
      </c>
      <c r="G693" s="92">
        <v>3</v>
      </c>
      <c r="H693" s="93">
        <v>0.10650887573964497</v>
      </c>
    </row>
    <row r="694" spans="1:10" ht="14.25">
      <c r="D694" s="92" t="s">
        <v>1566</v>
      </c>
      <c r="E694" s="92">
        <v>595.28571428571422</v>
      </c>
      <c r="F694" s="92">
        <v>0</v>
      </c>
      <c r="G694" s="92">
        <v>4</v>
      </c>
      <c r="H694" s="93">
        <v>0</v>
      </c>
      <c r="J694" s="1" t="s">
        <v>3582</v>
      </c>
    </row>
    <row r="695" spans="1:10" ht="14.25">
      <c r="D695" s="92" t="s">
        <v>1616</v>
      </c>
      <c r="E695" s="92">
        <v>100.28571428571428</v>
      </c>
      <c r="F695" s="92">
        <v>1</v>
      </c>
      <c r="G695" s="92">
        <v>2</v>
      </c>
      <c r="H695" s="93">
        <v>0.51428571428571423</v>
      </c>
    </row>
    <row r="696" spans="1:10" ht="14.25">
      <c r="D696" s="124" t="s">
        <v>555</v>
      </c>
      <c r="E696" s="124"/>
      <c r="F696" s="124"/>
      <c r="G696" s="124"/>
      <c r="H696" s="125">
        <v>1.3948858833474216</v>
      </c>
    </row>
    <row r="697" spans="1:10" ht="14.25">
      <c r="D697" s="92" t="s">
        <v>1569</v>
      </c>
      <c r="E697" s="92"/>
      <c r="F697" s="92">
        <v>1</v>
      </c>
      <c r="G697" s="92">
        <v>8</v>
      </c>
      <c r="H697" s="93">
        <v>8</v>
      </c>
    </row>
    <row r="698" spans="1:10" ht="15">
      <c r="D698" s="94" t="s">
        <v>1571</v>
      </c>
      <c r="E698" s="94"/>
      <c r="F698" s="94"/>
      <c r="G698" s="94"/>
      <c r="H698" s="95">
        <v>9.3948858833474223</v>
      </c>
    </row>
    <row r="699" spans="1:10" ht="15">
      <c r="D699" s="96" t="s">
        <v>1572</v>
      </c>
      <c r="E699" s="96"/>
      <c r="F699" s="96"/>
      <c r="G699" s="96"/>
      <c r="H699" s="97">
        <v>14.092328825021134</v>
      </c>
    </row>
    <row r="704" spans="1:10" ht="14.25">
      <c r="A704" s="1" t="s">
        <v>3562</v>
      </c>
      <c r="B704" s="17" t="s">
        <v>3564</v>
      </c>
      <c r="C704" s="17" t="s">
        <v>3563</v>
      </c>
      <c r="D704" s="92" t="s">
        <v>1556</v>
      </c>
      <c r="E704" s="92">
        <v>840</v>
      </c>
      <c r="F704" s="92">
        <v>1</v>
      </c>
      <c r="G704" s="92">
        <v>8</v>
      </c>
      <c r="H704" s="93">
        <v>4.4444444444444446</v>
      </c>
    </row>
    <row r="705" spans="1:16" ht="14.25">
      <c r="B705" s="17" t="s">
        <v>3565</v>
      </c>
      <c r="D705" s="92" t="s">
        <v>1557</v>
      </c>
      <c r="E705" s="92">
        <v>840</v>
      </c>
      <c r="F705" s="92">
        <v>1</v>
      </c>
      <c r="G705" s="92">
        <v>8</v>
      </c>
      <c r="H705" s="93">
        <v>4.4444444444444446</v>
      </c>
    </row>
    <row r="706" spans="1:16" ht="14.25">
      <c r="D706" s="92" t="s">
        <v>1559</v>
      </c>
      <c r="E706" s="92">
        <v>135</v>
      </c>
      <c r="F706" s="92">
        <v>2</v>
      </c>
      <c r="G706" s="92">
        <v>8</v>
      </c>
      <c r="H706" s="93">
        <v>1.4285714285714286</v>
      </c>
    </row>
    <row r="707" spans="1:16" ht="14.25">
      <c r="D707" s="92" t="s">
        <v>1566</v>
      </c>
      <c r="E707" s="92">
        <v>975</v>
      </c>
      <c r="F707" s="92">
        <v>1</v>
      </c>
      <c r="G707" s="92">
        <v>4</v>
      </c>
      <c r="H707" s="93">
        <v>4.6428571428571432</v>
      </c>
    </row>
    <row r="708" spans="1:16" ht="14.25">
      <c r="D708" s="92" t="s">
        <v>1616</v>
      </c>
      <c r="E708" s="92">
        <v>146.25</v>
      </c>
      <c r="F708" s="92">
        <v>1</v>
      </c>
      <c r="G708" s="92">
        <v>8</v>
      </c>
      <c r="H708" s="93">
        <v>1.3928571428571428</v>
      </c>
    </row>
    <row r="709" spans="1:16" ht="14.25">
      <c r="D709" s="124" t="s">
        <v>555</v>
      </c>
      <c r="E709" s="124"/>
      <c r="F709" s="124"/>
      <c r="G709" s="124"/>
      <c r="H709" s="125">
        <v>16.353174603174605</v>
      </c>
    </row>
    <row r="710" spans="1:16" ht="14.25">
      <c r="D710" s="92" t="s">
        <v>1569</v>
      </c>
      <c r="E710" s="92"/>
      <c r="F710" s="92">
        <v>2</v>
      </c>
      <c r="G710" s="92">
        <v>8</v>
      </c>
      <c r="H710" s="93">
        <v>16</v>
      </c>
    </row>
    <row r="711" spans="1:16" ht="15">
      <c r="D711" s="94" t="s">
        <v>1571</v>
      </c>
      <c r="E711" s="94"/>
      <c r="F711" s="94"/>
      <c r="G711" s="94"/>
      <c r="H711" s="95">
        <v>32.353174603174608</v>
      </c>
    </row>
    <row r="712" spans="1:16" ht="15">
      <c r="D712" s="96" t="s">
        <v>1572</v>
      </c>
      <c r="E712" s="96"/>
      <c r="F712" s="96"/>
      <c r="G712" s="96"/>
      <c r="H712" s="97">
        <v>42.059126984126991</v>
      </c>
    </row>
    <row r="716" spans="1:16" ht="14.25">
      <c r="A716" s="1" t="s">
        <v>3575</v>
      </c>
      <c r="B716" s="1" t="s">
        <v>3576</v>
      </c>
      <c r="C716" s="1" t="s">
        <v>3577</v>
      </c>
      <c r="D716" s="92" t="s">
        <v>1556</v>
      </c>
      <c r="E716" s="92">
        <v>700</v>
      </c>
      <c r="F716" s="92">
        <v>1</v>
      </c>
      <c r="G716" s="92">
        <v>3</v>
      </c>
      <c r="H716" s="93">
        <v>1.0355029585798816</v>
      </c>
      <c r="I716" s="92"/>
      <c r="J716" s="92"/>
      <c r="K716" s="92"/>
      <c r="L716" s="92"/>
      <c r="M716" s="92"/>
      <c r="N716" s="92"/>
      <c r="O716" s="92"/>
      <c r="P716" s="92"/>
    </row>
    <row r="717" spans="1:16" ht="14.25">
      <c r="D717" s="92" t="s">
        <v>1557</v>
      </c>
      <c r="E717" s="92">
        <v>700</v>
      </c>
      <c r="F717" s="92">
        <v>0</v>
      </c>
      <c r="G717" s="92">
        <v>6</v>
      </c>
      <c r="H717" s="93">
        <v>0</v>
      </c>
      <c r="I717" s="92"/>
      <c r="J717" s="92"/>
      <c r="K717" s="92" t="s">
        <v>1595</v>
      </c>
      <c r="L717" s="92" t="s">
        <v>1594</v>
      </c>
      <c r="M717" s="92" t="s">
        <v>1646</v>
      </c>
      <c r="N717" s="92" t="s">
        <v>1643</v>
      </c>
      <c r="O717" s="92" t="s">
        <v>1648</v>
      </c>
      <c r="P717" s="92"/>
    </row>
    <row r="718" spans="1:16" ht="14.25">
      <c r="D718" s="92" t="s">
        <v>1559</v>
      </c>
      <c r="E718" s="92">
        <v>112</v>
      </c>
      <c r="F718" s="92">
        <v>1</v>
      </c>
      <c r="G718" s="92">
        <v>3</v>
      </c>
      <c r="H718" s="93">
        <v>0.16568047337278105</v>
      </c>
      <c r="I718" s="92"/>
      <c r="J718" s="92" t="s">
        <v>2791</v>
      </c>
      <c r="K718" s="188">
        <v>13</v>
      </c>
      <c r="L718" s="188">
        <v>9</v>
      </c>
      <c r="M718" s="188">
        <v>9</v>
      </c>
      <c r="N718" s="241">
        <v>32.142857142857139</v>
      </c>
      <c r="O718" s="188">
        <v>234</v>
      </c>
      <c r="P718" s="92"/>
    </row>
    <row r="719" spans="1:16" ht="14.25">
      <c r="D719" s="92" t="s">
        <v>1566</v>
      </c>
      <c r="E719" s="92">
        <v>812</v>
      </c>
      <c r="F719" s="92">
        <v>0</v>
      </c>
      <c r="G719" s="92">
        <v>4</v>
      </c>
      <c r="H719" s="93">
        <v>0</v>
      </c>
      <c r="I719" s="92"/>
      <c r="J719" s="92" t="s">
        <v>3567</v>
      </c>
      <c r="K719" s="92">
        <v>14</v>
      </c>
      <c r="L719" s="92">
        <v>14</v>
      </c>
      <c r="M719" s="92">
        <v>9</v>
      </c>
      <c r="N719" s="92">
        <v>32</v>
      </c>
      <c r="O719" s="126">
        <v>252</v>
      </c>
      <c r="P719" s="92"/>
    </row>
    <row r="720" spans="1:16" ht="14.25">
      <c r="D720" s="92" t="s">
        <v>1616</v>
      </c>
      <c r="E720" s="92">
        <v>110</v>
      </c>
      <c r="F720" s="92">
        <v>1</v>
      </c>
      <c r="G720" s="92">
        <v>2</v>
      </c>
      <c r="H720" s="93">
        <v>0.5641025641025641</v>
      </c>
      <c r="I720" s="92"/>
      <c r="J720" s="92"/>
      <c r="K720" s="92"/>
      <c r="L720" s="92"/>
      <c r="M720" s="92"/>
      <c r="N720" s="92"/>
      <c r="O720" s="92"/>
      <c r="P720" s="92"/>
    </row>
    <row r="721" spans="1:16" ht="14.25">
      <c r="D721" s="124" t="s">
        <v>555</v>
      </c>
      <c r="E721" s="124"/>
      <c r="F721" s="124"/>
      <c r="G721" s="124"/>
      <c r="H721" s="125">
        <v>1.7652859960552267</v>
      </c>
      <c r="I721" s="92"/>
      <c r="J721" s="92"/>
      <c r="K721" s="92" t="s">
        <v>2366</v>
      </c>
      <c r="L721" s="92">
        <v>46</v>
      </c>
      <c r="M721" s="92"/>
      <c r="N721" s="92"/>
      <c r="O721" s="92"/>
      <c r="P721" s="92"/>
    </row>
    <row r="722" spans="1:16" ht="14.25">
      <c r="D722" s="92" t="s">
        <v>1569</v>
      </c>
      <c r="E722" s="92"/>
      <c r="F722" s="92">
        <v>1</v>
      </c>
      <c r="G722" s="92">
        <v>8</v>
      </c>
      <c r="H722" s="93">
        <v>8</v>
      </c>
      <c r="I722" s="92"/>
      <c r="J722" s="92"/>
      <c r="K722" s="92" t="s">
        <v>2638</v>
      </c>
      <c r="L722" s="92">
        <v>64</v>
      </c>
      <c r="M722" s="92"/>
      <c r="N722" s="92"/>
      <c r="O722" s="92"/>
      <c r="P722" s="92"/>
    </row>
    <row r="723" spans="1:16" ht="15">
      <c r="D723" s="94" t="s">
        <v>1571</v>
      </c>
      <c r="E723" s="94"/>
      <c r="F723" s="94"/>
      <c r="G723" s="94"/>
      <c r="H723" s="95">
        <v>9.7652859960552263</v>
      </c>
      <c r="I723" s="92">
        <v>35</v>
      </c>
      <c r="J723" s="92"/>
      <c r="K723" s="92"/>
      <c r="L723" s="92">
        <v>110</v>
      </c>
      <c r="M723" s="92"/>
      <c r="N723" s="92" t="s">
        <v>2366</v>
      </c>
      <c r="O723" s="92">
        <v>390</v>
      </c>
      <c r="P723" s="92">
        <v>2</v>
      </c>
    </row>
    <row r="724" spans="1:16" ht="15">
      <c r="D724" s="96" t="s">
        <v>1572</v>
      </c>
      <c r="E724" s="96"/>
      <c r="F724" s="96"/>
      <c r="G724" s="96"/>
      <c r="H724" s="97">
        <v>14.647928994082839</v>
      </c>
      <c r="I724" s="92"/>
      <c r="J724" s="92"/>
      <c r="K724" s="92"/>
      <c r="L724" s="92"/>
      <c r="M724" s="92"/>
      <c r="N724" s="92"/>
      <c r="O724" s="92"/>
      <c r="P724" s="92"/>
    </row>
    <row r="727" spans="1:16" ht="25.5">
      <c r="A727" s="1" t="s">
        <v>3578</v>
      </c>
      <c r="B727" s="17" t="s">
        <v>3579</v>
      </c>
      <c r="C727" s="17" t="s">
        <v>3580</v>
      </c>
      <c r="D727" s="92" t="s">
        <v>1556</v>
      </c>
      <c r="E727" s="126">
        <v>934.85714285714278</v>
      </c>
      <c r="F727" s="92">
        <v>1</v>
      </c>
      <c r="G727" s="92">
        <v>8</v>
      </c>
      <c r="H727" s="93">
        <v>4.9463340891912315</v>
      </c>
      <c r="I727" s="92"/>
      <c r="J727" s="92"/>
      <c r="K727" s="92"/>
      <c r="L727" s="92"/>
      <c r="M727" s="92"/>
      <c r="N727" s="92"/>
      <c r="O727" s="92"/>
    </row>
    <row r="728" spans="1:16" ht="14.25">
      <c r="D728" s="92" t="s">
        <v>1557</v>
      </c>
      <c r="E728" s="126">
        <v>934.85714285714278</v>
      </c>
      <c r="F728" s="92">
        <v>1</v>
      </c>
      <c r="G728" s="92">
        <v>6</v>
      </c>
      <c r="H728" s="93">
        <v>3.7097505668934234</v>
      </c>
      <c r="I728" s="92"/>
      <c r="J728" s="92"/>
      <c r="K728" s="92" t="s">
        <v>1595</v>
      </c>
      <c r="L728" s="92" t="s">
        <v>1594</v>
      </c>
      <c r="M728" s="92" t="s">
        <v>1646</v>
      </c>
      <c r="N728" s="92" t="s">
        <v>1643</v>
      </c>
      <c r="O728" s="92" t="s">
        <v>1648</v>
      </c>
    </row>
    <row r="729" spans="1:16" ht="14.25">
      <c r="D729" s="92" t="s">
        <v>1559</v>
      </c>
      <c r="E729" s="126">
        <v>180</v>
      </c>
      <c r="F729" s="92">
        <v>2</v>
      </c>
      <c r="G729" s="92">
        <v>7</v>
      </c>
      <c r="H729" s="93">
        <v>1.6666666666666665</v>
      </c>
      <c r="I729" s="92" t="s">
        <v>3572</v>
      </c>
      <c r="J729" s="92"/>
      <c r="K729" s="188">
        <v>14</v>
      </c>
      <c r="L729" s="188">
        <v>20</v>
      </c>
      <c r="M729" s="188">
        <v>9</v>
      </c>
      <c r="N729" s="241">
        <v>34.142857142857139</v>
      </c>
      <c r="O729" s="241">
        <v>252</v>
      </c>
    </row>
    <row r="730" spans="1:16" ht="14.25">
      <c r="D730" s="92" t="s">
        <v>1566</v>
      </c>
      <c r="E730" s="126">
        <v>1114.8571428571427</v>
      </c>
      <c r="F730" s="92">
        <v>1</v>
      </c>
      <c r="G730" s="92">
        <v>4</v>
      </c>
      <c r="H730" s="93">
        <v>5.3088435374149654</v>
      </c>
      <c r="I730" s="92"/>
      <c r="J730" s="92"/>
      <c r="K730" s="92"/>
      <c r="L730" s="92"/>
      <c r="M730" s="92"/>
      <c r="N730" s="92"/>
      <c r="O730" s="126"/>
    </row>
    <row r="731" spans="1:16" ht="14.25">
      <c r="D731" s="92" t="s">
        <v>1616</v>
      </c>
      <c r="E731" s="126">
        <v>175.5</v>
      </c>
      <c r="F731" s="92">
        <v>1</v>
      </c>
      <c r="G731" s="92">
        <v>6</v>
      </c>
      <c r="H731" s="93">
        <v>0.6964285714285714</v>
      </c>
      <c r="I731" s="92"/>
      <c r="J731" s="92"/>
      <c r="K731" s="92" t="s">
        <v>2317</v>
      </c>
      <c r="L731" s="126">
        <v>175.5</v>
      </c>
      <c r="M731" s="92"/>
      <c r="N731" s="92"/>
      <c r="O731" s="92"/>
    </row>
    <row r="732" spans="1:16" ht="14.25">
      <c r="D732" s="124" t="s">
        <v>555</v>
      </c>
      <c r="E732" s="124"/>
      <c r="F732" s="124"/>
      <c r="G732" s="124"/>
      <c r="H732" s="125">
        <v>16.328023431594858</v>
      </c>
      <c r="I732" s="92"/>
      <c r="J732" s="92"/>
      <c r="K732" s="92" t="s">
        <v>2638</v>
      </c>
      <c r="L732" s="126"/>
      <c r="M732" s="92"/>
      <c r="N732" s="92"/>
      <c r="O732" s="92"/>
    </row>
    <row r="733" spans="1:16" ht="14.25">
      <c r="D733" s="92" t="s">
        <v>1569</v>
      </c>
      <c r="E733" s="92"/>
      <c r="F733" s="92">
        <v>3</v>
      </c>
      <c r="G733" s="92">
        <v>8</v>
      </c>
      <c r="H733" s="93">
        <v>24</v>
      </c>
      <c r="I733" s="92"/>
      <c r="J733" s="92"/>
      <c r="K733" s="92"/>
      <c r="L733" s="126">
        <v>175.5</v>
      </c>
      <c r="M733" s="92"/>
      <c r="N733" s="92"/>
      <c r="O733" s="92"/>
    </row>
    <row r="734" spans="1:16" ht="15">
      <c r="D734" s="94" t="s">
        <v>1571</v>
      </c>
      <c r="E734" s="94"/>
      <c r="F734" s="94"/>
      <c r="G734" s="94"/>
      <c r="H734" s="95">
        <v>40.328023431594858</v>
      </c>
      <c r="I734" s="92"/>
      <c r="J734" s="92"/>
      <c r="K734" s="92"/>
      <c r="L734" s="92"/>
      <c r="M734" s="92"/>
      <c r="N734" s="92"/>
      <c r="O734" s="92"/>
    </row>
    <row r="735" spans="1:16" ht="15">
      <c r="D735" s="96" t="s">
        <v>1572</v>
      </c>
      <c r="E735" s="96"/>
      <c r="F735" s="96"/>
      <c r="G735" s="96"/>
      <c r="H735" s="97">
        <v>56.459232804232798</v>
      </c>
      <c r="I735" s="92"/>
      <c r="J735" s="92"/>
      <c r="K735" s="92"/>
      <c r="L735" s="92"/>
      <c r="M735" s="92"/>
      <c r="N735" s="92"/>
      <c r="O735" s="92"/>
    </row>
    <row r="738" spans="1:8" ht="25.5">
      <c r="A738" s="1" t="s">
        <v>3574</v>
      </c>
      <c r="B738" s="17" t="s">
        <v>3585</v>
      </c>
      <c r="C738" s="17" t="s">
        <v>3587</v>
      </c>
      <c r="D738" s="92" t="s">
        <v>1556</v>
      </c>
      <c r="E738" s="92">
        <v>840</v>
      </c>
      <c r="F738" s="92">
        <v>1</v>
      </c>
      <c r="G738" s="92">
        <v>9</v>
      </c>
      <c r="H738" s="93">
        <v>5</v>
      </c>
    </row>
    <row r="739" spans="1:8" ht="14.25">
      <c r="D739" s="92" t="s">
        <v>1557</v>
      </c>
      <c r="E739" s="92">
        <v>840</v>
      </c>
      <c r="F739" s="92">
        <v>1</v>
      </c>
      <c r="G739" s="92">
        <v>9</v>
      </c>
      <c r="H739" s="93">
        <v>5</v>
      </c>
    </row>
    <row r="740" spans="1:8" ht="14.25">
      <c r="D740" s="92" t="s">
        <v>1559</v>
      </c>
      <c r="E740" s="92">
        <v>135</v>
      </c>
      <c r="F740" s="92">
        <v>2</v>
      </c>
      <c r="G740" s="92">
        <v>9</v>
      </c>
      <c r="H740" s="93">
        <v>1.6071428571428572</v>
      </c>
    </row>
    <row r="741" spans="1:8" ht="14.25">
      <c r="D741" s="92" t="s">
        <v>1566</v>
      </c>
      <c r="E741" s="92">
        <v>975</v>
      </c>
      <c r="F741" s="92">
        <v>1</v>
      </c>
      <c r="G741" s="92">
        <v>4</v>
      </c>
      <c r="H741" s="93">
        <v>4.6428571428571432</v>
      </c>
    </row>
    <row r="742" spans="1:8" ht="14.25">
      <c r="D742" s="92" t="s">
        <v>1616</v>
      </c>
      <c r="E742" s="92">
        <v>222</v>
      </c>
      <c r="F742" s="92">
        <v>1</v>
      </c>
      <c r="G742" s="92">
        <v>9</v>
      </c>
      <c r="H742" s="93">
        <v>1.3214285714285714</v>
      </c>
    </row>
    <row r="743" spans="1:8" ht="14.25">
      <c r="D743" s="124" t="s">
        <v>555</v>
      </c>
      <c r="E743" s="124"/>
      <c r="F743" s="124"/>
      <c r="G743" s="124"/>
      <c r="H743" s="125">
        <v>17.571428571428573</v>
      </c>
    </row>
    <row r="744" spans="1:8" ht="14.25">
      <c r="D744" s="92" t="s">
        <v>1569</v>
      </c>
      <c r="E744" s="92"/>
      <c r="F744" s="92">
        <v>2</v>
      </c>
      <c r="G744" s="92">
        <v>8</v>
      </c>
      <c r="H744" s="93">
        <v>16</v>
      </c>
    </row>
    <row r="745" spans="1:8" ht="15">
      <c r="D745" s="94" t="s">
        <v>1571</v>
      </c>
      <c r="E745" s="94"/>
      <c r="F745" s="94"/>
      <c r="G745" s="94"/>
      <c r="H745" s="95">
        <v>33.571428571428569</v>
      </c>
    </row>
    <row r="746" spans="1:8" ht="15">
      <c r="D746" s="96" t="s">
        <v>1572</v>
      </c>
      <c r="E746" s="96"/>
      <c r="F746" s="96"/>
      <c r="G746" s="96"/>
      <c r="H746" s="97">
        <v>43.642857142857139</v>
      </c>
    </row>
    <row r="749" spans="1:8" ht="25.5">
      <c r="A749" s="1" t="s">
        <v>3574</v>
      </c>
      <c r="B749" s="17" t="s">
        <v>3586</v>
      </c>
      <c r="C749" s="17" t="s">
        <v>3587</v>
      </c>
      <c r="D749" s="92" t="s">
        <v>1556</v>
      </c>
      <c r="E749" s="92">
        <v>840</v>
      </c>
      <c r="F749" s="92">
        <v>1</v>
      </c>
      <c r="G749" s="92">
        <v>9</v>
      </c>
      <c r="H749" s="93">
        <v>5</v>
      </c>
    </row>
    <row r="750" spans="1:8" ht="14.25">
      <c r="D750" s="92" t="s">
        <v>1557</v>
      </c>
      <c r="E750" s="92">
        <v>840</v>
      </c>
      <c r="F750" s="92">
        <v>1</v>
      </c>
      <c r="G750" s="92">
        <v>9</v>
      </c>
      <c r="H750" s="93">
        <v>5</v>
      </c>
    </row>
    <row r="751" spans="1:8" ht="14.25">
      <c r="D751" s="92" t="s">
        <v>1559</v>
      </c>
      <c r="E751" s="92">
        <v>135</v>
      </c>
      <c r="F751" s="92">
        <v>2</v>
      </c>
      <c r="G751" s="92">
        <v>9</v>
      </c>
      <c r="H751" s="93">
        <v>1.6071428571428572</v>
      </c>
    </row>
    <row r="752" spans="1:8" ht="14.25">
      <c r="D752" s="92" t="s">
        <v>1566</v>
      </c>
      <c r="E752" s="92">
        <v>975</v>
      </c>
      <c r="F752" s="92">
        <v>1</v>
      </c>
      <c r="G752" s="92">
        <v>4</v>
      </c>
      <c r="H752" s="93">
        <v>4.6428571428571432</v>
      </c>
    </row>
    <row r="753" spans="1:15" ht="14.25">
      <c r="D753" s="92" t="s">
        <v>1616</v>
      </c>
      <c r="E753" s="92">
        <v>222</v>
      </c>
      <c r="F753" s="92">
        <v>1</v>
      </c>
      <c r="G753" s="92">
        <v>9</v>
      </c>
      <c r="H753" s="93">
        <v>1.3214285714285714</v>
      </c>
    </row>
    <row r="754" spans="1:15" ht="14.25">
      <c r="D754" s="124" t="s">
        <v>555</v>
      </c>
      <c r="E754" s="124"/>
      <c r="F754" s="124"/>
      <c r="G754" s="124"/>
      <c r="H754" s="125">
        <v>17.571428571428573</v>
      </c>
    </row>
    <row r="755" spans="1:15" ht="14.25">
      <c r="D755" s="92" t="s">
        <v>1569</v>
      </c>
      <c r="E755" s="92"/>
      <c r="F755" s="92">
        <v>2</v>
      </c>
      <c r="G755" s="92">
        <v>8</v>
      </c>
      <c r="H755" s="93">
        <v>16</v>
      </c>
    </row>
    <row r="756" spans="1:15" ht="15">
      <c r="D756" s="94" t="s">
        <v>1571</v>
      </c>
      <c r="E756" s="94"/>
      <c r="F756" s="94"/>
      <c r="G756" s="94"/>
      <c r="H756" s="95">
        <v>33.571428571428569</v>
      </c>
    </row>
    <row r="757" spans="1:15" ht="15">
      <c r="D757" s="96" t="s">
        <v>1572</v>
      </c>
      <c r="E757" s="96"/>
      <c r="F757" s="96"/>
      <c r="G757" s="96"/>
      <c r="H757" s="97">
        <v>43.642857142857139</v>
      </c>
    </row>
    <row r="760" spans="1:15" ht="14.25">
      <c r="A760" s="1" t="s">
        <v>3573</v>
      </c>
      <c r="B760" s="17" t="s">
        <v>3593</v>
      </c>
      <c r="C760" s="17" t="s">
        <v>3591</v>
      </c>
      <c r="D760" s="92" t="s">
        <v>1556</v>
      </c>
      <c r="E760" s="92">
        <v>1005</v>
      </c>
      <c r="F760" s="92">
        <v>1</v>
      </c>
      <c r="G760" s="92">
        <v>6</v>
      </c>
      <c r="H760" s="93">
        <v>3.9880952380952381</v>
      </c>
      <c r="I760" s="92"/>
      <c r="J760" s="92"/>
      <c r="K760" s="92"/>
      <c r="L760" s="92"/>
      <c r="M760" s="92"/>
      <c r="N760" s="92"/>
      <c r="O760" s="92"/>
    </row>
    <row r="761" spans="1:15" ht="14.25">
      <c r="D761" s="92" t="s">
        <v>1557</v>
      </c>
      <c r="E761" s="92">
        <v>1005</v>
      </c>
      <c r="F761" s="92">
        <v>1</v>
      </c>
      <c r="G761" s="92">
        <v>6</v>
      </c>
      <c r="H761" s="93">
        <v>3.9880952380952381</v>
      </c>
      <c r="I761" s="92"/>
      <c r="J761" s="92"/>
      <c r="K761" s="92" t="s">
        <v>1595</v>
      </c>
      <c r="L761" s="92" t="s">
        <v>1594</v>
      </c>
      <c r="M761" s="92" t="s">
        <v>1646</v>
      </c>
      <c r="N761" s="92" t="s">
        <v>1643</v>
      </c>
      <c r="O761" s="92" t="s">
        <v>1648</v>
      </c>
    </row>
    <row r="762" spans="1:15" ht="14.25">
      <c r="D762" s="92" t="s">
        <v>3601</v>
      </c>
      <c r="E762" s="92">
        <v>135</v>
      </c>
      <c r="F762" s="92">
        <v>4</v>
      </c>
      <c r="G762" s="92">
        <v>6</v>
      </c>
      <c r="H762" s="93">
        <v>2.1428571428571428</v>
      </c>
      <c r="I762" s="92"/>
      <c r="J762" s="92"/>
      <c r="K762" s="188">
        <v>15</v>
      </c>
      <c r="L762" s="188">
        <v>15</v>
      </c>
      <c r="M762" s="188">
        <v>14</v>
      </c>
      <c r="N762" s="241">
        <v>39</v>
      </c>
      <c r="O762" s="241">
        <v>420</v>
      </c>
    </row>
    <row r="763" spans="1:15" ht="14.25">
      <c r="D763" s="92" t="s">
        <v>1566</v>
      </c>
      <c r="E763" s="126">
        <v>1140</v>
      </c>
      <c r="F763" s="92">
        <v>1</v>
      </c>
      <c r="G763" s="92">
        <v>4</v>
      </c>
      <c r="H763" s="93">
        <v>5.4285714285714288</v>
      </c>
      <c r="I763" s="92"/>
      <c r="J763" s="92"/>
      <c r="K763" s="92"/>
      <c r="L763" s="92"/>
      <c r="M763" s="92"/>
      <c r="N763" s="92"/>
      <c r="O763" s="126"/>
    </row>
    <row r="764" spans="1:15" ht="14.25">
      <c r="D764" s="92" t="s">
        <v>1616</v>
      </c>
      <c r="E764" s="126">
        <v>164.25</v>
      </c>
      <c r="F764" s="92">
        <v>1</v>
      </c>
      <c r="G764" s="92">
        <v>6</v>
      </c>
      <c r="H764" s="93">
        <v>0.6517857142857143</v>
      </c>
      <c r="I764" s="92"/>
      <c r="J764" s="92"/>
      <c r="K764" s="92" t="s">
        <v>2317</v>
      </c>
      <c r="L764" s="126">
        <v>164.25</v>
      </c>
      <c r="M764" s="92"/>
      <c r="N764" s="92"/>
      <c r="O764" s="92"/>
    </row>
    <row r="765" spans="1:15" ht="14.25">
      <c r="D765" s="124" t="s">
        <v>555</v>
      </c>
      <c r="E765" s="124"/>
      <c r="F765" s="124"/>
      <c r="G765" s="124"/>
      <c r="H765" s="125">
        <v>16.199404761904763</v>
      </c>
      <c r="I765" s="92"/>
      <c r="J765" s="92"/>
      <c r="K765" s="92" t="s">
        <v>2638</v>
      </c>
      <c r="L765" s="126"/>
      <c r="M765" s="92"/>
      <c r="N765" s="92"/>
      <c r="O765" s="92"/>
    </row>
    <row r="766" spans="1:15" ht="14.25">
      <c r="D766" s="92" t="s">
        <v>1569</v>
      </c>
      <c r="E766" s="92"/>
      <c r="F766" s="92">
        <v>2.5</v>
      </c>
      <c r="G766" s="92">
        <v>8</v>
      </c>
      <c r="H766" s="93">
        <v>20</v>
      </c>
      <c r="I766" s="92"/>
      <c r="J766" s="92"/>
      <c r="K766" s="92"/>
      <c r="L766" s="126">
        <v>164.25</v>
      </c>
      <c r="M766" s="92"/>
      <c r="N766" s="92"/>
      <c r="O766" s="92"/>
    </row>
    <row r="767" spans="1:15" ht="15">
      <c r="D767" s="94" t="s">
        <v>1571</v>
      </c>
      <c r="E767" s="94"/>
      <c r="F767" s="94"/>
      <c r="G767" s="94"/>
      <c r="H767" s="95">
        <v>36.199404761904759</v>
      </c>
      <c r="I767" s="92"/>
      <c r="J767" s="92"/>
      <c r="K767" s="92"/>
      <c r="L767" s="92"/>
      <c r="M767" s="92"/>
      <c r="N767" s="92"/>
      <c r="O767" s="92"/>
    </row>
    <row r="768" spans="1:15" ht="15">
      <c r="D768" s="96" t="s">
        <v>1572</v>
      </c>
      <c r="E768" s="96"/>
      <c r="F768" s="96"/>
      <c r="G768" s="96"/>
      <c r="H768" s="97">
        <v>50.67916666666666</v>
      </c>
      <c r="I768" s="92"/>
      <c r="J768" s="92"/>
      <c r="K768" s="92"/>
      <c r="L768" s="92"/>
      <c r="M768" s="92"/>
      <c r="N768" s="92"/>
      <c r="O768" s="92"/>
    </row>
    <row r="771" spans="1:15" ht="14.25">
      <c r="A771" s="1" t="s">
        <v>3573</v>
      </c>
      <c r="B771" s="17" t="s">
        <v>3636</v>
      </c>
      <c r="C771" s="17" t="s">
        <v>3592</v>
      </c>
      <c r="D771" s="92" t="s">
        <v>1556</v>
      </c>
      <c r="E771" s="92">
        <v>1110</v>
      </c>
      <c r="F771" s="92">
        <v>1</v>
      </c>
      <c r="G771" s="92">
        <v>8</v>
      </c>
      <c r="H771" s="93">
        <v>5.8730158730158726</v>
      </c>
      <c r="I771" s="92"/>
      <c r="J771" s="92"/>
      <c r="K771" s="92" t="s">
        <v>1595</v>
      </c>
      <c r="L771" s="92" t="s">
        <v>1594</v>
      </c>
      <c r="M771" s="92" t="s">
        <v>1646</v>
      </c>
      <c r="N771" s="92" t="s">
        <v>1643</v>
      </c>
      <c r="O771" s="92" t="s">
        <v>1911</v>
      </c>
    </row>
    <row r="772" spans="1:15" ht="14.25">
      <c r="D772" s="92" t="s">
        <v>1557</v>
      </c>
      <c r="E772" s="92">
        <v>1110</v>
      </c>
      <c r="F772" s="92">
        <v>1</v>
      </c>
      <c r="G772" s="92">
        <v>8</v>
      </c>
      <c r="H772" s="93">
        <v>5.8730158730158726</v>
      </c>
      <c r="I772" s="92"/>
      <c r="J772" s="92"/>
      <c r="K772" s="92">
        <v>13</v>
      </c>
      <c r="L772" s="92">
        <v>14</v>
      </c>
      <c r="M772" s="92">
        <v>17</v>
      </c>
      <c r="N772" s="92">
        <v>62</v>
      </c>
      <c r="O772" s="228">
        <v>304</v>
      </c>
    </row>
    <row r="773" spans="1:15" ht="14.25">
      <c r="D773" s="92" t="s">
        <v>3600</v>
      </c>
      <c r="E773" s="92">
        <v>238</v>
      </c>
      <c r="F773" s="92">
        <v>2</v>
      </c>
      <c r="G773" s="92">
        <v>8</v>
      </c>
      <c r="H773" s="93">
        <v>2.5185185185185186</v>
      </c>
      <c r="I773" s="92"/>
      <c r="J773" s="92"/>
      <c r="K773" s="92" t="s">
        <v>1911</v>
      </c>
      <c r="L773" s="92"/>
      <c r="M773" s="92"/>
      <c r="N773" s="92"/>
      <c r="O773" s="92"/>
    </row>
    <row r="774" spans="1:15" ht="14.25">
      <c r="C774" s="17">
        <v>50</v>
      </c>
      <c r="D774" s="92" t="s">
        <v>1566</v>
      </c>
      <c r="E774" s="92">
        <v>1110</v>
      </c>
      <c r="F774" s="92">
        <v>1</v>
      </c>
      <c r="G774" s="92">
        <v>4</v>
      </c>
      <c r="H774" s="93">
        <v>5.2857142857142856</v>
      </c>
      <c r="I774" s="92"/>
      <c r="J774" s="92"/>
      <c r="K774" s="228" t="s">
        <v>3598</v>
      </c>
      <c r="L774" s="92"/>
      <c r="M774" s="92"/>
      <c r="N774" s="92"/>
      <c r="O774" s="92"/>
    </row>
    <row r="775" spans="1:15" ht="14.25">
      <c r="D775" s="92" t="s">
        <v>1616</v>
      </c>
      <c r="E775" s="92">
        <v>155</v>
      </c>
      <c r="F775" s="92">
        <v>1</v>
      </c>
      <c r="G775" s="92">
        <v>8</v>
      </c>
      <c r="H775" s="93">
        <v>0.82010582010582012</v>
      </c>
      <c r="I775" s="92"/>
      <c r="J775" s="92"/>
      <c r="K775" s="92"/>
      <c r="L775" s="92"/>
      <c r="M775" s="92"/>
      <c r="N775" s="92"/>
      <c r="O775" s="92"/>
    </row>
    <row r="776" spans="1:15" ht="14.25">
      <c r="D776" s="124" t="s">
        <v>555</v>
      </c>
      <c r="E776" s="124"/>
      <c r="F776" s="124"/>
      <c r="G776" s="124"/>
      <c r="H776" s="125">
        <v>20.37037037037037</v>
      </c>
      <c r="I776" s="92"/>
      <c r="J776" s="92"/>
      <c r="K776" s="92"/>
      <c r="L776" s="92"/>
      <c r="M776" s="92"/>
      <c r="N776" s="92"/>
      <c r="O776" s="92"/>
    </row>
    <row r="777" spans="1:15" ht="14.25">
      <c r="D777" s="92" t="s">
        <v>1569</v>
      </c>
      <c r="E777" s="92"/>
      <c r="F777" s="92">
        <v>2.5</v>
      </c>
      <c r="G777" s="92">
        <v>8</v>
      </c>
      <c r="H777" s="93">
        <v>20</v>
      </c>
      <c r="I777" s="92"/>
      <c r="J777" s="92"/>
      <c r="K777" s="92"/>
      <c r="L777" s="92"/>
      <c r="M777" s="92"/>
      <c r="N777" s="92"/>
      <c r="O777" s="92"/>
    </row>
    <row r="778" spans="1:15" ht="15">
      <c r="D778" s="94" t="s">
        <v>1571</v>
      </c>
      <c r="E778" s="94"/>
      <c r="F778" s="94"/>
      <c r="G778" s="94"/>
      <c r="H778" s="95">
        <v>40.370370370370367</v>
      </c>
      <c r="I778" s="92"/>
      <c r="J778" s="92"/>
      <c r="K778" s="92"/>
      <c r="L778" s="92"/>
      <c r="M778" s="92"/>
      <c r="N778" s="92"/>
      <c r="O778" s="92"/>
    </row>
    <row r="779" spans="1:15" ht="15">
      <c r="D779" s="96" t="s">
        <v>1572</v>
      </c>
      <c r="E779" s="96"/>
      <c r="F779" s="96"/>
      <c r="G779" s="96"/>
      <c r="H779" s="97">
        <v>52.481481481481481</v>
      </c>
    </row>
    <row r="780" spans="1:15">
      <c r="D780" s="17"/>
      <c r="E780" s="17"/>
      <c r="F780" s="17"/>
      <c r="G780" s="17"/>
      <c r="H780" s="17"/>
    </row>
    <row r="781" spans="1:15">
      <c r="D781" s="17"/>
      <c r="E781" s="17"/>
      <c r="F781" s="17"/>
      <c r="G781" s="17"/>
      <c r="H781" s="17"/>
    </row>
    <row r="782" spans="1:15" ht="14.25">
      <c r="A782" s="74" t="s">
        <v>3573</v>
      </c>
      <c r="B782" s="332" t="s">
        <v>3636</v>
      </c>
      <c r="C782" s="332" t="s">
        <v>3637</v>
      </c>
      <c r="D782" s="92" t="s">
        <v>1556</v>
      </c>
      <c r="E782" s="92">
        <v>322</v>
      </c>
      <c r="F782" s="92">
        <v>1</v>
      </c>
      <c r="G782" s="92">
        <v>8</v>
      </c>
      <c r="H782" s="93">
        <v>1.7037037037037037</v>
      </c>
      <c r="I782" s="92"/>
      <c r="J782" s="92"/>
      <c r="K782" s="92"/>
      <c r="L782" s="92"/>
      <c r="M782" s="92"/>
    </row>
    <row r="783" spans="1:15" ht="14.25">
      <c r="B783" s="17" t="s">
        <v>3656</v>
      </c>
      <c r="D783" s="92" t="s">
        <v>1557</v>
      </c>
      <c r="E783" s="92">
        <v>322</v>
      </c>
      <c r="F783" s="92">
        <v>1</v>
      </c>
      <c r="G783" s="92">
        <v>8</v>
      </c>
      <c r="H783" s="93">
        <v>1.7037037037037037</v>
      </c>
      <c r="I783" s="92"/>
      <c r="J783" s="92"/>
      <c r="K783" s="92"/>
      <c r="L783" s="92" t="s">
        <v>1595</v>
      </c>
      <c r="M783" s="92" t="s">
        <v>1594</v>
      </c>
    </row>
    <row r="784" spans="1:15" ht="14.25">
      <c r="D784" s="92" t="s">
        <v>2070</v>
      </c>
      <c r="E784" s="92">
        <v>210</v>
      </c>
      <c r="F784" s="92">
        <v>1</v>
      </c>
      <c r="G784" s="92">
        <v>6</v>
      </c>
      <c r="H784" s="93">
        <v>0.79545454545454541</v>
      </c>
      <c r="I784" s="92"/>
      <c r="J784" s="92"/>
      <c r="K784" s="92" t="s">
        <v>2071</v>
      </c>
      <c r="L784" s="92">
        <v>7</v>
      </c>
      <c r="M784" s="92">
        <v>30</v>
      </c>
    </row>
    <row r="785" spans="1:14" ht="14.25">
      <c r="D785" s="92" t="s">
        <v>2073</v>
      </c>
      <c r="E785" s="92">
        <v>56</v>
      </c>
      <c r="F785" s="92">
        <v>2</v>
      </c>
      <c r="G785" s="92">
        <v>5</v>
      </c>
      <c r="H785" s="93">
        <v>0.31908831908831914</v>
      </c>
      <c r="I785" s="92"/>
      <c r="J785" s="92"/>
      <c r="K785" s="92" t="s">
        <v>2072</v>
      </c>
      <c r="L785" s="92">
        <v>7</v>
      </c>
      <c r="M785" s="92">
        <v>8</v>
      </c>
    </row>
    <row r="786" spans="1:14" ht="14.25">
      <c r="D786" s="92" t="s">
        <v>1616</v>
      </c>
      <c r="E786" s="92">
        <v>88</v>
      </c>
      <c r="F786" s="92">
        <v>1</v>
      </c>
      <c r="G786" s="92">
        <v>1</v>
      </c>
      <c r="H786" s="93">
        <v>2</v>
      </c>
      <c r="I786" s="92"/>
      <c r="J786" s="92"/>
      <c r="K786" s="92" t="s">
        <v>1641</v>
      </c>
      <c r="L786" s="228">
        <v>3.5</v>
      </c>
      <c r="M786" s="92"/>
    </row>
    <row r="787" spans="1:14" ht="14.25">
      <c r="D787" s="124" t="s">
        <v>555</v>
      </c>
      <c r="E787" s="124"/>
      <c r="F787" s="124"/>
      <c r="G787" s="124"/>
      <c r="H787" s="125">
        <v>6.5219502719502724</v>
      </c>
      <c r="I787" s="92"/>
      <c r="J787" s="92"/>
      <c r="K787" s="92" t="s">
        <v>2074</v>
      </c>
      <c r="L787" s="92">
        <v>22</v>
      </c>
      <c r="M787" s="92"/>
    </row>
    <row r="788" spans="1:14" ht="14.25">
      <c r="D788" s="92" t="s">
        <v>1569</v>
      </c>
      <c r="E788" s="92"/>
      <c r="F788" s="92">
        <v>1</v>
      </c>
      <c r="G788" s="92">
        <v>8</v>
      </c>
      <c r="H788" s="93">
        <v>8</v>
      </c>
      <c r="I788" s="92"/>
      <c r="J788" s="92"/>
      <c r="K788" s="92"/>
      <c r="L788" s="92"/>
      <c r="M788" s="92"/>
    </row>
    <row r="789" spans="1:14" ht="15">
      <c r="D789" s="94" t="s">
        <v>1571</v>
      </c>
      <c r="E789" s="94"/>
      <c r="F789" s="94"/>
      <c r="G789" s="94"/>
      <c r="H789" s="95">
        <v>14.521950271950272</v>
      </c>
      <c r="I789" s="92"/>
      <c r="J789" s="92"/>
      <c r="K789" s="92"/>
      <c r="L789" s="92"/>
      <c r="M789" s="92"/>
    </row>
    <row r="790" spans="1:14" ht="15">
      <c r="D790" s="96" t="s">
        <v>1572</v>
      </c>
      <c r="E790" s="96"/>
      <c r="F790" s="96"/>
      <c r="G790" s="96"/>
      <c r="H790" s="97">
        <v>18.878535353535355</v>
      </c>
      <c r="I790" s="92"/>
      <c r="J790" s="92"/>
      <c r="K790" s="92"/>
      <c r="L790" s="92"/>
      <c r="M790" s="92"/>
    </row>
    <row r="791" spans="1:14">
      <c r="D791" s="17"/>
      <c r="E791" s="17"/>
      <c r="F791" s="17"/>
      <c r="G791" s="17"/>
      <c r="H791" s="17"/>
    </row>
    <row r="792" spans="1:14" ht="14.25">
      <c r="A792" s="1" t="s">
        <v>3573</v>
      </c>
      <c r="B792" s="17" t="s">
        <v>3636</v>
      </c>
      <c r="C792" s="17" t="s">
        <v>3643</v>
      </c>
      <c r="D792" s="92" t="s">
        <v>1556</v>
      </c>
      <c r="E792" s="92">
        <v>1192</v>
      </c>
      <c r="F792" s="92">
        <v>1</v>
      </c>
      <c r="G792" s="92">
        <v>8</v>
      </c>
      <c r="H792" s="93">
        <v>6.306878306878307</v>
      </c>
      <c r="I792" s="92"/>
      <c r="J792" s="92"/>
      <c r="K792" s="92" t="s">
        <v>1595</v>
      </c>
      <c r="L792" s="92" t="s">
        <v>1594</v>
      </c>
      <c r="M792" s="92"/>
      <c r="N792" s="92"/>
    </row>
    <row r="793" spans="1:14" ht="25.5">
      <c r="C793" s="331" t="s">
        <v>3644</v>
      </c>
      <c r="D793" s="92" t="s">
        <v>1557</v>
      </c>
      <c r="E793" s="92">
        <v>802</v>
      </c>
      <c r="F793" s="92">
        <v>1</v>
      </c>
      <c r="G793" s="92">
        <v>8</v>
      </c>
      <c r="H793" s="93">
        <v>4.2433862433862437</v>
      </c>
      <c r="I793" s="92"/>
      <c r="J793" s="92" t="s">
        <v>3639</v>
      </c>
      <c r="K793" s="92">
        <v>32</v>
      </c>
      <c r="L793" s="92">
        <v>22</v>
      </c>
      <c r="M793" s="92">
        <v>1</v>
      </c>
      <c r="N793" s="92">
        <v>704</v>
      </c>
    </row>
    <row r="794" spans="1:14" ht="14.25">
      <c r="D794" s="92" t="s">
        <v>3600</v>
      </c>
      <c r="E794" s="92">
        <v>22</v>
      </c>
      <c r="F794" s="92">
        <v>2</v>
      </c>
      <c r="G794" s="92"/>
      <c r="H794" s="93">
        <v>0</v>
      </c>
      <c r="I794" s="92"/>
      <c r="J794" s="92" t="s">
        <v>3641</v>
      </c>
      <c r="K794" s="92">
        <v>4.5</v>
      </c>
      <c r="L794" s="92">
        <v>34</v>
      </c>
      <c r="M794" s="92">
        <v>2</v>
      </c>
      <c r="N794" s="92">
        <v>306</v>
      </c>
    </row>
    <row r="795" spans="1:14" ht="14.25">
      <c r="D795" s="92" t="s">
        <v>1566</v>
      </c>
      <c r="E795" s="92">
        <v>1192</v>
      </c>
      <c r="F795" s="92">
        <v>1</v>
      </c>
      <c r="G795" s="92"/>
      <c r="H795" s="93">
        <v>0</v>
      </c>
      <c r="I795" s="92"/>
      <c r="J795" s="92" t="s">
        <v>1559</v>
      </c>
      <c r="K795" s="228">
        <v>7</v>
      </c>
      <c r="L795" s="92">
        <v>14</v>
      </c>
      <c r="M795" s="92">
        <v>1</v>
      </c>
      <c r="N795" s="92">
        <v>98</v>
      </c>
    </row>
    <row r="796" spans="1:14" ht="14.25">
      <c r="D796" s="92" t="s">
        <v>1616</v>
      </c>
      <c r="E796" s="92">
        <v>1760</v>
      </c>
      <c r="F796" s="92">
        <v>1</v>
      </c>
      <c r="G796" s="92"/>
      <c r="H796" s="93">
        <v>0</v>
      </c>
      <c r="I796" s="92"/>
      <c r="J796" s="92" t="s">
        <v>3640</v>
      </c>
      <c r="K796" s="92">
        <v>4</v>
      </c>
      <c r="L796" s="92">
        <v>21</v>
      </c>
      <c r="M796" s="92">
        <v>1</v>
      </c>
      <c r="N796" s="92">
        <v>84</v>
      </c>
    </row>
    <row r="797" spans="1:14" ht="14.25">
      <c r="D797" s="124" t="s">
        <v>555</v>
      </c>
      <c r="E797" s="124"/>
      <c r="F797" s="124"/>
      <c r="G797" s="124"/>
      <c r="H797" s="125">
        <v>10.550264550264551</v>
      </c>
      <c r="I797" s="92"/>
      <c r="J797" s="92"/>
      <c r="K797" s="92"/>
      <c r="L797" s="92"/>
      <c r="M797" s="92"/>
      <c r="N797" s="92">
        <v>1192</v>
      </c>
    </row>
    <row r="798" spans="1:14" ht="14.25">
      <c r="D798" s="92" t="s">
        <v>1569</v>
      </c>
      <c r="E798" s="92"/>
      <c r="F798" s="92">
        <v>1</v>
      </c>
      <c r="G798" s="92">
        <v>8</v>
      </c>
      <c r="H798" s="93">
        <v>8</v>
      </c>
      <c r="I798" s="92"/>
      <c r="J798" s="92"/>
      <c r="K798" s="92"/>
      <c r="L798" s="92"/>
      <c r="M798" s="92"/>
      <c r="N798" s="92"/>
    </row>
    <row r="799" spans="1:14" ht="15">
      <c r="D799" s="94" t="s">
        <v>1571</v>
      </c>
      <c r="E799" s="94"/>
      <c r="F799" s="94"/>
      <c r="G799" s="94"/>
      <c r="H799" s="95">
        <v>18.550264550264551</v>
      </c>
      <c r="I799" s="92"/>
      <c r="J799" s="92"/>
      <c r="K799" s="92"/>
      <c r="L799" s="92"/>
      <c r="M799" s="92"/>
      <c r="N799" s="92"/>
    </row>
    <row r="800" spans="1:14" ht="15">
      <c r="D800" s="96" t="s">
        <v>1572</v>
      </c>
      <c r="E800" s="96"/>
      <c r="F800" s="96"/>
      <c r="G800" s="96"/>
      <c r="H800" s="97">
        <v>24.115343915343917</v>
      </c>
      <c r="I800" s="92"/>
      <c r="J800" s="92"/>
      <c r="K800" s="92"/>
      <c r="L800" s="92"/>
      <c r="M800" s="92"/>
      <c r="N800" s="92"/>
    </row>
    <row r="801" spans="1:15">
      <c r="D801" s="17"/>
      <c r="E801" s="17"/>
      <c r="F801" s="17"/>
      <c r="G801" s="17"/>
      <c r="H801" s="17"/>
    </row>
    <row r="802" spans="1:15">
      <c r="D802" s="17"/>
      <c r="E802" s="17"/>
      <c r="F802" s="17"/>
      <c r="G802" s="17"/>
      <c r="H802" s="17"/>
    </row>
    <row r="805" spans="1:15" ht="14.25">
      <c r="A805" s="1" t="s">
        <v>3603</v>
      </c>
      <c r="B805" s="17" t="s">
        <v>3610</v>
      </c>
      <c r="C805" s="17" t="s">
        <v>3609</v>
      </c>
      <c r="D805" s="92" t="s">
        <v>1556</v>
      </c>
      <c r="E805" s="92">
        <v>1048</v>
      </c>
      <c r="F805" s="92">
        <v>1</v>
      </c>
      <c r="G805" s="92">
        <v>6</v>
      </c>
      <c r="H805" s="93">
        <v>4.1587301587301591</v>
      </c>
      <c r="I805" s="92"/>
      <c r="J805" s="92"/>
      <c r="K805" s="92" t="s">
        <v>1595</v>
      </c>
      <c r="L805" s="92" t="s">
        <v>1594</v>
      </c>
      <c r="M805" s="92" t="s">
        <v>1646</v>
      </c>
      <c r="N805" s="92" t="s">
        <v>1643</v>
      </c>
      <c r="O805" s="92" t="s">
        <v>1911</v>
      </c>
    </row>
    <row r="806" spans="1:15" ht="14.25">
      <c r="D806" s="92" t="s">
        <v>1557</v>
      </c>
      <c r="E806" s="92">
        <v>1048</v>
      </c>
      <c r="F806" s="92">
        <v>1</v>
      </c>
      <c r="G806" s="92">
        <v>6</v>
      </c>
      <c r="H806" s="93">
        <v>4.1587301587301591</v>
      </c>
      <c r="I806" s="92"/>
      <c r="J806" s="92"/>
      <c r="K806" s="92">
        <v>12</v>
      </c>
      <c r="L806" s="92">
        <v>17</v>
      </c>
      <c r="M806" s="92">
        <v>14</v>
      </c>
      <c r="N806" s="92">
        <v>62</v>
      </c>
      <c r="O806" s="228">
        <v>304</v>
      </c>
    </row>
    <row r="807" spans="1:15" ht="14.25">
      <c r="D807" s="92" t="s">
        <v>3600</v>
      </c>
      <c r="E807" s="92">
        <v>238</v>
      </c>
      <c r="F807" s="92">
        <v>2</v>
      </c>
      <c r="G807" s="92">
        <v>0</v>
      </c>
      <c r="H807" s="93">
        <v>0</v>
      </c>
      <c r="I807" s="92"/>
      <c r="J807" s="92"/>
      <c r="K807" s="92" t="s">
        <v>1911</v>
      </c>
      <c r="L807" s="92"/>
      <c r="M807" s="92"/>
      <c r="N807" s="92"/>
      <c r="O807" s="92"/>
    </row>
    <row r="808" spans="1:15" ht="14.25">
      <c r="D808" s="92" t="s">
        <v>1566</v>
      </c>
      <c r="E808" s="92">
        <v>1048</v>
      </c>
      <c r="F808" s="92">
        <v>1</v>
      </c>
      <c r="G808" s="92">
        <v>4</v>
      </c>
      <c r="H808" s="93">
        <v>4.9904761904761905</v>
      </c>
      <c r="I808" s="92"/>
      <c r="J808" s="92"/>
      <c r="K808" s="228" t="s">
        <v>3608</v>
      </c>
      <c r="L808" s="92"/>
      <c r="M808" s="92"/>
      <c r="N808" s="92"/>
      <c r="O808" s="92"/>
    </row>
    <row r="809" spans="1:15" ht="14.25">
      <c r="D809" s="92" t="s">
        <v>1616</v>
      </c>
      <c r="E809" s="92">
        <v>155</v>
      </c>
      <c r="F809" s="92">
        <v>1</v>
      </c>
      <c r="G809" s="92">
        <v>6</v>
      </c>
      <c r="H809" s="93">
        <v>0.61507936507936511</v>
      </c>
      <c r="I809" s="92"/>
      <c r="J809" s="92"/>
      <c r="K809" s="92"/>
      <c r="L809" s="92"/>
      <c r="M809" s="92"/>
      <c r="N809" s="92"/>
      <c r="O809" s="92"/>
    </row>
    <row r="810" spans="1:15" ht="14.25">
      <c r="D810" s="124" t="s">
        <v>555</v>
      </c>
      <c r="E810" s="124"/>
      <c r="F810" s="124"/>
      <c r="G810" s="124"/>
      <c r="H810" s="125">
        <v>13.923015873015874</v>
      </c>
      <c r="I810" s="92"/>
      <c r="J810" s="92"/>
      <c r="K810" s="92"/>
      <c r="L810" s="92"/>
      <c r="M810" s="92"/>
      <c r="N810" s="92"/>
      <c r="O810" s="92"/>
    </row>
    <row r="811" spans="1:15" ht="14.25">
      <c r="D811" s="92" t="s">
        <v>1569</v>
      </c>
      <c r="E811" s="92"/>
      <c r="F811" s="92">
        <v>2.5</v>
      </c>
      <c r="G811" s="92">
        <v>8</v>
      </c>
      <c r="H811" s="93">
        <v>20</v>
      </c>
      <c r="I811" s="92"/>
      <c r="J811" s="92"/>
      <c r="K811" s="92"/>
      <c r="L811" s="92"/>
      <c r="M811" s="92"/>
      <c r="N811" s="92"/>
      <c r="O811" s="92"/>
    </row>
    <row r="812" spans="1:15" ht="15">
      <c r="D812" s="94" t="s">
        <v>1571</v>
      </c>
      <c r="E812" s="94"/>
      <c r="F812" s="94"/>
      <c r="G812" s="94"/>
      <c r="H812" s="95">
        <v>33.923015873015871</v>
      </c>
      <c r="I812" s="92"/>
      <c r="J812" s="92"/>
      <c r="K812" s="92"/>
      <c r="L812" s="92"/>
      <c r="M812" s="92"/>
      <c r="N812" s="92"/>
      <c r="O812" s="92"/>
    </row>
    <row r="813" spans="1:15" ht="15">
      <c r="D813" s="96" t="s">
        <v>1572</v>
      </c>
      <c r="E813" s="96"/>
      <c r="F813" s="96"/>
      <c r="G813" s="96"/>
      <c r="H813" s="97">
        <v>44.099920634920636</v>
      </c>
      <c r="I813" s="92"/>
      <c r="J813" s="92"/>
      <c r="K813" s="92"/>
      <c r="L813" s="92"/>
      <c r="M813" s="92"/>
      <c r="N813" s="92"/>
      <c r="O813" s="92"/>
    </row>
    <row r="816" spans="1:15" ht="25.5">
      <c r="A816" s="1" t="s">
        <v>3613</v>
      </c>
      <c r="B816" s="17" t="s">
        <v>3615</v>
      </c>
      <c r="C816" s="17" t="s">
        <v>1754</v>
      </c>
      <c r="D816" s="92" t="s">
        <v>1556</v>
      </c>
      <c r="E816" s="92">
        <v>840</v>
      </c>
      <c r="F816" s="92">
        <v>1</v>
      </c>
      <c r="G816" s="92">
        <v>8</v>
      </c>
      <c r="H816" s="93">
        <v>4.4444444444444446</v>
      </c>
    </row>
    <row r="817" spans="1:8" ht="14.25">
      <c r="D817" s="92" t="s">
        <v>1557</v>
      </c>
      <c r="E817" s="92">
        <v>840</v>
      </c>
      <c r="F817" s="92">
        <v>1</v>
      </c>
      <c r="G817" s="92">
        <v>8</v>
      </c>
      <c r="H817" s="93">
        <v>4.4444444444444446</v>
      </c>
    </row>
    <row r="818" spans="1:8" ht="14.25">
      <c r="D818" s="92" t="s">
        <v>1559</v>
      </c>
      <c r="E818" s="92">
        <v>135</v>
      </c>
      <c r="F818" s="92">
        <v>2</v>
      </c>
      <c r="G818" s="92">
        <v>8</v>
      </c>
      <c r="H818" s="93">
        <v>1.4285714285714286</v>
      </c>
    </row>
    <row r="819" spans="1:8" ht="14.25">
      <c r="D819" s="92" t="s">
        <v>1566</v>
      </c>
      <c r="E819" s="92">
        <v>975</v>
      </c>
      <c r="F819" s="92">
        <v>1</v>
      </c>
      <c r="G819" s="92">
        <v>4</v>
      </c>
      <c r="H819" s="93">
        <v>4.6428571428571432</v>
      </c>
    </row>
    <row r="820" spans="1:8" ht="14.25">
      <c r="D820" s="92" t="s">
        <v>1616</v>
      </c>
      <c r="E820" s="92">
        <v>146.25</v>
      </c>
      <c r="F820" s="92">
        <v>1</v>
      </c>
      <c r="G820" s="92">
        <v>8</v>
      </c>
      <c r="H820" s="93">
        <v>1.3928571428571428</v>
      </c>
    </row>
    <row r="821" spans="1:8" ht="14.25">
      <c r="D821" s="124" t="s">
        <v>555</v>
      </c>
      <c r="E821" s="124"/>
      <c r="F821" s="124"/>
      <c r="G821" s="124"/>
      <c r="H821" s="125">
        <v>16.353174603174605</v>
      </c>
    </row>
    <row r="822" spans="1:8" ht="14.25">
      <c r="D822" s="92" t="s">
        <v>1569</v>
      </c>
      <c r="E822" s="92"/>
      <c r="F822" s="92">
        <v>2</v>
      </c>
      <c r="G822" s="92">
        <v>8</v>
      </c>
      <c r="H822" s="93">
        <v>16</v>
      </c>
    </row>
    <row r="823" spans="1:8" ht="15">
      <c r="D823" s="94" t="s">
        <v>1571</v>
      </c>
      <c r="E823" s="94"/>
      <c r="F823" s="94"/>
      <c r="G823" s="94"/>
      <c r="H823" s="95">
        <v>32.353174603174608</v>
      </c>
    </row>
    <row r="824" spans="1:8" ht="15">
      <c r="D824" s="96" t="s">
        <v>1572</v>
      </c>
      <c r="E824" s="96"/>
      <c r="F824" s="96"/>
      <c r="G824" s="96"/>
      <c r="H824" s="97">
        <v>42.059126984126991</v>
      </c>
    </row>
    <row r="827" spans="1:8" ht="25.5">
      <c r="A827" s="1" t="s">
        <v>3626</v>
      </c>
      <c r="B827" s="17" t="s">
        <v>3627</v>
      </c>
      <c r="C827" s="17" t="s">
        <v>3616</v>
      </c>
      <c r="D827" s="92" t="s">
        <v>1556</v>
      </c>
      <c r="E827" s="92">
        <v>792</v>
      </c>
      <c r="F827" s="92">
        <v>1</v>
      </c>
      <c r="G827" s="92">
        <v>8</v>
      </c>
      <c r="H827" s="93">
        <v>4.1904761904761907</v>
      </c>
    </row>
    <row r="828" spans="1:8" ht="14.25">
      <c r="D828" s="92" t="s">
        <v>1557</v>
      </c>
      <c r="E828" s="92">
        <v>792</v>
      </c>
      <c r="F828" s="92">
        <v>1</v>
      </c>
      <c r="G828" s="92">
        <v>8</v>
      </c>
      <c r="H828" s="93">
        <v>4.1904761904761907</v>
      </c>
    </row>
    <row r="829" spans="1:8" ht="14.25">
      <c r="D829" s="92" t="s">
        <v>1898</v>
      </c>
      <c r="E829" s="92">
        <v>792</v>
      </c>
      <c r="F829" s="92">
        <v>1</v>
      </c>
      <c r="G829" s="92">
        <v>9</v>
      </c>
      <c r="H829" s="93">
        <v>0.9</v>
      </c>
    </row>
    <row r="830" spans="1:8" ht="14.25">
      <c r="D830" s="92" t="s">
        <v>1566</v>
      </c>
      <c r="E830" s="92">
        <v>792</v>
      </c>
      <c r="F830" s="92">
        <v>1</v>
      </c>
      <c r="G830" s="92">
        <v>4</v>
      </c>
      <c r="H830" s="93">
        <v>3.7714285714285714</v>
      </c>
    </row>
    <row r="831" spans="1:8" ht="14.25">
      <c r="D831" s="92" t="s">
        <v>3623</v>
      </c>
      <c r="E831" s="92">
        <v>0</v>
      </c>
      <c r="F831" s="92">
        <v>1</v>
      </c>
      <c r="G831" s="92"/>
      <c r="H831" s="93">
        <v>3</v>
      </c>
    </row>
    <row r="832" spans="1:8" ht="14.25">
      <c r="D832" s="92" t="s">
        <v>2563</v>
      </c>
      <c r="E832" s="92"/>
      <c r="F832" s="92"/>
      <c r="G832" s="92"/>
      <c r="H832" s="93">
        <v>3</v>
      </c>
    </row>
    <row r="833" spans="1:15" ht="14.25">
      <c r="D833" s="124" t="s">
        <v>555</v>
      </c>
      <c r="E833" s="124"/>
      <c r="F833" s="124"/>
      <c r="G833" s="124"/>
      <c r="H833" s="125">
        <v>19.052380952380954</v>
      </c>
    </row>
    <row r="834" spans="1:15" ht="14.25">
      <c r="D834" s="92" t="s">
        <v>1569</v>
      </c>
      <c r="E834" s="92"/>
      <c r="F834" s="92">
        <v>2</v>
      </c>
      <c r="G834" s="92">
        <v>8</v>
      </c>
      <c r="H834" s="93">
        <v>16</v>
      </c>
    </row>
    <row r="835" spans="1:15" ht="15">
      <c r="D835" s="94" t="s">
        <v>1571</v>
      </c>
      <c r="E835" s="94"/>
      <c r="F835" s="94"/>
      <c r="G835" s="94"/>
      <c r="H835" s="95">
        <v>35.052380952380958</v>
      </c>
    </row>
    <row r="836" spans="1:15" ht="15">
      <c r="D836" s="96" t="s">
        <v>1572</v>
      </c>
      <c r="E836" s="96"/>
      <c r="F836" s="96"/>
      <c r="G836" s="96"/>
      <c r="H836" s="97">
        <v>45.568095238095246</v>
      </c>
    </row>
    <row r="840" spans="1:15" ht="25.5">
      <c r="A840" s="1" t="s">
        <v>3612</v>
      </c>
      <c r="B840" s="17" t="s">
        <v>3634</v>
      </c>
      <c r="C840" s="17" t="s">
        <v>3633</v>
      </c>
      <c r="D840" s="92" t="s">
        <v>1556</v>
      </c>
      <c r="E840" s="92">
        <v>543</v>
      </c>
      <c r="F840" s="92">
        <v>1</v>
      </c>
      <c r="G840" s="92">
        <v>8</v>
      </c>
      <c r="H840" s="93">
        <v>2.873015873015873</v>
      </c>
      <c r="I840" s="92"/>
      <c r="J840" s="92"/>
      <c r="K840" s="92"/>
      <c r="L840" s="92"/>
      <c r="M840" s="92"/>
      <c r="N840" s="92"/>
      <c r="O840" s="92"/>
    </row>
    <row r="841" spans="1:15" ht="14.25">
      <c r="D841" s="92" t="s">
        <v>1557</v>
      </c>
      <c r="E841" s="92">
        <v>340</v>
      </c>
      <c r="F841" s="92">
        <v>1</v>
      </c>
      <c r="G841" s="92">
        <v>8</v>
      </c>
      <c r="H841" s="93">
        <v>1.7989417989417988</v>
      </c>
      <c r="I841" s="92"/>
      <c r="J841" s="92"/>
      <c r="K841" s="92"/>
      <c r="L841" s="92" t="s">
        <v>1595</v>
      </c>
      <c r="M841" s="92" t="s">
        <v>1594</v>
      </c>
      <c r="N841" s="92"/>
      <c r="O841" s="92"/>
    </row>
    <row r="842" spans="1:15" ht="14.25">
      <c r="D842" s="92" t="s">
        <v>2347</v>
      </c>
      <c r="E842" s="92">
        <v>340</v>
      </c>
      <c r="F842" s="92">
        <v>1</v>
      </c>
      <c r="G842" s="92">
        <v>6.5</v>
      </c>
      <c r="H842" s="93">
        <v>1.0702179176755449</v>
      </c>
      <c r="I842" s="92"/>
      <c r="J842" s="92"/>
      <c r="K842" s="92" t="s">
        <v>2071</v>
      </c>
      <c r="L842" s="92">
        <v>12</v>
      </c>
      <c r="M842" s="92">
        <v>12</v>
      </c>
      <c r="N842" s="92">
        <v>1</v>
      </c>
      <c r="O842" s="92">
        <v>144</v>
      </c>
    </row>
    <row r="843" spans="1:15" ht="14.25">
      <c r="D843" s="92" t="s">
        <v>1616</v>
      </c>
      <c r="E843" s="92">
        <v>84</v>
      </c>
      <c r="F843" s="92">
        <v>1</v>
      </c>
      <c r="G843" s="92">
        <v>8</v>
      </c>
      <c r="H843" s="93">
        <v>0.44444444444444442</v>
      </c>
      <c r="I843" s="92"/>
      <c r="J843" s="92"/>
      <c r="K843" s="92" t="s">
        <v>2242</v>
      </c>
      <c r="L843" s="92">
        <v>7</v>
      </c>
      <c r="M843" s="92">
        <v>7</v>
      </c>
      <c r="N843" s="92">
        <v>4</v>
      </c>
      <c r="O843" s="92">
        <v>196</v>
      </c>
    </row>
    <row r="844" spans="1:15" ht="14.25">
      <c r="D844" s="124" t="s">
        <v>555</v>
      </c>
      <c r="E844" s="124"/>
      <c r="F844" s="124"/>
      <c r="G844" s="124"/>
      <c r="H844" s="125">
        <v>6.1866200340776611</v>
      </c>
      <c r="I844" s="92"/>
      <c r="J844" s="92"/>
      <c r="K844" s="92" t="s">
        <v>2243</v>
      </c>
      <c r="L844" s="228">
        <v>7</v>
      </c>
      <c r="M844" s="92">
        <v>29</v>
      </c>
      <c r="N844" s="92">
        <v>1</v>
      </c>
      <c r="O844" s="92">
        <v>203</v>
      </c>
    </row>
    <row r="845" spans="1:15" ht="14.25">
      <c r="D845" s="92" t="s">
        <v>1569</v>
      </c>
      <c r="E845" s="92"/>
      <c r="F845" s="92">
        <v>0.75</v>
      </c>
      <c r="G845" s="92">
        <v>8</v>
      </c>
      <c r="H845" s="93">
        <v>6</v>
      </c>
      <c r="I845" s="92"/>
      <c r="J845" s="92"/>
      <c r="K845" s="92"/>
      <c r="L845" s="92"/>
      <c r="M845" s="92"/>
      <c r="N845" s="92"/>
      <c r="O845" s="92"/>
    </row>
    <row r="846" spans="1:15" ht="15">
      <c r="D846" s="94" t="s">
        <v>1571</v>
      </c>
      <c r="E846" s="94"/>
      <c r="F846" s="94"/>
      <c r="G846" s="94"/>
      <c r="H846" s="95">
        <v>12.186620034077661</v>
      </c>
      <c r="I846" s="92"/>
      <c r="J846" s="92"/>
      <c r="K846" s="92">
        <v>15</v>
      </c>
      <c r="L846" s="92">
        <v>105</v>
      </c>
      <c r="M846" s="92"/>
      <c r="N846" s="92"/>
      <c r="O846" s="92"/>
    </row>
    <row r="847" spans="1:15" ht="15">
      <c r="D847" s="96" t="s">
        <v>1572</v>
      </c>
      <c r="E847" s="96"/>
      <c r="F847" s="96"/>
      <c r="G847" s="96"/>
      <c r="H847" s="97">
        <v>15.842606044300959</v>
      </c>
      <c r="I847" s="92"/>
      <c r="J847" s="92"/>
      <c r="K847" s="92"/>
      <c r="L847" s="92">
        <v>14.285714285714286</v>
      </c>
      <c r="M847" s="92"/>
      <c r="N847" s="92"/>
      <c r="O847" s="92"/>
    </row>
    <row r="850" spans="1:14" ht="25.5">
      <c r="A850" s="1" t="s">
        <v>3612</v>
      </c>
      <c r="B850" s="17" t="s">
        <v>3634</v>
      </c>
      <c r="C850" s="17" t="s">
        <v>3635</v>
      </c>
      <c r="D850" s="92" t="s">
        <v>1556</v>
      </c>
      <c r="E850" s="92">
        <v>102</v>
      </c>
      <c r="F850" s="92">
        <v>1</v>
      </c>
      <c r="G850" s="92">
        <v>6</v>
      </c>
      <c r="H850" s="93">
        <v>0.40476190476190477</v>
      </c>
      <c r="I850" s="92"/>
      <c r="J850" s="92"/>
      <c r="K850" s="92"/>
      <c r="L850" s="92"/>
      <c r="M850" s="92"/>
      <c r="N850" s="92"/>
    </row>
    <row r="851" spans="1:14" ht="14.25">
      <c r="D851" s="92" t="s">
        <v>1557</v>
      </c>
      <c r="E851" s="92">
        <v>90</v>
      </c>
      <c r="F851" s="92">
        <v>1</v>
      </c>
      <c r="G851" s="92">
        <v>6</v>
      </c>
      <c r="H851" s="93">
        <v>0.3571428571428571</v>
      </c>
      <c r="I851" s="92"/>
      <c r="J851" s="92"/>
      <c r="K851" s="92"/>
      <c r="L851" s="92" t="s">
        <v>1595</v>
      </c>
      <c r="M851" s="92" t="s">
        <v>1594</v>
      </c>
      <c r="N851" s="92"/>
    </row>
    <row r="852" spans="1:14" ht="14.25">
      <c r="D852" s="92" t="s">
        <v>1566</v>
      </c>
      <c r="E852" s="92">
        <v>90</v>
      </c>
      <c r="F852" s="92">
        <v>1</v>
      </c>
      <c r="G852" s="92">
        <v>4</v>
      </c>
      <c r="H852" s="93">
        <v>0.42857142857142855</v>
      </c>
      <c r="I852" s="92"/>
      <c r="J852" s="92"/>
      <c r="K852" s="92" t="s">
        <v>2071</v>
      </c>
      <c r="L852" s="92">
        <v>15</v>
      </c>
      <c r="M852" s="92">
        <v>6</v>
      </c>
      <c r="N852" s="92"/>
    </row>
    <row r="853" spans="1:14" ht="14.25">
      <c r="D853" s="92" t="s">
        <v>2061</v>
      </c>
      <c r="E853" s="92">
        <v>12</v>
      </c>
      <c r="F853" s="92">
        <v>1</v>
      </c>
      <c r="G853" s="92">
        <v>6</v>
      </c>
      <c r="H853" s="93">
        <v>4.7619047619047616E-2</v>
      </c>
      <c r="I853" s="92"/>
      <c r="J853" s="92"/>
      <c r="K853" s="92" t="s">
        <v>1557</v>
      </c>
      <c r="L853" s="92">
        <v>15</v>
      </c>
      <c r="M853" s="92">
        <v>6</v>
      </c>
      <c r="N853" s="92"/>
    </row>
    <row r="854" spans="1:14" ht="14.25">
      <c r="D854" s="124" t="s">
        <v>555</v>
      </c>
      <c r="E854" s="124"/>
      <c r="F854" s="124"/>
      <c r="G854" s="124"/>
      <c r="H854" s="125">
        <v>1.2380952380952381</v>
      </c>
      <c r="I854" s="92"/>
      <c r="J854" s="92"/>
      <c r="K854" s="92" t="s">
        <v>1558</v>
      </c>
      <c r="L854" s="92">
        <v>6</v>
      </c>
      <c r="M854" s="92">
        <v>2</v>
      </c>
      <c r="N854" s="92"/>
    </row>
    <row r="855" spans="1:14" ht="14.25">
      <c r="D855" s="92" t="s">
        <v>1569</v>
      </c>
      <c r="E855" s="92"/>
      <c r="F855" s="92">
        <v>0.25</v>
      </c>
      <c r="G855" s="92">
        <v>8</v>
      </c>
      <c r="H855" s="93">
        <v>2</v>
      </c>
      <c r="I855" s="92"/>
      <c r="J855" s="92"/>
      <c r="K855" s="92" t="s">
        <v>2151</v>
      </c>
      <c r="L855" s="92"/>
      <c r="M855" s="92"/>
      <c r="N855" s="92"/>
    </row>
    <row r="856" spans="1:14" ht="15">
      <c r="D856" s="94" t="s">
        <v>1571</v>
      </c>
      <c r="E856" s="94"/>
      <c r="F856" s="94"/>
      <c r="G856" s="94"/>
      <c r="H856" s="95">
        <v>3.2380952380952381</v>
      </c>
      <c r="I856" s="92"/>
      <c r="J856" s="92"/>
      <c r="K856" s="92"/>
      <c r="L856" s="92"/>
      <c r="M856" s="92"/>
      <c r="N856" s="92"/>
    </row>
    <row r="857" spans="1:14" ht="15">
      <c r="D857" s="96" t="s">
        <v>1572</v>
      </c>
      <c r="E857" s="96"/>
      <c r="F857" s="96"/>
      <c r="G857" s="96"/>
      <c r="H857" s="97">
        <v>4.2095238095238097</v>
      </c>
      <c r="I857" s="92"/>
      <c r="J857" s="92"/>
      <c r="K857" s="92"/>
      <c r="L857" s="92"/>
      <c r="M857" s="92"/>
      <c r="N857" s="92"/>
    </row>
    <row r="860" spans="1:14" ht="14.25">
      <c r="A860" s="359" t="s">
        <v>3660</v>
      </c>
      <c r="B860" s="359" t="s">
        <v>3661</v>
      </c>
      <c r="C860" s="359" t="s">
        <v>1935</v>
      </c>
      <c r="D860" s="92" t="s">
        <v>1556</v>
      </c>
      <c r="E860" s="92">
        <v>802</v>
      </c>
      <c r="F860" s="92">
        <v>1</v>
      </c>
      <c r="G860" s="92">
        <v>14</v>
      </c>
      <c r="H860" s="93">
        <v>7.4259259259259265</v>
      </c>
      <c r="I860" s="92"/>
      <c r="J860" s="92"/>
      <c r="K860" s="92"/>
      <c r="L860" s="92"/>
      <c r="M860" s="92"/>
      <c r="N860" s="92"/>
    </row>
    <row r="861" spans="1:14" ht="14.25">
      <c r="D861" s="92" t="s">
        <v>1557</v>
      </c>
      <c r="E861" s="92">
        <v>802</v>
      </c>
      <c r="F861" s="92">
        <v>1</v>
      </c>
      <c r="G861" s="92">
        <v>8</v>
      </c>
      <c r="H861" s="93">
        <v>4.2433862433862437</v>
      </c>
      <c r="I861" s="92"/>
      <c r="J861" s="92" t="s">
        <v>1595</v>
      </c>
      <c r="K861" s="92" t="s">
        <v>1594</v>
      </c>
      <c r="L861" s="92" t="s">
        <v>1646</v>
      </c>
      <c r="M861" s="92" t="s">
        <v>1643</v>
      </c>
      <c r="N861" s="92" t="s">
        <v>1648</v>
      </c>
    </row>
    <row r="862" spans="1:14" ht="14.25">
      <c r="D862" s="92" t="s">
        <v>1559</v>
      </c>
      <c r="E862" s="92">
        <v>126</v>
      </c>
      <c r="F862" s="92">
        <v>2</v>
      </c>
      <c r="G862" s="92">
        <v>13</v>
      </c>
      <c r="H862" s="93">
        <v>3.9</v>
      </c>
      <c r="I862" s="92"/>
      <c r="J862" s="92">
        <v>14</v>
      </c>
      <c r="K862" s="92">
        <v>14</v>
      </c>
      <c r="L862" s="92">
        <v>11</v>
      </c>
      <c r="M862" s="126">
        <v>35.285714285714285</v>
      </c>
      <c r="N862" s="232">
        <v>308</v>
      </c>
    </row>
    <row r="863" spans="1:14" ht="14.25">
      <c r="D863" s="92" t="s">
        <v>1566</v>
      </c>
      <c r="E863" s="92">
        <v>928</v>
      </c>
      <c r="F863" s="92">
        <v>1</v>
      </c>
      <c r="G863" s="92">
        <v>6</v>
      </c>
      <c r="H863" s="93">
        <v>3.6825396825396823</v>
      </c>
      <c r="I863" s="92"/>
      <c r="J863" s="92"/>
      <c r="K863" s="92"/>
      <c r="L863" s="92"/>
      <c r="M863" s="92"/>
      <c r="N863" s="232"/>
    </row>
    <row r="864" spans="1:14" ht="14.25">
      <c r="D864" s="92" t="s">
        <v>1616</v>
      </c>
      <c r="E864" s="92">
        <v>137.25</v>
      </c>
      <c r="F864" s="92">
        <v>1</v>
      </c>
      <c r="G864" s="92">
        <v>8</v>
      </c>
      <c r="H864" s="93">
        <v>2</v>
      </c>
      <c r="I864" s="92"/>
      <c r="J864" s="92"/>
      <c r="K864" s="228"/>
      <c r="L864" s="92"/>
      <c r="M864" s="92"/>
      <c r="N864" s="92"/>
    </row>
    <row r="865" spans="1:15" ht="14.25">
      <c r="D865" s="124" t="s">
        <v>555</v>
      </c>
      <c r="E865" s="124"/>
      <c r="F865" s="124"/>
      <c r="G865" s="124"/>
      <c r="H865" s="125">
        <v>21.251851851851853</v>
      </c>
      <c r="I865" s="92">
        <v>63.75555555555556</v>
      </c>
      <c r="J865" s="92"/>
      <c r="K865" s="92"/>
      <c r="L865" s="92"/>
      <c r="M865" s="92"/>
      <c r="N865" s="92"/>
    </row>
    <row r="866" spans="1:15" ht="14.25">
      <c r="D866" s="92" t="s">
        <v>1569</v>
      </c>
      <c r="E866" s="92"/>
      <c r="F866" s="92">
        <v>2</v>
      </c>
      <c r="G866" s="92">
        <v>8</v>
      </c>
      <c r="H866" s="93">
        <v>16</v>
      </c>
      <c r="I866" s="92"/>
      <c r="J866" s="92"/>
      <c r="K866" s="188" t="s">
        <v>1943</v>
      </c>
      <c r="L866" s="188" t="s">
        <v>1944</v>
      </c>
      <c r="M866" s="92"/>
      <c r="N866" s="92"/>
    </row>
    <row r="867" spans="1:15" ht="15">
      <c r="D867" s="94" t="s">
        <v>1571</v>
      </c>
      <c r="E867" s="94"/>
      <c r="F867" s="94"/>
      <c r="G867" s="94"/>
      <c r="H867" s="95">
        <v>37.251851851851853</v>
      </c>
      <c r="I867" s="92"/>
      <c r="J867" s="92"/>
      <c r="K867" s="188">
        <v>2145</v>
      </c>
      <c r="L867" s="231">
        <v>10</v>
      </c>
      <c r="M867" s="92"/>
      <c r="N867" s="92"/>
    </row>
    <row r="868" spans="1:15" ht="15">
      <c r="D868" s="96" t="s">
        <v>1572</v>
      </c>
      <c r="E868" s="96"/>
      <c r="F868" s="96"/>
      <c r="G868" s="96"/>
      <c r="H868" s="97">
        <v>48.427407407407408</v>
      </c>
      <c r="I868" s="92"/>
      <c r="J868" s="92"/>
      <c r="K868" s="92"/>
      <c r="L868" s="92"/>
      <c r="M868" s="92"/>
      <c r="N868" s="92"/>
    </row>
    <row r="871" spans="1:15" ht="14.25">
      <c r="A871" s="1" t="s">
        <v>3662</v>
      </c>
      <c r="B871" s="17" t="s">
        <v>2233</v>
      </c>
      <c r="C871" s="17" t="s">
        <v>3663</v>
      </c>
      <c r="D871" s="92" t="s">
        <v>1556</v>
      </c>
      <c r="E871" s="92">
        <v>543</v>
      </c>
      <c r="F871" s="92">
        <v>1</v>
      </c>
      <c r="G871" s="92">
        <v>8</v>
      </c>
      <c r="H871" s="93">
        <v>2.873015873015873</v>
      </c>
      <c r="I871" s="92"/>
      <c r="J871" s="92"/>
      <c r="K871" s="92"/>
      <c r="L871" s="92"/>
      <c r="M871" s="92"/>
      <c r="N871" s="92"/>
      <c r="O871" s="92"/>
    </row>
    <row r="872" spans="1:15" ht="25.5">
      <c r="C872" s="17" t="s">
        <v>3664</v>
      </c>
      <c r="D872" s="92" t="s">
        <v>1557</v>
      </c>
      <c r="E872" s="92">
        <v>340</v>
      </c>
      <c r="F872" s="92">
        <v>1</v>
      </c>
      <c r="G872" s="92">
        <v>8</v>
      </c>
      <c r="H872" s="93">
        <v>1.7989417989417988</v>
      </c>
      <c r="I872" s="92"/>
      <c r="J872" s="92"/>
      <c r="K872" s="92"/>
      <c r="L872" s="92" t="s">
        <v>1595</v>
      </c>
      <c r="M872" s="92" t="s">
        <v>1594</v>
      </c>
      <c r="N872" s="92"/>
      <c r="O872" s="92"/>
    </row>
    <row r="873" spans="1:15" ht="14.25">
      <c r="D873" s="92" t="s">
        <v>2347</v>
      </c>
      <c r="E873" s="92">
        <v>340</v>
      </c>
      <c r="F873" s="92">
        <v>1</v>
      </c>
      <c r="G873" s="92">
        <v>6.5</v>
      </c>
      <c r="H873" s="93">
        <v>1.0702179176755449</v>
      </c>
      <c r="I873" s="92"/>
      <c r="J873" s="92"/>
      <c r="K873" s="92" t="s">
        <v>2071</v>
      </c>
      <c r="L873" s="92">
        <v>12</v>
      </c>
      <c r="M873" s="92">
        <v>12</v>
      </c>
      <c r="N873" s="92">
        <v>1</v>
      </c>
      <c r="O873" s="92">
        <v>144</v>
      </c>
    </row>
    <row r="874" spans="1:15" ht="14.25">
      <c r="D874" s="92" t="s">
        <v>1616</v>
      </c>
      <c r="E874" s="92">
        <v>84</v>
      </c>
      <c r="F874" s="92">
        <v>1</v>
      </c>
      <c r="G874" s="92">
        <v>8</v>
      </c>
      <c r="H874" s="93">
        <v>0.44444444444444442</v>
      </c>
      <c r="I874" s="92"/>
      <c r="J874" s="92"/>
      <c r="K874" s="92" t="s">
        <v>2242</v>
      </c>
      <c r="L874" s="92">
        <v>7</v>
      </c>
      <c r="M874" s="92">
        <v>7</v>
      </c>
      <c r="N874" s="92">
        <v>4</v>
      </c>
      <c r="O874" s="92">
        <v>196</v>
      </c>
    </row>
    <row r="875" spans="1:15" ht="14.25">
      <c r="D875" s="124" t="s">
        <v>555</v>
      </c>
      <c r="E875" s="124"/>
      <c r="F875" s="124"/>
      <c r="G875" s="124"/>
      <c r="H875" s="125">
        <v>6.1866200340776611</v>
      </c>
      <c r="I875" s="92"/>
      <c r="J875" s="92"/>
      <c r="K875" s="92" t="s">
        <v>2243</v>
      </c>
      <c r="L875" s="228">
        <v>7</v>
      </c>
      <c r="M875" s="92">
        <v>29</v>
      </c>
      <c r="N875" s="92">
        <v>1</v>
      </c>
      <c r="O875" s="92">
        <v>203</v>
      </c>
    </row>
    <row r="876" spans="1:15" ht="14.25">
      <c r="D876" s="92" t="s">
        <v>1569</v>
      </c>
      <c r="E876" s="92"/>
      <c r="F876" s="92">
        <v>0.75</v>
      </c>
      <c r="G876" s="92">
        <v>8</v>
      </c>
      <c r="H876" s="93">
        <v>6</v>
      </c>
      <c r="I876" s="92"/>
      <c r="J876" s="92"/>
      <c r="K876" s="92"/>
      <c r="L876" s="92"/>
      <c r="M876" s="92"/>
      <c r="N876" s="92"/>
      <c r="O876" s="92"/>
    </row>
    <row r="877" spans="1:15" ht="15">
      <c r="D877" s="94" t="s">
        <v>1571</v>
      </c>
      <c r="E877" s="94"/>
      <c r="F877" s="94"/>
      <c r="G877" s="94"/>
      <c r="H877" s="95">
        <v>12.186620034077661</v>
      </c>
      <c r="I877" s="92"/>
      <c r="J877" s="92"/>
      <c r="K877" s="92">
        <v>15</v>
      </c>
      <c r="L877" s="92">
        <v>105</v>
      </c>
      <c r="M877" s="92"/>
      <c r="N877" s="92"/>
      <c r="O877" s="92"/>
    </row>
    <row r="878" spans="1:15" ht="15">
      <c r="D878" s="96" t="s">
        <v>1572</v>
      </c>
      <c r="E878" s="96"/>
      <c r="F878" s="96"/>
      <c r="G878" s="96"/>
      <c r="H878" s="97">
        <v>15.842606044300959</v>
      </c>
      <c r="I878" s="92"/>
      <c r="J878" s="92"/>
      <c r="K878" s="92"/>
      <c r="L878" s="92">
        <v>14.285714285714286</v>
      </c>
      <c r="M878" s="92"/>
      <c r="N878" s="92"/>
      <c r="O878" s="92"/>
    </row>
    <row r="881" spans="1:8" ht="25.5">
      <c r="A881" s="1" t="s">
        <v>3682</v>
      </c>
      <c r="B881" s="17" t="s">
        <v>2233</v>
      </c>
      <c r="C881" s="17" t="s">
        <v>3683</v>
      </c>
      <c r="D881" s="92" t="s">
        <v>1556</v>
      </c>
      <c r="E881" s="92">
        <v>340</v>
      </c>
      <c r="F881" s="92">
        <v>1</v>
      </c>
      <c r="G881" s="92">
        <v>8</v>
      </c>
      <c r="H881" s="93">
        <v>1.7989417989417988</v>
      </c>
    </row>
    <row r="882" spans="1:8" ht="14.25">
      <c r="D882" s="92" t="s">
        <v>1557</v>
      </c>
      <c r="E882" s="92">
        <v>340</v>
      </c>
      <c r="F882" s="92">
        <v>1</v>
      </c>
      <c r="G882" s="92">
        <v>8</v>
      </c>
      <c r="H882" s="93">
        <v>1.7989417989417988</v>
      </c>
    </row>
    <row r="883" spans="1:8" ht="14.25">
      <c r="D883" s="92" t="s">
        <v>2347</v>
      </c>
      <c r="E883" s="92">
        <v>340</v>
      </c>
      <c r="F883" s="92">
        <v>1</v>
      </c>
      <c r="G883" s="92">
        <v>6.5</v>
      </c>
      <c r="H883" s="93">
        <v>1.0702179176755449</v>
      </c>
    </row>
    <row r="884" spans="1:8" ht="14.25">
      <c r="D884" s="92" t="s">
        <v>1616</v>
      </c>
      <c r="E884" s="92">
        <v>114</v>
      </c>
      <c r="F884" s="92">
        <v>1</v>
      </c>
      <c r="G884" s="92">
        <v>8</v>
      </c>
      <c r="H884" s="93">
        <v>0.60317460317460314</v>
      </c>
    </row>
    <row r="885" spans="1:8" ht="14.25">
      <c r="D885" s="124" t="s">
        <v>555</v>
      </c>
      <c r="E885" s="124"/>
      <c r="F885" s="124"/>
      <c r="G885" s="124"/>
      <c r="H885" s="125">
        <v>5.2712761187337449</v>
      </c>
    </row>
    <row r="886" spans="1:8" ht="14.25">
      <c r="D886" s="92" t="s">
        <v>1569</v>
      </c>
      <c r="E886" s="92"/>
      <c r="F886" s="92">
        <v>0.75</v>
      </c>
      <c r="G886" s="92">
        <v>8</v>
      </c>
      <c r="H886" s="93">
        <v>6</v>
      </c>
    </row>
    <row r="887" spans="1:8" ht="15">
      <c r="D887" s="94" t="s">
        <v>1571</v>
      </c>
      <c r="E887" s="94"/>
      <c r="F887" s="94"/>
      <c r="G887" s="94"/>
      <c r="H887" s="95">
        <v>11.271276118733745</v>
      </c>
    </row>
    <row r="888" spans="1:8" ht="15">
      <c r="D888" s="96" t="s">
        <v>1572</v>
      </c>
      <c r="E888" s="96"/>
      <c r="F888" s="96"/>
      <c r="G888" s="96"/>
      <c r="H888" s="97">
        <v>14.652658954353869</v>
      </c>
    </row>
    <row r="892" spans="1:8" ht="14.25">
      <c r="A892" s="1" t="s">
        <v>2392</v>
      </c>
      <c r="B892" s="17" t="s">
        <v>2394</v>
      </c>
      <c r="C892" s="17" t="s">
        <v>3751</v>
      </c>
      <c r="D892" s="92" t="s">
        <v>1556</v>
      </c>
      <c r="E892" s="92">
        <v>368</v>
      </c>
      <c r="F892" s="92">
        <v>1</v>
      </c>
      <c r="G892" s="92">
        <v>14</v>
      </c>
      <c r="H892" s="93">
        <v>3.4074074074074074</v>
      </c>
    </row>
    <row r="893" spans="1:8" ht="14.25">
      <c r="D893" s="92" t="s">
        <v>1557</v>
      </c>
      <c r="E893" s="92">
        <v>368</v>
      </c>
      <c r="F893" s="92">
        <v>1</v>
      </c>
      <c r="G893" s="92">
        <v>8</v>
      </c>
      <c r="H893" s="93">
        <v>1.947089947089947</v>
      </c>
    </row>
    <row r="894" spans="1:8" ht="14.25">
      <c r="D894" s="92" t="s">
        <v>1559</v>
      </c>
      <c r="E894" s="92">
        <v>144</v>
      </c>
      <c r="F894" s="92">
        <v>2</v>
      </c>
      <c r="G894" s="92">
        <v>14</v>
      </c>
      <c r="H894" s="93">
        <v>2.6666666666666665</v>
      </c>
    </row>
    <row r="895" spans="1:8" ht="14.25">
      <c r="D895" s="92" t="s">
        <v>1566</v>
      </c>
      <c r="E895" s="92">
        <v>512</v>
      </c>
      <c r="F895" s="92">
        <v>1</v>
      </c>
      <c r="G895" s="92">
        <v>4</v>
      </c>
      <c r="H895" s="93">
        <v>2.4380952380952383</v>
      </c>
    </row>
    <row r="896" spans="1:8" ht="14.25">
      <c r="D896" s="92" t="s">
        <v>1616</v>
      </c>
      <c r="E896" s="92">
        <v>175.5</v>
      </c>
      <c r="F896" s="92">
        <v>1</v>
      </c>
      <c r="G896" s="92">
        <v>8</v>
      </c>
      <c r="H896" s="93">
        <v>1.6714285714285715</v>
      </c>
    </row>
    <row r="897" spans="1:8" ht="14.25">
      <c r="D897" s="124" t="s">
        <v>555</v>
      </c>
      <c r="E897" s="124"/>
      <c r="F897" s="124"/>
      <c r="G897" s="124"/>
      <c r="H897" s="125">
        <v>12.13068783068783</v>
      </c>
    </row>
    <row r="898" spans="1:8" ht="14.25">
      <c r="D898" s="92" t="s">
        <v>1569</v>
      </c>
      <c r="E898" s="92"/>
      <c r="F898" s="92">
        <v>2.5</v>
      </c>
      <c r="G898" s="92">
        <v>8</v>
      </c>
      <c r="H898" s="93">
        <v>20</v>
      </c>
    </row>
    <row r="899" spans="1:8" ht="15">
      <c r="D899" s="94" t="s">
        <v>1571</v>
      </c>
      <c r="E899" s="94"/>
      <c r="F899" s="94"/>
      <c r="G899" s="94"/>
      <c r="H899" s="95">
        <v>32.130687830687833</v>
      </c>
    </row>
    <row r="900" spans="1:8" ht="15">
      <c r="D900" s="96" t="s">
        <v>1572</v>
      </c>
      <c r="E900" s="96"/>
      <c r="F900" s="96"/>
      <c r="G900" s="96"/>
      <c r="H900" s="97">
        <v>41.769894179894187</v>
      </c>
    </row>
    <row r="903" spans="1:8" ht="14.25">
      <c r="A903" s="1" t="s">
        <v>2392</v>
      </c>
      <c r="B903" s="17" t="s">
        <v>3750</v>
      </c>
      <c r="C903" s="17" t="s">
        <v>3751</v>
      </c>
      <c r="D903" s="92" t="s">
        <v>1556</v>
      </c>
      <c r="E903" s="92">
        <v>164</v>
      </c>
      <c r="F903" s="92">
        <v>1</v>
      </c>
      <c r="G903" s="92">
        <v>14</v>
      </c>
      <c r="H903" s="93">
        <v>1.5185185185185184</v>
      </c>
    </row>
    <row r="904" spans="1:8" ht="14.25">
      <c r="D904" s="92" t="s">
        <v>1557</v>
      </c>
      <c r="E904" s="92">
        <v>164</v>
      </c>
      <c r="F904" s="92">
        <v>1</v>
      </c>
      <c r="G904" s="92">
        <v>6</v>
      </c>
      <c r="H904" s="93">
        <v>0.6507936507936507</v>
      </c>
    </row>
    <row r="905" spans="1:8" ht="14.25">
      <c r="D905" s="92" t="s">
        <v>1559</v>
      </c>
      <c r="E905" s="92">
        <v>63</v>
      </c>
      <c r="F905" s="92">
        <v>2</v>
      </c>
      <c r="G905" s="92">
        <v>14</v>
      </c>
      <c r="H905" s="93">
        <v>1.1666666666666665</v>
      </c>
    </row>
    <row r="906" spans="1:8" ht="14.25">
      <c r="D906" s="92" t="s">
        <v>1566</v>
      </c>
      <c r="E906" s="92">
        <v>227</v>
      </c>
      <c r="F906" s="92">
        <v>1</v>
      </c>
      <c r="G906" s="92">
        <v>4</v>
      </c>
      <c r="H906" s="93">
        <v>1.0809523809523809</v>
      </c>
    </row>
    <row r="907" spans="1:8" ht="14.25">
      <c r="D907" s="92" t="s">
        <v>1616</v>
      </c>
      <c r="E907" s="92">
        <v>101.25</v>
      </c>
      <c r="F907" s="92">
        <v>1</v>
      </c>
      <c r="G907" s="92">
        <v>6</v>
      </c>
      <c r="H907" s="93">
        <v>0.7232142857142857</v>
      </c>
    </row>
    <row r="908" spans="1:8" ht="14.25">
      <c r="D908" s="124" t="s">
        <v>555</v>
      </c>
      <c r="E908" s="124"/>
      <c r="F908" s="124"/>
      <c r="G908" s="124"/>
      <c r="H908" s="125">
        <v>5.1401455026455025</v>
      </c>
    </row>
    <row r="909" spans="1:8" ht="14.25">
      <c r="D909" s="92" t="s">
        <v>1569</v>
      </c>
      <c r="E909" s="92"/>
      <c r="F909" s="92">
        <v>2</v>
      </c>
      <c r="G909" s="92">
        <v>8</v>
      </c>
      <c r="H909" s="93">
        <v>16</v>
      </c>
    </row>
    <row r="910" spans="1:8" ht="15">
      <c r="D910" s="94" t="s">
        <v>1571</v>
      </c>
      <c r="E910" s="94"/>
      <c r="F910" s="94"/>
      <c r="G910" s="94"/>
      <c r="H910" s="95">
        <v>21.140145502645503</v>
      </c>
    </row>
    <row r="911" spans="1:8" ht="15">
      <c r="D911" s="96" t="s">
        <v>1572</v>
      </c>
      <c r="E911" s="96"/>
      <c r="F911" s="96"/>
      <c r="G911" s="96"/>
      <c r="H911" s="97">
        <v>27.482189153439155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1757-AC9B-4816-950F-4204E20BF12D}">
  <sheetPr>
    <tabColor rgb="FF0070C0"/>
  </sheetPr>
  <dimension ref="A1:X80"/>
  <sheetViews>
    <sheetView zoomScale="85" zoomScaleNormal="85" workbookViewId="0">
      <selection activeCell="A16" sqref="A16"/>
    </sheetView>
  </sheetViews>
  <sheetFormatPr defaultRowHeight="14.25"/>
  <cols>
    <col min="1" max="1" width="20.28515625" style="92" bestFit="1" customWidth="1"/>
    <col min="2" max="2" width="8.28515625" style="92" bestFit="1" customWidth="1"/>
    <col min="3" max="3" width="9.42578125" style="92" bestFit="1" customWidth="1"/>
    <col min="4" max="4" width="6.28515625" style="92" bestFit="1" customWidth="1"/>
    <col min="5" max="5" width="6.140625" style="92" bestFit="1" customWidth="1"/>
    <col min="6" max="7" width="9.140625" style="92"/>
    <col min="8" max="8" width="28" style="92" bestFit="1" customWidth="1"/>
    <col min="9" max="9" width="13.5703125" style="92" customWidth="1"/>
    <col min="10" max="10" width="45.5703125" style="92" bestFit="1" customWidth="1"/>
    <col min="11" max="11" width="12.7109375" style="92" bestFit="1" customWidth="1"/>
    <col min="12" max="12" width="22.28515625" style="92" bestFit="1" customWidth="1"/>
    <col min="13" max="20" width="9.140625" style="92"/>
    <col min="21" max="21" width="15.5703125" style="92" bestFit="1" customWidth="1"/>
    <col min="22" max="22" width="8.5703125" style="92" bestFit="1" customWidth="1"/>
    <col min="23" max="23" width="3.5703125" style="92" bestFit="1" customWidth="1"/>
    <col min="24" max="24" width="9.7109375" style="92" bestFit="1" customWidth="1"/>
    <col min="25" max="16384" width="9.140625" style="92"/>
  </cols>
  <sheetData>
    <row r="1" spans="1:24">
      <c r="U1" s="251" t="s">
        <v>2119</v>
      </c>
      <c r="V1" s="256" t="s">
        <v>2094</v>
      </c>
      <c r="W1" s="252">
        <v>15</v>
      </c>
      <c r="X1" s="256"/>
    </row>
    <row r="2" spans="1:24">
      <c r="U2" s="253"/>
      <c r="V2" s="257" t="s">
        <v>2095</v>
      </c>
      <c r="W2" s="92">
        <v>16</v>
      </c>
      <c r="X2" s="257" t="s">
        <v>2141</v>
      </c>
    </row>
    <row r="3" spans="1:24" ht="15" thickBot="1">
      <c r="B3" s="92" t="s">
        <v>1571</v>
      </c>
      <c r="U3" s="254"/>
      <c r="V3" s="258" t="s">
        <v>2093</v>
      </c>
      <c r="W3" s="255">
        <v>17</v>
      </c>
      <c r="X3" s="258"/>
    </row>
    <row r="4" spans="1:24">
      <c r="A4" s="92" t="s">
        <v>2087</v>
      </c>
      <c r="B4" s="229">
        <v>200</v>
      </c>
      <c r="U4" s="251" t="s">
        <v>2096</v>
      </c>
      <c r="V4" s="256" t="s">
        <v>2094</v>
      </c>
      <c r="W4" s="252">
        <v>13</v>
      </c>
      <c r="X4" s="256"/>
    </row>
    <row r="5" spans="1:24">
      <c r="U5" s="253"/>
      <c r="V5" s="257" t="s">
        <v>2095</v>
      </c>
      <c r="W5" s="92">
        <v>14</v>
      </c>
      <c r="X5" s="257" t="s">
        <v>2142</v>
      </c>
    </row>
    <row r="6" spans="1:24" ht="15" thickBot="1">
      <c r="U6" s="254"/>
      <c r="V6" s="258" t="s">
        <v>2093</v>
      </c>
      <c r="W6" s="255">
        <v>15</v>
      </c>
      <c r="X6" s="258"/>
    </row>
    <row r="8" spans="1:24" ht="15">
      <c r="A8" s="477" t="s">
        <v>2113</v>
      </c>
      <c r="B8" s="477"/>
      <c r="C8" s="477"/>
      <c r="D8" s="477"/>
      <c r="E8" s="477"/>
      <c r="H8" s="477" t="s">
        <v>2114</v>
      </c>
      <c r="I8" s="477"/>
      <c r="J8" s="477"/>
      <c r="K8" s="477"/>
      <c r="L8" s="477"/>
    </row>
    <row r="9" spans="1:24" ht="15">
      <c r="A9" s="243" t="s">
        <v>2088</v>
      </c>
      <c r="B9" s="243" t="s">
        <v>1760</v>
      </c>
      <c r="C9" s="243" t="s">
        <v>1761</v>
      </c>
      <c r="D9" s="243" t="s">
        <v>1572</v>
      </c>
      <c r="E9" s="243" t="s">
        <v>1121</v>
      </c>
      <c r="H9" s="243" t="s">
        <v>2088</v>
      </c>
      <c r="I9" s="243" t="s">
        <v>1760</v>
      </c>
      <c r="J9" s="243" t="s">
        <v>1761</v>
      </c>
      <c r="K9" s="243" t="s">
        <v>1572</v>
      </c>
      <c r="L9" s="243" t="s">
        <v>1121</v>
      </c>
      <c r="M9" s="92" t="s">
        <v>2118</v>
      </c>
    </row>
    <row r="10" spans="1:24">
      <c r="A10" s="244" t="s">
        <v>2090</v>
      </c>
      <c r="B10" s="245">
        <v>1</v>
      </c>
      <c r="C10" s="244">
        <v>2</v>
      </c>
      <c r="D10" s="244">
        <v>65</v>
      </c>
      <c r="E10" s="244">
        <f>D10*C10</f>
        <v>130</v>
      </c>
      <c r="H10" s="248" t="s">
        <v>2146</v>
      </c>
      <c r="I10" s="249">
        <v>1</v>
      </c>
      <c r="J10" s="248">
        <v>2</v>
      </c>
      <c r="K10" s="248">
        <v>65</v>
      </c>
      <c r="L10" s="248">
        <f>K10*J10</f>
        <v>130</v>
      </c>
      <c r="M10" s="229">
        <v>50</v>
      </c>
    </row>
    <row r="11" spans="1:24">
      <c r="A11" s="244" t="s">
        <v>2092</v>
      </c>
      <c r="B11" s="245">
        <v>1</v>
      </c>
      <c r="C11" s="244">
        <v>2</v>
      </c>
      <c r="D11" s="244">
        <v>30</v>
      </c>
      <c r="E11" s="244">
        <f t="shared" ref="E11:E21" si="0">D11*C11</f>
        <v>60</v>
      </c>
      <c r="H11" s="248" t="s">
        <v>2089</v>
      </c>
      <c r="I11" s="248" t="s">
        <v>2093</v>
      </c>
      <c r="J11" s="248">
        <v>6</v>
      </c>
      <c r="K11" s="248">
        <v>20</v>
      </c>
      <c r="L11" s="248">
        <f t="shared" ref="L11" si="1">K11*J11</f>
        <v>120</v>
      </c>
      <c r="P11" s="92" t="s">
        <v>2102</v>
      </c>
      <c r="Q11" s="92">
        <v>90</v>
      </c>
      <c r="R11" s="92" t="s">
        <v>2115</v>
      </c>
    </row>
    <row r="12" spans="1:24">
      <c r="A12" s="244" t="s">
        <v>2100</v>
      </c>
      <c r="B12" s="245">
        <v>1</v>
      </c>
      <c r="C12" s="244">
        <v>4</v>
      </c>
      <c r="D12" s="244">
        <v>20</v>
      </c>
      <c r="E12" s="244">
        <f t="shared" si="0"/>
        <v>80</v>
      </c>
      <c r="H12" s="248" t="s">
        <v>2099</v>
      </c>
      <c r="I12" s="248" t="s">
        <v>2094</v>
      </c>
      <c r="J12" s="248">
        <v>3</v>
      </c>
      <c r="K12" s="248">
        <v>10</v>
      </c>
      <c r="L12" s="248">
        <f t="shared" ref="L12:L19" si="2">K12*J12</f>
        <v>30</v>
      </c>
      <c r="P12" s="92" t="s">
        <v>2101</v>
      </c>
      <c r="Q12" s="92">
        <v>88</v>
      </c>
      <c r="R12" s="92" t="s">
        <v>2115</v>
      </c>
    </row>
    <row r="13" spans="1:24">
      <c r="A13" s="244" t="s">
        <v>2089</v>
      </c>
      <c r="B13" s="244" t="s">
        <v>2094</v>
      </c>
      <c r="C13" s="244">
        <v>4</v>
      </c>
      <c r="D13" s="244">
        <v>15</v>
      </c>
      <c r="E13" s="244">
        <f t="shared" si="0"/>
        <v>60</v>
      </c>
      <c r="H13" s="248"/>
      <c r="I13" s="248" t="s">
        <v>2095</v>
      </c>
      <c r="J13" s="248">
        <v>3</v>
      </c>
      <c r="K13" s="248">
        <v>12</v>
      </c>
      <c r="L13" s="248">
        <f t="shared" si="2"/>
        <v>36</v>
      </c>
      <c r="M13" s="92" t="s">
        <v>2136</v>
      </c>
      <c r="P13" s="92" t="s">
        <v>2116</v>
      </c>
      <c r="Q13" s="92">
        <v>40</v>
      </c>
      <c r="R13" s="92" t="s">
        <v>2117</v>
      </c>
    </row>
    <row r="14" spans="1:24">
      <c r="A14" s="244"/>
      <c r="B14" s="244" t="s">
        <v>2093</v>
      </c>
      <c r="C14" s="244">
        <v>4</v>
      </c>
      <c r="D14" s="244">
        <v>20</v>
      </c>
      <c r="E14" s="244">
        <f t="shared" si="0"/>
        <v>80</v>
      </c>
      <c r="H14" s="248"/>
      <c r="I14" s="248" t="s">
        <v>2093</v>
      </c>
      <c r="J14" s="248">
        <v>3</v>
      </c>
      <c r="K14" s="248">
        <v>15</v>
      </c>
      <c r="L14" s="248">
        <f t="shared" si="2"/>
        <v>45</v>
      </c>
      <c r="Q14" s="92">
        <f>SUM(Q11:Q13)</f>
        <v>218</v>
      </c>
    </row>
    <row r="15" spans="1:24">
      <c r="A15" s="244" t="s">
        <v>2091</v>
      </c>
      <c r="B15" s="244" t="s">
        <v>2094</v>
      </c>
      <c r="C15" s="244">
        <v>4</v>
      </c>
      <c r="D15" s="244">
        <v>10</v>
      </c>
      <c r="E15" s="244">
        <f t="shared" si="0"/>
        <v>40</v>
      </c>
      <c r="H15" s="248" t="s">
        <v>2137</v>
      </c>
      <c r="I15" s="248"/>
      <c r="J15" s="248">
        <v>15</v>
      </c>
      <c r="K15" s="248">
        <v>4</v>
      </c>
      <c r="L15" s="248">
        <f t="shared" si="2"/>
        <v>60</v>
      </c>
      <c r="M15" s="92" t="s">
        <v>2144</v>
      </c>
      <c r="N15" s="92">
        <v>5</v>
      </c>
    </row>
    <row r="16" spans="1:24">
      <c r="A16" s="244"/>
      <c r="B16" s="244" t="s">
        <v>2093</v>
      </c>
      <c r="C16" s="244">
        <v>4</v>
      </c>
      <c r="D16" s="244">
        <v>15</v>
      </c>
      <c r="E16" s="244">
        <f t="shared" si="0"/>
        <v>60</v>
      </c>
      <c r="H16" s="248" t="s">
        <v>1567</v>
      </c>
      <c r="I16" s="248"/>
      <c r="J16" s="248">
        <v>15</v>
      </c>
      <c r="K16" s="248">
        <v>8</v>
      </c>
      <c r="L16" s="248">
        <f t="shared" si="2"/>
        <v>120</v>
      </c>
      <c r="M16" s="92" t="s">
        <v>2147</v>
      </c>
      <c r="N16" s="92">
        <v>10</v>
      </c>
    </row>
    <row r="17" spans="1:19">
      <c r="A17" s="244" t="s">
        <v>2099</v>
      </c>
      <c r="B17" s="244" t="s">
        <v>2094</v>
      </c>
      <c r="C17" s="244">
        <v>4</v>
      </c>
      <c r="D17" s="244">
        <v>12</v>
      </c>
      <c r="E17" s="244">
        <f t="shared" si="0"/>
        <v>48</v>
      </c>
      <c r="H17" s="244" t="s">
        <v>2139</v>
      </c>
      <c r="I17" s="244"/>
      <c r="J17" s="244">
        <v>15</v>
      </c>
      <c r="K17" s="244">
        <v>5</v>
      </c>
      <c r="L17" s="244">
        <f t="shared" si="2"/>
        <v>75</v>
      </c>
      <c r="M17" s="92" t="s">
        <v>2143</v>
      </c>
      <c r="P17" s="92" t="s">
        <v>2132</v>
      </c>
      <c r="Q17" s="92">
        <f>5*2</f>
        <v>10</v>
      </c>
      <c r="R17" s="92" t="s">
        <v>2133</v>
      </c>
      <c r="S17" s="92" t="s">
        <v>2134</v>
      </c>
    </row>
    <row r="18" spans="1:19">
      <c r="A18" s="244"/>
      <c r="B18" s="244" t="s">
        <v>2095</v>
      </c>
      <c r="C18" s="244">
        <v>4</v>
      </c>
      <c r="D18" s="244">
        <v>15</v>
      </c>
      <c r="E18" s="244">
        <f t="shared" si="0"/>
        <v>60</v>
      </c>
      <c r="H18" s="260" t="s">
        <v>2075</v>
      </c>
      <c r="I18" s="260"/>
      <c r="J18" s="260">
        <v>3</v>
      </c>
      <c r="K18" s="260">
        <v>12</v>
      </c>
      <c r="L18" s="260">
        <v>36</v>
      </c>
      <c r="M18" s="92" t="s">
        <v>2148</v>
      </c>
      <c r="Q18" s="92">
        <f>8*2.55</f>
        <v>20.399999999999999</v>
      </c>
      <c r="R18" s="92" t="s">
        <v>2135</v>
      </c>
    </row>
    <row r="19" spans="1:19">
      <c r="A19" s="244" t="s">
        <v>2096</v>
      </c>
      <c r="B19" s="244" t="s">
        <v>2094</v>
      </c>
      <c r="C19" s="244">
        <v>4</v>
      </c>
      <c r="D19" s="244">
        <v>8</v>
      </c>
      <c r="E19" s="244">
        <f t="shared" si="0"/>
        <v>32</v>
      </c>
      <c r="H19" s="259" t="s">
        <v>2149</v>
      </c>
      <c r="I19" s="259"/>
      <c r="J19" s="259">
        <v>8</v>
      </c>
      <c r="K19" s="259">
        <v>10</v>
      </c>
      <c r="L19" s="244">
        <f t="shared" si="2"/>
        <v>80</v>
      </c>
      <c r="Q19" s="92">
        <f>SUM(Q17:Q18)</f>
        <v>30.4</v>
      </c>
    </row>
    <row r="20" spans="1:19">
      <c r="A20" s="244"/>
      <c r="B20" s="244" t="s">
        <v>2095</v>
      </c>
      <c r="C20" s="244">
        <v>4</v>
      </c>
      <c r="D20" s="244">
        <v>10</v>
      </c>
      <c r="E20" s="244">
        <f t="shared" si="0"/>
        <v>40</v>
      </c>
      <c r="H20" s="259"/>
      <c r="I20" s="259"/>
      <c r="J20" s="259"/>
      <c r="K20" s="259"/>
      <c r="L20" s="259"/>
    </row>
    <row r="21" spans="1:19" ht="15" thickBot="1">
      <c r="A21" s="246"/>
      <c r="B21" s="246" t="s">
        <v>2093</v>
      </c>
      <c r="C21" s="246">
        <v>4</v>
      </c>
      <c r="D21" s="246">
        <v>12</v>
      </c>
      <c r="E21" s="246">
        <f t="shared" si="0"/>
        <v>48</v>
      </c>
      <c r="H21" s="261"/>
      <c r="I21" s="261"/>
      <c r="J21" s="261"/>
      <c r="K21" s="261"/>
      <c r="L21" s="261"/>
    </row>
    <row r="22" spans="1:19" ht="15.75" thickBot="1">
      <c r="A22" s="247" t="s">
        <v>1748</v>
      </c>
      <c r="B22" s="247"/>
      <c r="C22" s="247">
        <f>SUM(C10:C21)</f>
        <v>44</v>
      </c>
      <c r="D22" s="247"/>
      <c r="E22" s="247">
        <f>SUM(E10:E21)</f>
        <v>738</v>
      </c>
      <c r="H22" s="247" t="s">
        <v>1748</v>
      </c>
      <c r="I22" s="247"/>
      <c r="J22" s="247">
        <f>SUM(J10:J21)</f>
        <v>73</v>
      </c>
      <c r="K22" s="247"/>
      <c r="L22" s="247">
        <f>SUM(L10:L21)</f>
        <v>732</v>
      </c>
      <c r="Q22" s="92">
        <f>Q14+Q19</f>
        <v>248.4</v>
      </c>
    </row>
    <row r="24" spans="1:19">
      <c r="A24" s="92" t="s">
        <v>2106</v>
      </c>
    </row>
    <row r="25" spans="1:19">
      <c r="A25" s="92" t="s">
        <v>2108</v>
      </c>
      <c r="B25" s="92">
        <v>40</v>
      </c>
      <c r="H25" s="92" t="s">
        <v>2175</v>
      </c>
      <c r="I25" s="92" t="s">
        <v>1924</v>
      </c>
      <c r="J25" s="92" t="s">
        <v>2153</v>
      </c>
      <c r="K25" s="92" t="s">
        <v>2177</v>
      </c>
      <c r="N25" s="92" t="s">
        <v>1561</v>
      </c>
    </row>
    <row r="26" spans="1:19">
      <c r="A26" s="92" t="s">
        <v>2107</v>
      </c>
      <c r="B26" s="92">
        <v>35</v>
      </c>
      <c r="G26" s="92">
        <v>1</v>
      </c>
      <c r="H26" s="92" t="s">
        <v>2176</v>
      </c>
      <c r="I26" s="92">
        <v>1</v>
      </c>
      <c r="J26" s="92">
        <v>25</v>
      </c>
      <c r="K26" s="92">
        <f>I26*J26</f>
        <v>25</v>
      </c>
      <c r="L26" s="92" t="s">
        <v>2179</v>
      </c>
      <c r="N26" s="92">
        <v>17</v>
      </c>
    </row>
    <row r="27" spans="1:19">
      <c r="A27" s="92" t="s">
        <v>2109</v>
      </c>
      <c r="B27" s="92">
        <v>750</v>
      </c>
      <c r="H27" s="92" t="s">
        <v>2137</v>
      </c>
      <c r="I27" s="92">
        <v>4</v>
      </c>
      <c r="J27" s="92">
        <v>4</v>
      </c>
      <c r="K27" s="92">
        <f t="shared" ref="K27:K33" si="3">I27*J27</f>
        <v>16</v>
      </c>
      <c r="L27" s="92" t="s">
        <v>2179</v>
      </c>
      <c r="N27" s="92">
        <v>3.8</v>
      </c>
    </row>
    <row r="28" spans="1:19">
      <c r="A28" s="92" t="s">
        <v>2110</v>
      </c>
      <c r="B28" s="92">
        <v>30</v>
      </c>
      <c r="C28" s="92" t="s">
        <v>2111</v>
      </c>
      <c r="G28" s="92">
        <v>2</v>
      </c>
      <c r="H28" s="92" t="s">
        <v>2183</v>
      </c>
      <c r="I28" s="92">
        <v>2</v>
      </c>
      <c r="J28" s="92">
        <v>8</v>
      </c>
      <c r="K28" s="92">
        <f t="shared" si="3"/>
        <v>16</v>
      </c>
      <c r="N28" s="92">
        <v>5</v>
      </c>
    </row>
    <row r="29" spans="1:19">
      <c r="A29" s="92" t="s">
        <v>2112</v>
      </c>
      <c r="B29" s="92">
        <v>30</v>
      </c>
      <c r="H29" s="92" t="s">
        <v>2137</v>
      </c>
      <c r="I29" s="92">
        <v>1</v>
      </c>
      <c r="J29" s="92">
        <v>4</v>
      </c>
      <c r="K29" s="92">
        <f t="shared" si="3"/>
        <v>4</v>
      </c>
      <c r="N29" s="92">
        <v>3.8</v>
      </c>
    </row>
    <row r="30" spans="1:19">
      <c r="G30" s="92">
        <v>3</v>
      </c>
      <c r="H30" s="92" t="s">
        <v>2183</v>
      </c>
      <c r="I30" s="92">
        <v>1</v>
      </c>
      <c r="J30" s="92">
        <v>8</v>
      </c>
      <c r="K30" s="92">
        <f t="shared" si="3"/>
        <v>8</v>
      </c>
      <c r="L30" s="92" t="s">
        <v>2180</v>
      </c>
      <c r="N30" s="92">
        <v>5</v>
      </c>
    </row>
    <row r="31" spans="1:19">
      <c r="H31" s="92" t="s">
        <v>2178</v>
      </c>
      <c r="I31" s="92">
        <v>1</v>
      </c>
      <c r="J31" s="92">
        <v>5</v>
      </c>
      <c r="K31" s="92">
        <f t="shared" si="3"/>
        <v>5</v>
      </c>
      <c r="L31" s="92" t="s">
        <v>2180</v>
      </c>
      <c r="N31" s="92">
        <v>3.2</v>
      </c>
    </row>
    <row r="32" spans="1:19">
      <c r="G32" s="92">
        <v>4</v>
      </c>
      <c r="H32" s="92" t="s">
        <v>2182</v>
      </c>
      <c r="I32" s="92">
        <v>1</v>
      </c>
      <c r="J32" s="92">
        <v>4</v>
      </c>
      <c r="K32" s="92">
        <f t="shared" si="3"/>
        <v>4</v>
      </c>
      <c r="N32" s="92">
        <v>3.8</v>
      </c>
    </row>
    <row r="33" spans="1:14" ht="15" thickBot="1">
      <c r="G33" s="255">
        <v>5</v>
      </c>
      <c r="H33" s="255" t="s">
        <v>2176</v>
      </c>
      <c r="I33" s="255">
        <v>1</v>
      </c>
      <c r="J33" s="255">
        <v>25</v>
      </c>
      <c r="K33" s="255">
        <f t="shared" si="3"/>
        <v>25</v>
      </c>
      <c r="L33" s="255" t="s">
        <v>2181</v>
      </c>
      <c r="M33" s="255"/>
      <c r="N33" s="255">
        <v>17</v>
      </c>
    </row>
    <row r="34" spans="1:14">
      <c r="G34" s="92">
        <v>6</v>
      </c>
      <c r="H34" s="92" t="s">
        <v>2256</v>
      </c>
      <c r="I34" s="92">
        <v>1</v>
      </c>
      <c r="J34" s="92" t="s">
        <v>2252</v>
      </c>
      <c r="L34" s="92" t="s">
        <v>2257</v>
      </c>
    </row>
    <row r="35" spans="1:14">
      <c r="G35" s="92">
        <v>7</v>
      </c>
      <c r="H35" s="92" t="s">
        <v>2251</v>
      </c>
      <c r="I35" s="92">
        <v>1</v>
      </c>
      <c r="J35" s="92">
        <v>30</v>
      </c>
      <c r="K35" s="92">
        <v>30</v>
      </c>
      <c r="L35" s="92" t="s">
        <v>2253</v>
      </c>
    </row>
    <row r="36" spans="1:14">
      <c r="G36" s="92">
        <v>8</v>
      </c>
      <c r="H36" s="92" t="s">
        <v>2251</v>
      </c>
      <c r="I36" s="92">
        <v>1</v>
      </c>
      <c r="J36" s="92">
        <v>30</v>
      </c>
      <c r="K36" s="92">
        <v>30</v>
      </c>
      <c r="L36" s="92" t="s">
        <v>2254</v>
      </c>
    </row>
    <row r="37" spans="1:14">
      <c r="G37" s="92">
        <v>9</v>
      </c>
      <c r="H37" s="92" t="s">
        <v>2251</v>
      </c>
      <c r="I37" s="92">
        <v>1</v>
      </c>
      <c r="J37" s="92" t="s">
        <v>2252</v>
      </c>
      <c r="L37" s="92" t="s">
        <v>2255</v>
      </c>
    </row>
    <row r="40" spans="1:14">
      <c r="K40" s="92">
        <f>SUM(K26:K36)</f>
        <v>163</v>
      </c>
      <c r="N40" s="92">
        <f>SUM(N26:N33)</f>
        <v>58.6</v>
      </c>
    </row>
    <row r="45" spans="1:14">
      <c r="A45" s="92" t="s">
        <v>2169</v>
      </c>
    </row>
    <row r="46" spans="1:14" ht="15">
      <c r="A46" s="244"/>
      <c r="B46" s="262" t="s">
        <v>2163</v>
      </c>
      <c r="C46" s="262" t="s">
        <v>2155</v>
      </c>
      <c r="D46" s="262" t="s">
        <v>2168</v>
      </c>
      <c r="E46" s="263" t="s">
        <v>1561</v>
      </c>
      <c r="F46" s="262" t="s">
        <v>2154</v>
      </c>
      <c r="G46" s="262" t="s">
        <v>2153</v>
      </c>
      <c r="H46" s="92" t="s">
        <v>2228</v>
      </c>
      <c r="I46" s="92" t="s">
        <v>2227</v>
      </c>
      <c r="J46" s="263" t="s">
        <v>1561</v>
      </c>
      <c r="K46" s="262" t="s">
        <v>2154</v>
      </c>
      <c r="L46" s="262" t="s">
        <v>2153</v>
      </c>
    </row>
    <row r="47" spans="1:14">
      <c r="A47" s="244" t="s">
        <v>2152</v>
      </c>
      <c r="B47" s="244" t="s">
        <v>2164</v>
      </c>
      <c r="C47" s="244">
        <v>2.25</v>
      </c>
      <c r="D47" s="244">
        <f>C47*128</f>
        <v>288</v>
      </c>
      <c r="E47" s="248">
        <f t="shared" ref="E47:E54" si="4">D47*G47/F47</f>
        <v>0.64800000000000002</v>
      </c>
      <c r="F47" s="244">
        <v>1000</v>
      </c>
      <c r="G47" s="244">
        <v>2.25</v>
      </c>
      <c r="H47" s="92">
        <f>3*C47/2</f>
        <v>3.375</v>
      </c>
      <c r="I47" s="92">
        <f>3*D47/2</f>
        <v>432</v>
      </c>
      <c r="J47" s="264">
        <f t="shared" ref="J47:J54" si="5">I47*L47/K47</f>
        <v>0.97199999999999998</v>
      </c>
      <c r="K47" s="244">
        <v>1000</v>
      </c>
      <c r="L47" s="244">
        <v>2.25</v>
      </c>
    </row>
    <row r="48" spans="1:14">
      <c r="A48" s="244" t="s">
        <v>2156</v>
      </c>
      <c r="B48" s="244" t="s">
        <v>2164</v>
      </c>
      <c r="C48" s="244">
        <v>0.75</v>
      </c>
      <c r="D48" s="244">
        <f>C48*128</f>
        <v>96</v>
      </c>
      <c r="E48" s="248">
        <f t="shared" si="4"/>
        <v>0.192</v>
      </c>
      <c r="F48" s="244">
        <v>1000</v>
      </c>
      <c r="G48" s="244">
        <v>2</v>
      </c>
      <c r="H48" s="92">
        <f t="shared" ref="H48:H49" si="6">3*C48/2</f>
        <v>1.125</v>
      </c>
      <c r="I48" s="92">
        <f t="shared" ref="I48:I49" si="7">3*D48/2</f>
        <v>144</v>
      </c>
      <c r="J48" s="264">
        <f t="shared" si="5"/>
        <v>0.28799999999999998</v>
      </c>
      <c r="K48" s="244">
        <v>1000</v>
      </c>
      <c r="L48" s="244">
        <v>2</v>
      </c>
    </row>
    <row r="49" spans="1:12">
      <c r="A49" s="244" t="s">
        <v>2157</v>
      </c>
      <c r="B49" s="244" t="s">
        <v>2164</v>
      </c>
      <c r="C49" s="244">
        <v>0.75</v>
      </c>
      <c r="D49" s="244">
        <f>C49*220</f>
        <v>165</v>
      </c>
      <c r="E49" s="248">
        <f t="shared" si="4"/>
        <v>0.7589999999999999</v>
      </c>
      <c r="F49" s="244">
        <v>500</v>
      </c>
      <c r="G49" s="244">
        <v>2.2999999999999998</v>
      </c>
      <c r="H49" s="92">
        <f t="shared" si="6"/>
        <v>1.125</v>
      </c>
      <c r="I49" s="92">
        <f t="shared" si="7"/>
        <v>247.5</v>
      </c>
      <c r="J49" s="264">
        <f t="shared" si="5"/>
        <v>1.1385000000000001</v>
      </c>
      <c r="K49" s="244">
        <v>500</v>
      </c>
      <c r="L49" s="244">
        <v>2.2999999999999998</v>
      </c>
    </row>
    <row r="50" spans="1:12">
      <c r="A50" s="244" t="s">
        <v>2158</v>
      </c>
      <c r="B50" s="244" t="s">
        <v>2166</v>
      </c>
      <c r="C50" s="244">
        <v>2</v>
      </c>
      <c r="D50" s="244">
        <v>2</v>
      </c>
      <c r="E50" s="248">
        <f t="shared" si="4"/>
        <v>0.38</v>
      </c>
      <c r="F50" s="244">
        <v>10</v>
      </c>
      <c r="G50" s="244">
        <v>1.9</v>
      </c>
      <c r="H50" s="188">
        <v>3</v>
      </c>
      <c r="I50" s="92">
        <v>3</v>
      </c>
      <c r="J50" s="264">
        <f t="shared" si="5"/>
        <v>0.56999999999999995</v>
      </c>
      <c r="K50" s="244">
        <v>10</v>
      </c>
      <c r="L50" s="244">
        <v>1.9</v>
      </c>
    </row>
    <row r="51" spans="1:12">
      <c r="A51" s="244" t="s">
        <v>2159</v>
      </c>
      <c r="B51" s="244" t="s">
        <v>2164</v>
      </c>
      <c r="C51" s="244">
        <v>1</v>
      </c>
      <c r="D51" s="244">
        <v>200</v>
      </c>
      <c r="E51" s="248">
        <f t="shared" si="4"/>
        <v>3.6799999999999997</v>
      </c>
      <c r="F51" s="244">
        <v>250</v>
      </c>
      <c r="G51" s="244">
        <v>4.5999999999999996</v>
      </c>
      <c r="H51" s="92">
        <f t="shared" ref="H51:H54" si="8">3*C51/2</f>
        <v>1.5</v>
      </c>
      <c r="I51" s="92">
        <f t="shared" ref="I51:I54" si="9">3*D51/2</f>
        <v>300</v>
      </c>
      <c r="J51" s="264">
        <f t="shared" si="5"/>
        <v>5.52</v>
      </c>
      <c r="K51" s="244">
        <v>250</v>
      </c>
      <c r="L51" s="244">
        <v>4.5999999999999996</v>
      </c>
    </row>
    <row r="52" spans="1:12">
      <c r="A52" s="244" t="s">
        <v>2162</v>
      </c>
      <c r="B52" s="244" t="s">
        <v>2165</v>
      </c>
      <c r="C52" s="244">
        <v>1</v>
      </c>
      <c r="D52" s="244">
        <v>5</v>
      </c>
      <c r="E52" s="248">
        <f t="shared" si="4"/>
        <v>5.7500000000000002E-2</v>
      </c>
      <c r="F52" s="244">
        <v>100</v>
      </c>
      <c r="G52" s="244">
        <v>1.1499999999999999</v>
      </c>
      <c r="H52" s="92">
        <f t="shared" si="8"/>
        <v>1.5</v>
      </c>
      <c r="I52" s="92">
        <f t="shared" si="9"/>
        <v>7.5</v>
      </c>
      <c r="J52" s="264">
        <f t="shared" si="5"/>
        <v>8.6249999999999993E-2</v>
      </c>
      <c r="K52" s="244">
        <v>100</v>
      </c>
      <c r="L52" s="244">
        <v>1.1499999999999999</v>
      </c>
    </row>
    <row r="53" spans="1:12">
      <c r="A53" s="244" t="s">
        <v>2160</v>
      </c>
      <c r="B53" s="244" t="s">
        <v>2165</v>
      </c>
      <c r="C53" s="244">
        <v>1</v>
      </c>
      <c r="D53" s="244">
        <v>5</v>
      </c>
      <c r="E53" s="248">
        <f t="shared" si="4"/>
        <v>0.27884615384615385</v>
      </c>
      <c r="F53" s="244">
        <v>26</v>
      </c>
      <c r="G53" s="244">
        <v>1.45</v>
      </c>
      <c r="H53" s="92">
        <f t="shared" si="8"/>
        <v>1.5</v>
      </c>
      <c r="I53" s="92">
        <f t="shared" si="9"/>
        <v>7.5</v>
      </c>
      <c r="J53" s="264">
        <f t="shared" si="5"/>
        <v>0.41826923076923078</v>
      </c>
      <c r="K53" s="244">
        <v>26</v>
      </c>
      <c r="L53" s="244">
        <v>1.45</v>
      </c>
    </row>
    <row r="54" spans="1:12">
      <c r="A54" s="244" t="s">
        <v>2161</v>
      </c>
      <c r="B54" s="244" t="s">
        <v>2164</v>
      </c>
      <c r="C54" s="244">
        <v>1</v>
      </c>
      <c r="D54" s="244">
        <v>200</v>
      </c>
      <c r="E54" s="248">
        <f t="shared" si="4"/>
        <v>3.7647058823529411</v>
      </c>
      <c r="F54" s="244">
        <v>340</v>
      </c>
      <c r="G54" s="244">
        <v>6.4</v>
      </c>
      <c r="H54" s="92">
        <f t="shared" si="8"/>
        <v>1.5</v>
      </c>
      <c r="I54" s="92">
        <f t="shared" si="9"/>
        <v>300</v>
      </c>
      <c r="J54" s="264">
        <f t="shared" si="5"/>
        <v>5.6470588235294121</v>
      </c>
      <c r="K54" s="244">
        <v>340</v>
      </c>
      <c r="L54" s="244">
        <v>6.4</v>
      </c>
    </row>
    <row r="55" spans="1:12">
      <c r="D55" s="92">
        <f>SUM(D47:D54)</f>
        <v>961</v>
      </c>
      <c r="E55" s="92">
        <f>SUM(E47:E54)</f>
        <v>9.7600520361990952</v>
      </c>
      <c r="I55" s="92">
        <f>SUM(I47:I54)</f>
        <v>1441.5</v>
      </c>
      <c r="J55" s="183">
        <f>SUM(J47:J54)</f>
        <v>14.640078054298641</v>
      </c>
    </row>
    <row r="56" spans="1:12" s="266" customFormat="1">
      <c r="A56" s="266" t="s">
        <v>2235</v>
      </c>
      <c r="E56" s="266">
        <v>4</v>
      </c>
      <c r="J56" s="267">
        <v>4</v>
      </c>
    </row>
    <row r="57" spans="1:12" s="188" customFormat="1">
      <c r="A57" s="188" t="s">
        <v>1571</v>
      </c>
      <c r="E57" s="265">
        <f>SUM(E55,E56)</f>
        <v>13.760052036199095</v>
      </c>
      <c r="J57" s="265">
        <f>SUM(J55,J56)</f>
        <v>18.640078054298641</v>
      </c>
    </row>
    <row r="58" spans="1:12" s="270" customFormat="1">
      <c r="A58" s="270" t="s">
        <v>1572</v>
      </c>
      <c r="E58" s="271">
        <f>E57*2.5</f>
        <v>34.40013009049774</v>
      </c>
      <c r="J58" s="271">
        <f>J57*2.5</f>
        <v>46.600195135746603</v>
      </c>
    </row>
    <row r="59" spans="1:12" s="268" customFormat="1">
      <c r="E59" s="269"/>
      <c r="J59" s="269"/>
    </row>
    <row r="61" spans="1:12">
      <c r="A61" s="92" t="s">
        <v>2170</v>
      </c>
      <c r="B61" s="92">
        <v>10</v>
      </c>
    </row>
    <row r="62" spans="1:12">
      <c r="A62" s="92" t="s">
        <v>2171</v>
      </c>
      <c r="B62" s="92">
        <v>6</v>
      </c>
      <c r="H62" s="92" t="s">
        <v>2184</v>
      </c>
      <c r="J62" s="92" t="s">
        <v>2185</v>
      </c>
    </row>
    <row r="63" spans="1:12">
      <c r="B63" s="92">
        <f>SUM(B61:B62)</f>
        <v>16</v>
      </c>
      <c r="G63" s="92">
        <v>1</v>
      </c>
      <c r="H63" s="92" t="s">
        <v>2186</v>
      </c>
      <c r="J63" s="92" t="s">
        <v>2187</v>
      </c>
    </row>
    <row r="64" spans="1:12">
      <c r="A64" s="92" t="s">
        <v>1572</v>
      </c>
      <c r="B64" s="126">
        <f>B63*1.55</f>
        <v>24.8</v>
      </c>
      <c r="C64" s="92" t="s">
        <v>2167</v>
      </c>
      <c r="G64" s="92">
        <v>2</v>
      </c>
      <c r="H64" s="92" t="s">
        <v>2188</v>
      </c>
      <c r="I64" s="92" t="s">
        <v>2195</v>
      </c>
      <c r="J64" s="92" t="s">
        <v>2189</v>
      </c>
    </row>
    <row r="65" spans="1:13">
      <c r="G65" s="92">
        <v>3</v>
      </c>
      <c r="H65" s="92" t="s">
        <v>2190</v>
      </c>
      <c r="I65" s="92" t="s">
        <v>2196</v>
      </c>
    </row>
    <row r="66" spans="1:13">
      <c r="A66" s="92" t="s">
        <v>2172</v>
      </c>
      <c r="B66" s="92">
        <f>B64/4</f>
        <v>6.2</v>
      </c>
      <c r="C66" s="92" t="s">
        <v>2173</v>
      </c>
      <c r="G66" s="92">
        <v>4</v>
      </c>
      <c r="H66" s="92" t="s">
        <v>2191</v>
      </c>
      <c r="I66" s="92" t="s">
        <v>2194</v>
      </c>
      <c r="J66" s="92" t="s">
        <v>2193</v>
      </c>
      <c r="K66" s="92" t="s">
        <v>2192</v>
      </c>
    </row>
    <row r="67" spans="1:13">
      <c r="A67" s="92" t="s">
        <v>2174</v>
      </c>
      <c r="B67" s="92">
        <f>10*8</f>
        <v>80</v>
      </c>
      <c r="G67" s="92">
        <v>5</v>
      </c>
      <c r="H67" s="92" t="s">
        <v>2197</v>
      </c>
      <c r="I67" s="92" t="s">
        <v>2198</v>
      </c>
    </row>
    <row r="68" spans="1:13">
      <c r="G68" s="92">
        <v>6</v>
      </c>
      <c r="H68" s="92" t="s">
        <v>2199</v>
      </c>
      <c r="I68" s="92" t="s">
        <v>2200</v>
      </c>
      <c r="J68" s="92" t="s">
        <v>2201</v>
      </c>
    </row>
    <row r="69" spans="1:13">
      <c r="A69" s="92" t="s">
        <v>2226</v>
      </c>
      <c r="B69" s="229">
        <v>4</v>
      </c>
      <c r="C69" s="92">
        <v>130</v>
      </c>
      <c r="D69" s="92" t="s">
        <v>2230</v>
      </c>
      <c r="G69" s="92">
        <v>7</v>
      </c>
      <c r="H69" s="92" t="s">
        <v>2202</v>
      </c>
      <c r="I69" s="92" t="s">
        <v>2203</v>
      </c>
    </row>
    <row r="70" spans="1:13">
      <c r="A70" s="92" t="s">
        <v>2234</v>
      </c>
      <c r="B70" s="229">
        <v>1</v>
      </c>
      <c r="C70" s="92">
        <f>C69/4</f>
        <v>32.5</v>
      </c>
      <c r="G70" s="92">
        <v>8</v>
      </c>
      <c r="H70" s="92" t="s">
        <v>2204</v>
      </c>
      <c r="I70" s="92" t="s">
        <v>2205</v>
      </c>
      <c r="J70" s="92" t="s">
        <v>2206</v>
      </c>
    </row>
    <row r="71" spans="1:13">
      <c r="A71" s="92" t="s">
        <v>2229</v>
      </c>
      <c r="B71" s="250">
        <f>B69*C71/C69</f>
        <v>27.692307692307693</v>
      </c>
      <c r="C71" s="92">
        <v>900</v>
      </c>
    </row>
    <row r="72" spans="1:13">
      <c r="A72" s="92" t="s">
        <v>2231</v>
      </c>
      <c r="B72" s="250">
        <f>B71*C72/C71</f>
        <v>30.769230769230774</v>
      </c>
      <c r="C72" s="92">
        <v>1000</v>
      </c>
      <c r="H72" s="92" t="s">
        <v>2207</v>
      </c>
    </row>
    <row r="73" spans="1:13">
      <c r="A73" s="92" t="s">
        <v>2232</v>
      </c>
      <c r="B73" s="250">
        <f>B72*C73/C72</f>
        <v>7.6923076923076934</v>
      </c>
      <c r="C73" s="92">
        <v>250</v>
      </c>
      <c r="G73" s="92">
        <v>1</v>
      </c>
      <c r="H73" s="92" t="s">
        <v>2208</v>
      </c>
      <c r="I73" s="92" t="s">
        <v>2209</v>
      </c>
      <c r="J73" s="92" t="s">
        <v>2210</v>
      </c>
      <c r="K73" s="92" t="s">
        <v>2211</v>
      </c>
    </row>
    <row r="74" spans="1:13">
      <c r="G74" s="92">
        <v>2</v>
      </c>
      <c r="H74" s="92" t="s">
        <v>2212</v>
      </c>
      <c r="I74" s="92" t="s">
        <v>2213</v>
      </c>
      <c r="J74" s="92" t="s">
        <v>2214</v>
      </c>
      <c r="K74" s="92" t="s">
        <v>2215</v>
      </c>
    </row>
    <row r="75" spans="1:13">
      <c r="G75" s="92">
        <v>3</v>
      </c>
      <c r="H75" s="92" t="s">
        <v>2216</v>
      </c>
      <c r="I75" s="92" t="s">
        <v>2217</v>
      </c>
      <c r="J75" s="92" t="s">
        <v>2218</v>
      </c>
      <c r="K75" s="92" t="s">
        <v>2219</v>
      </c>
      <c r="L75" s="92" t="s">
        <v>2220</v>
      </c>
      <c r="M75" s="92" t="s">
        <v>2221</v>
      </c>
    </row>
    <row r="76" spans="1:13">
      <c r="B76" s="92">
        <v>6.5</v>
      </c>
      <c r="C76" s="92">
        <v>200</v>
      </c>
      <c r="G76" s="92">
        <v>4</v>
      </c>
      <c r="H76" s="92" t="s">
        <v>2222</v>
      </c>
      <c r="I76" s="92" t="s">
        <v>2223</v>
      </c>
      <c r="J76" s="92" t="s">
        <v>2224</v>
      </c>
      <c r="K76" s="92" t="s">
        <v>2225</v>
      </c>
    </row>
    <row r="77" spans="1:13">
      <c r="B77" s="92">
        <f>B76*C77/C76</f>
        <v>32.5</v>
      </c>
      <c r="C77" s="92">
        <v>1000</v>
      </c>
    </row>
    <row r="79" spans="1:13">
      <c r="A79" s="92" t="s">
        <v>2167</v>
      </c>
      <c r="B79" s="229">
        <v>35</v>
      </c>
    </row>
    <row r="80" spans="1:13">
      <c r="A80" s="92" t="s">
        <v>2236</v>
      </c>
      <c r="B80" s="229">
        <v>12</v>
      </c>
    </row>
  </sheetData>
  <mergeCells count="2">
    <mergeCell ref="A8:E8"/>
    <mergeCell ref="H8:L8"/>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G82"/>
  <sheetViews>
    <sheetView topLeftCell="A40" zoomScale="70" zoomScaleNormal="70" workbookViewId="0">
      <selection activeCell="R48" sqref="R48:AF48"/>
    </sheetView>
  </sheetViews>
  <sheetFormatPr defaultColWidth="2.85546875" defaultRowHeight="15"/>
  <cols>
    <col min="1" max="16384" width="2.85546875" style="99"/>
  </cols>
  <sheetData>
    <row r="1" spans="1:59">
      <c r="A1" s="105" t="s">
        <v>1618</v>
      </c>
      <c r="B1" s="105" t="s">
        <v>1618</v>
      </c>
      <c r="C1" s="105" t="s">
        <v>1618</v>
      </c>
      <c r="D1" s="105" t="s">
        <v>1618</v>
      </c>
      <c r="E1" s="105" t="s">
        <v>1618</v>
      </c>
      <c r="F1" s="105" t="s">
        <v>1618</v>
      </c>
      <c r="G1" s="105" t="s">
        <v>1618</v>
      </c>
      <c r="H1" s="105" t="s">
        <v>1618</v>
      </c>
      <c r="I1" s="105" t="s">
        <v>1618</v>
      </c>
      <c r="J1" s="105" t="s">
        <v>1618</v>
      </c>
      <c r="K1" s="105" t="s">
        <v>1618</v>
      </c>
      <c r="L1" s="105" t="s">
        <v>1618</v>
      </c>
      <c r="M1" s="105" t="s">
        <v>1618</v>
      </c>
      <c r="N1" s="105" t="s">
        <v>1618</v>
      </c>
      <c r="O1" s="105" t="s">
        <v>1618</v>
      </c>
      <c r="P1" s="105" t="s">
        <v>1618</v>
      </c>
      <c r="Q1" s="105" t="s">
        <v>1618</v>
      </c>
      <c r="R1" s="105" t="s">
        <v>1618</v>
      </c>
      <c r="S1" s="103" t="s">
        <v>1618</v>
      </c>
      <c r="T1" s="103" t="s">
        <v>1618</v>
      </c>
      <c r="U1" s="103" t="s">
        <v>1618</v>
      </c>
      <c r="V1" s="103" t="s">
        <v>1618</v>
      </c>
      <c r="W1" s="103" t="s">
        <v>1618</v>
      </c>
      <c r="X1" s="103" t="s">
        <v>1618</v>
      </c>
      <c r="Y1" s="103" t="s">
        <v>1618</v>
      </c>
      <c r="Z1" s="103" t="s">
        <v>1618</v>
      </c>
      <c r="AA1" s="103" t="s">
        <v>1618</v>
      </c>
      <c r="AB1" s="103" t="s">
        <v>1618</v>
      </c>
      <c r="AC1" s="103" t="s">
        <v>1618</v>
      </c>
      <c r="AD1" s="103" t="s">
        <v>1618</v>
      </c>
      <c r="AE1" s="103" t="s">
        <v>1618</v>
      </c>
      <c r="AF1" s="103" t="s">
        <v>1618</v>
      </c>
      <c r="AG1" s="103" t="s">
        <v>1618</v>
      </c>
      <c r="AH1" s="103" t="s">
        <v>1618</v>
      </c>
      <c r="AI1" s="103" t="s">
        <v>1618</v>
      </c>
      <c r="AJ1" s="103" t="s">
        <v>1618</v>
      </c>
      <c r="AK1" s="103" t="s">
        <v>1618</v>
      </c>
      <c r="AL1" s="103" t="s">
        <v>1618</v>
      </c>
      <c r="AM1" s="110" t="s">
        <v>1618</v>
      </c>
      <c r="AN1" s="110" t="s">
        <v>1618</v>
      </c>
      <c r="AO1" s="110" t="s">
        <v>1618</v>
      </c>
      <c r="AP1" s="110" t="s">
        <v>1618</v>
      </c>
      <c r="AQ1" s="110" t="s">
        <v>1618</v>
      </c>
      <c r="AR1" s="110" t="s">
        <v>1618</v>
      </c>
      <c r="AS1" s="110" t="s">
        <v>1618</v>
      </c>
      <c r="AT1" s="110" t="s">
        <v>1618</v>
      </c>
      <c r="AU1" s="110" t="s">
        <v>1618</v>
      </c>
      <c r="AV1" s="110" t="s">
        <v>1618</v>
      </c>
      <c r="AW1" s="113" t="s">
        <v>1618</v>
      </c>
      <c r="AX1" s="113" t="s">
        <v>1618</v>
      </c>
      <c r="AY1" s="113" t="s">
        <v>1618</v>
      </c>
      <c r="AZ1" s="113" t="s">
        <v>1618</v>
      </c>
      <c r="BA1" s="113" t="s">
        <v>1618</v>
      </c>
      <c r="BB1" s="113" t="s">
        <v>1618</v>
      </c>
      <c r="BC1" s="113" t="s">
        <v>1618</v>
      </c>
      <c r="BD1" s="113" t="s">
        <v>1618</v>
      </c>
      <c r="BE1" s="113" t="s">
        <v>1618</v>
      </c>
      <c r="BF1" s="113" t="s">
        <v>1618</v>
      </c>
      <c r="BG1" s="113" t="s">
        <v>1618</v>
      </c>
    </row>
    <row r="2" spans="1:59">
      <c r="A2" s="105" t="s">
        <v>1618</v>
      </c>
      <c r="B2" s="105" t="s">
        <v>1618</v>
      </c>
      <c r="C2" s="105" t="s">
        <v>1618</v>
      </c>
      <c r="D2" s="105" t="s">
        <v>1618</v>
      </c>
      <c r="E2" s="105" t="s">
        <v>1618</v>
      </c>
      <c r="F2" s="105" t="s">
        <v>1618</v>
      </c>
      <c r="G2" s="105" t="s">
        <v>1618</v>
      </c>
      <c r="H2" s="105" t="s">
        <v>1618</v>
      </c>
      <c r="I2" s="105" t="s">
        <v>1618</v>
      </c>
      <c r="J2" s="105" t="s">
        <v>1618</v>
      </c>
      <c r="K2" s="105" t="s">
        <v>1618</v>
      </c>
      <c r="L2" s="105" t="s">
        <v>1618</v>
      </c>
      <c r="M2" s="105" t="s">
        <v>1618</v>
      </c>
      <c r="N2" s="105" t="s">
        <v>1618</v>
      </c>
      <c r="O2" s="105" t="s">
        <v>1618</v>
      </c>
      <c r="P2" s="105" t="s">
        <v>1618</v>
      </c>
      <c r="Q2" s="105" t="s">
        <v>1618</v>
      </c>
      <c r="R2" s="105" t="s">
        <v>1618</v>
      </c>
      <c r="S2" s="103" t="s">
        <v>1618</v>
      </c>
      <c r="T2" s="103" t="s">
        <v>1618</v>
      </c>
      <c r="U2" s="103" t="s">
        <v>1618</v>
      </c>
      <c r="V2" s="103" t="s">
        <v>1618</v>
      </c>
      <c r="W2" s="103" t="s">
        <v>1618</v>
      </c>
      <c r="X2" s="103" t="s">
        <v>1618</v>
      </c>
      <c r="Y2" s="103" t="s">
        <v>1618</v>
      </c>
      <c r="Z2" s="103" t="s">
        <v>1618</v>
      </c>
      <c r="AA2" s="103" t="s">
        <v>1618</v>
      </c>
      <c r="AB2" s="103" t="s">
        <v>1618</v>
      </c>
      <c r="AC2" s="103" t="s">
        <v>1618</v>
      </c>
      <c r="AD2" s="103" t="s">
        <v>1618</v>
      </c>
      <c r="AE2" s="103" t="s">
        <v>1618</v>
      </c>
      <c r="AF2" s="103" t="s">
        <v>1618</v>
      </c>
      <c r="AG2" s="103" t="s">
        <v>1618</v>
      </c>
      <c r="AH2" s="103" t="s">
        <v>1618</v>
      </c>
      <c r="AI2" s="103" t="s">
        <v>1618</v>
      </c>
      <c r="AJ2" s="103" t="s">
        <v>1618</v>
      </c>
      <c r="AK2" s="103" t="s">
        <v>1618</v>
      </c>
      <c r="AL2" s="103" t="s">
        <v>1618</v>
      </c>
      <c r="AM2" s="110" t="s">
        <v>1618</v>
      </c>
      <c r="AN2" s="110" t="s">
        <v>1618</v>
      </c>
      <c r="AO2" s="110" t="s">
        <v>1618</v>
      </c>
      <c r="AP2" s="110" t="s">
        <v>1618</v>
      </c>
      <c r="AQ2" s="110" t="s">
        <v>1618</v>
      </c>
      <c r="AR2" s="110" t="s">
        <v>1618</v>
      </c>
      <c r="AS2" s="110" t="s">
        <v>1618</v>
      </c>
      <c r="AT2" s="110" t="s">
        <v>1618</v>
      </c>
      <c r="AU2" s="110" t="s">
        <v>1618</v>
      </c>
      <c r="AV2" s="110" t="s">
        <v>1618</v>
      </c>
      <c r="AW2" s="113" t="s">
        <v>1618</v>
      </c>
      <c r="AX2" s="113" t="s">
        <v>1618</v>
      </c>
      <c r="AY2" s="113" t="s">
        <v>1618</v>
      </c>
      <c r="AZ2" s="113" t="s">
        <v>1618</v>
      </c>
      <c r="BA2" s="113" t="s">
        <v>1618</v>
      </c>
      <c r="BB2" s="113" t="s">
        <v>1618</v>
      </c>
      <c r="BC2" s="113" t="s">
        <v>1618</v>
      </c>
      <c r="BD2" s="113" t="s">
        <v>1618</v>
      </c>
      <c r="BE2" s="113" t="s">
        <v>1618</v>
      </c>
      <c r="BF2" s="113" t="s">
        <v>1618</v>
      </c>
      <c r="BG2" s="113" t="s">
        <v>1618</v>
      </c>
    </row>
    <row r="3" spans="1:59">
      <c r="A3" s="105" t="s">
        <v>1618</v>
      </c>
      <c r="B3" s="105" t="s">
        <v>1618</v>
      </c>
      <c r="C3" s="105" t="s">
        <v>1618</v>
      </c>
      <c r="D3" s="105" t="s">
        <v>1618</v>
      </c>
      <c r="E3" s="105" t="s">
        <v>1618</v>
      </c>
      <c r="F3" s="105" t="s">
        <v>1618</v>
      </c>
      <c r="G3" s="105" t="s">
        <v>1618</v>
      </c>
      <c r="H3" s="105" t="s">
        <v>1618</v>
      </c>
      <c r="I3" s="105" t="s">
        <v>1618</v>
      </c>
      <c r="J3" s="105" t="s">
        <v>1618</v>
      </c>
      <c r="K3" s="105" t="s">
        <v>1618</v>
      </c>
      <c r="L3" s="105" t="s">
        <v>1618</v>
      </c>
      <c r="M3" s="105" t="s">
        <v>1618</v>
      </c>
      <c r="N3" s="105" t="s">
        <v>1618</v>
      </c>
      <c r="O3" s="105" t="s">
        <v>1618</v>
      </c>
      <c r="P3" s="105" t="s">
        <v>1618</v>
      </c>
      <c r="Q3" s="105" t="s">
        <v>1618</v>
      </c>
      <c r="R3" s="105" t="s">
        <v>1618</v>
      </c>
      <c r="S3" s="103" t="s">
        <v>1618</v>
      </c>
      <c r="T3" s="103" t="s">
        <v>1618</v>
      </c>
      <c r="U3" s="103" t="s">
        <v>1618</v>
      </c>
      <c r="V3" s="103" t="s">
        <v>1618</v>
      </c>
      <c r="W3" s="103" t="s">
        <v>1618</v>
      </c>
      <c r="X3" s="103" t="s">
        <v>1618</v>
      </c>
      <c r="Y3" s="103" t="s">
        <v>1618</v>
      </c>
      <c r="Z3" s="103" t="s">
        <v>1618</v>
      </c>
      <c r="AA3" s="103" t="s">
        <v>1618</v>
      </c>
      <c r="AB3" s="103" t="s">
        <v>1618</v>
      </c>
      <c r="AC3" s="103" t="s">
        <v>1618</v>
      </c>
      <c r="AD3" s="103" t="s">
        <v>1618</v>
      </c>
      <c r="AE3" s="103" t="s">
        <v>1618</v>
      </c>
      <c r="AF3" s="103" t="s">
        <v>1618</v>
      </c>
      <c r="AG3" s="103" t="s">
        <v>1618</v>
      </c>
      <c r="AH3" s="103" t="s">
        <v>1618</v>
      </c>
      <c r="AI3" s="103" t="s">
        <v>1618</v>
      </c>
      <c r="AJ3" s="103" t="s">
        <v>1618</v>
      </c>
      <c r="AK3" s="103" t="s">
        <v>1618</v>
      </c>
      <c r="AL3" s="103" t="s">
        <v>1618</v>
      </c>
      <c r="AM3" s="110" t="s">
        <v>1618</v>
      </c>
      <c r="AN3" s="110" t="s">
        <v>1618</v>
      </c>
      <c r="AO3" s="110" t="s">
        <v>1618</v>
      </c>
      <c r="AP3" s="110" t="s">
        <v>1618</v>
      </c>
      <c r="AQ3" s="110" t="s">
        <v>1618</v>
      </c>
      <c r="AR3" s="110" t="s">
        <v>1618</v>
      </c>
      <c r="AS3" s="110" t="s">
        <v>1618</v>
      </c>
      <c r="AT3" s="110" t="s">
        <v>1618</v>
      </c>
      <c r="AU3" s="110" t="s">
        <v>1618</v>
      </c>
      <c r="AV3" s="110" t="s">
        <v>1618</v>
      </c>
      <c r="AW3" s="113" t="s">
        <v>1618</v>
      </c>
      <c r="AX3" s="113" t="s">
        <v>1618</v>
      </c>
      <c r="AY3" s="113" t="s">
        <v>1618</v>
      </c>
      <c r="AZ3" s="113" t="s">
        <v>1618</v>
      </c>
      <c r="BA3" s="113" t="s">
        <v>1618</v>
      </c>
      <c r="BB3" s="113" t="s">
        <v>1618</v>
      </c>
      <c r="BC3" s="113" t="s">
        <v>1618</v>
      </c>
      <c r="BD3" s="113" t="s">
        <v>1618</v>
      </c>
      <c r="BE3" s="113" t="s">
        <v>1618</v>
      </c>
      <c r="BF3" s="113" t="s">
        <v>1618</v>
      </c>
      <c r="BG3" s="113" t="s">
        <v>1618</v>
      </c>
    </row>
    <row r="4" spans="1:59">
      <c r="A4" s="105" t="s">
        <v>1618</v>
      </c>
      <c r="B4" s="105" t="s">
        <v>1618</v>
      </c>
      <c r="C4" s="105" t="s">
        <v>1618</v>
      </c>
      <c r="D4" s="105" t="s">
        <v>1618</v>
      </c>
      <c r="E4" s="105" t="s">
        <v>1618</v>
      </c>
      <c r="F4" s="105" t="s">
        <v>1618</v>
      </c>
      <c r="G4" s="105" t="s">
        <v>1618</v>
      </c>
      <c r="H4" s="105" t="s">
        <v>1618</v>
      </c>
      <c r="I4" s="105" t="s">
        <v>1618</v>
      </c>
      <c r="J4" s="105" t="s">
        <v>1618</v>
      </c>
      <c r="K4" s="105" t="s">
        <v>1618</v>
      </c>
      <c r="L4" s="105" t="s">
        <v>1618</v>
      </c>
      <c r="M4" s="105" t="s">
        <v>1618</v>
      </c>
      <c r="N4" s="105" t="s">
        <v>1618</v>
      </c>
      <c r="O4" s="105" t="s">
        <v>1618</v>
      </c>
      <c r="P4" s="105" t="s">
        <v>1618</v>
      </c>
      <c r="Q4" s="105" t="s">
        <v>1618</v>
      </c>
      <c r="R4" s="105" t="s">
        <v>1618</v>
      </c>
      <c r="S4" s="103" t="s">
        <v>1618</v>
      </c>
      <c r="T4" s="103" t="s">
        <v>1618</v>
      </c>
      <c r="U4" s="103" t="s">
        <v>1618</v>
      </c>
      <c r="V4" s="103" t="s">
        <v>1618</v>
      </c>
      <c r="W4" s="103" t="s">
        <v>1618</v>
      </c>
      <c r="X4" s="103" t="s">
        <v>1618</v>
      </c>
      <c r="Y4" s="103" t="s">
        <v>1618</v>
      </c>
      <c r="Z4" s="103" t="s">
        <v>1618</v>
      </c>
      <c r="AA4" s="103" t="s">
        <v>1618</v>
      </c>
      <c r="AB4" s="103" t="s">
        <v>1618</v>
      </c>
      <c r="AC4" s="103" t="s">
        <v>1618</v>
      </c>
      <c r="AD4" s="103" t="s">
        <v>1618</v>
      </c>
      <c r="AE4" s="103" t="s">
        <v>1618</v>
      </c>
      <c r="AF4" s="103" t="s">
        <v>1618</v>
      </c>
      <c r="AG4" s="103" t="s">
        <v>1618</v>
      </c>
      <c r="AH4" s="103" t="s">
        <v>1618</v>
      </c>
      <c r="AI4" s="103" t="s">
        <v>1618</v>
      </c>
      <c r="AJ4" s="103" t="s">
        <v>1618</v>
      </c>
      <c r="AK4" s="103" t="s">
        <v>1618</v>
      </c>
      <c r="AL4" s="103" t="s">
        <v>1618</v>
      </c>
      <c r="AM4" s="110" t="s">
        <v>1618</v>
      </c>
      <c r="AN4" s="110" t="s">
        <v>1618</v>
      </c>
      <c r="AO4" s="110" t="s">
        <v>1618</v>
      </c>
      <c r="AP4" s="110" t="s">
        <v>1618</v>
      </c>
      <c r="AQ4" s="110" t="s">
        <v>1618</v>
      </c>
      <c r="AR4" s="110" t="s">
        <v>1618</v>
      </c>
      <c r="AS4" s="110" t="s">
        <v>1618</v>
      </c>
      <c r="AT4" s="110" t="s">
        <v>1618</v>
      </c>
      <c r="AU4" s="110" t="s">
        <v>1618</v>
      </c>
      <c r="AV4" s="110" t="s">
        <v>1618</v>
      </c>
      <c r="AW4" s="113" t="s">
        <v>1618</v>
      </c>
      <c r="AX4" s="113" t="s">
        <v>1618</v>
      </c>
      <c r="AY4" s="113" t="s">
        <v>1618</v>
      </c>
      <c r="AZ4" s="113" t="s">
        <v>1618</v>
      </c>
      <c r="BA4" s="113" t="s">
        <v>1618</v>
      </c>
      <c r="BB4" s="113" t="s">
        <v>1618</v>
      </c>
      <c r="BC4" s="113" t="s">
        <v>1618</v>
      </c>
      <c r="BD4" s="113" t="s">
        <v>1618</v>
      </c>
      <c r="BE4" s="113" t="s">
        <v>1618</v>
      </c>
      <c r="BF4" s="113" t="s">
        <v>1618</v>
      </c>
      <c r="BG4" s="113" t="s">
        <v>1618</v>
      </c>
    </row>
    <row r="5" spans="1:59">
      <c r="A5" s="105" t="s">
        <v>1618</v>
      </c>
      <c r="B5" s="105" t="s">
        <v>1618</v>
      </c>
      <c r="C5" s="105" t="s">
        <v>1618</v>
      </c>
      <c r="D5" s="105" t="s">
        <v>1618</v>
      </c>
      <c r="E5" s="105" t="s">
        <v>1618</v>
      </c>
      <c r="F5" s="105" t="s">
        <v>1618</v>
      </c>
      <c r="G5" s="105" t="s">
        <v>1618</v>
      </c>
      <c r="H5" s="105" t="s">
        <v>1618</v>
      </c>
      <c r="I5" s="105" t="s">
        <v>1618</v>
      </c>
      <c r="J5" s="105" t="s">
        <v>1618</v>
      </c>
      <c r="K5" s="105" t="s">
        <v>1618</v>
      </c>
      <c r="L5" s="105" t="s">
        <v>1618</v>
      </c>
      <c r="M5" s="105" t="s">
        <v>1618</v>
      </c>
      <c r="N5" s="105" t="s">
        <v>1618</v>
      </c>
      <c r="O5" s="105" t="s">
        <v>1618</v>
      </c>
      <c r="P5" s="105" t="s">
        <v>1618</v>
      </c>
      <c r="Q5" s="105" t="s">
        <v>1618</v>
      </c>
      <c r="R5" s="105" t="s">
        <v>1618</v>
      </c>
      <c r="S5" s="103" t="s">
        <v>1618</v>
      </c>
      <c r="T5" s="103" t="s">
        <v>1618</v>
      </c>
      <c r="U5" s="103" t="s">
        <v>1618</v>
      </c>
      <c r="V5" s="103" t="s">
        <v>1618</v>
      </c>
      <c r="W5" s="103" t="s">
        <v>1618</v>
      </c>
      <c r="X5" s="103" t="s">
        <v>1618</v>
      </c>
      <c r="Y5" s="103" t="s">
        <v>1618</v>
      </c>
      <c r="Z5" s="103" t="s">
        <v>1618</v>
      </c>
      <c r="AA5" s="103" t="s">
        <v>1618</v>
      </c>
      <c r="AB5" s="103" t="s">
        <v>1618</v>
      </c>
      <c r="AC5" s="103" t="s">
        <v>1618</v>
      </c>
      <c r="AD5" s="103" t="s">
        <v>1618</v>
      </c>
      <c r="AE5" s="103" t="s">
        <v>1618</v>
      </c>
      <c r="AF5" s="103" t="s">
        <v>1618</v>
      </c>
      <c r="AG5" s="103" t="s">
        <v>1618</v>
      </c>
      <c r="AH5" s="103" t="s">
        <v>1618</v>
      </c>
      <c r="AI5" s="103" t="s">
        <v>1618</v>
      </c>
      <c r="AJ5" s="103" t="s">
        <v>1618</v>
      </c>
      <c r="AK5" s="103" t="s">
        <v>1618</v>
      </c>
      <c r="AL5" s="103" t="s">
        <v>1618</v>
      </c>
      <c r="AM5" s="110" t="s">
        <v>1618</v>
      </c>
      <c r="AN5" s="110" t="s">
        <v>1618</v>
      </c>
      <c r="AO5" s="110" t="s">
        <v>1618</v>
      </c>
      <c r="AP5" s="110" t="s">
        <v>1618</v>
      </c>
      <c r="AQ5" s="110" t="s">
        <v>1618</v>
      </c>
      <c r="AR5" s="110" t="s">
        <v>1618</v>
      </c>
      <c r="AS5" s="110" t="s">
        <v>1618</v>
      </c>
      <c r="AT5" s="110" t="s">
        <v>1618</v>
      </c>
      <c r="AU5" s="110" t="s">
        <v>1618</v>
      </c>
      <c r="AV5" s="110" t="s">
        <v>1618</v>
      </c>
      <c r="AW5" s="113" t="s">
        <v>1618</v>
      </c>
      <c r="AX5" s="113" t="s">
        <v>1618</v>
      </c>
      <c r="AY5" s="113" t="s">
        <v>1618</v>
      </c>
      <c r="AZ5" s="113" t="s">
        <v>1618</v>
      </c>
      <c r="BA5" s="113" t="s">
        <v>1618</v>
      </c>
      <c r="BB5" s="113" t="s">
        <v>1618</v>
      </c>
      <c r="BC5" s="113" t="s">
        <v>1618</v>
      </c>
      <c r="BD5" s="113" t="s">
        <v>1618</v>
      </c>
      <c r="BE5" s="113" t="s">
        <v>1618</v>
      </c>
      <c r="BF5" s="113" t="s">
        <v>1618</v>
      </c>
      <c r="BG5" s="113" t="s">
        <v>1618</v>
      </c>
    </row>
    <row r="6" spans="1:59">
      <c r="A6" s="105" t="s">
        <v>1618</v>
      </c>
      <c r="B6" s="105" t="s">
        <v>1618</v>
      </c>
      <c r="C6" s="105" t="s">
        <v>1618</v>
      </c>
      <c r="D6" s="105" t="s">
        <v>1618</v>
      </c>
      <c r="E6" s="105" t="s">
        <v>1618</v>
      </c>
      <c r="F6" s="105" t="s">
        <v>1618</v>
      </c>
      <c r="G6" s="105" t="s">
        <v>1618</v>
      </c>
      <c r="H6" s="105" t="s">
        <v>1618</v>
      </c>
      <c r="I6" s="105" t="s">
        <v>1618</v>
      </c>
      <c r="J6" s="105" t="s">
        <v>1618</v>
      </c>
      <c r="K6" s="105" t="s">
        <v>1618</v>
      </c>
      <c r="L6" s="105" t="s">
        <v>1618</v>
      </c>
      <c r="M6" s="105" t="s">
        <v>1618</v>
      </c>
      <c r="N6" s="105" t="s">
        <v>1618</v>
      </c>
      <c r="O6" s="105" t="s">
        <v>1618</v>
      </c>
      <c r="P6" s="105" t="s">
        <v>1618</v>
      </c>
      <c r="Q6" s="105" t="s">
        <v>1618</v>
      </c>
      <c r="R6" s="105" t="s">
        <v>1618</v>
      </c>
      <c r="S6" s="103" t="s">
        <v>1618</v>
      </c>
      <c r="T6" s="103" t="s">
        <v>1618</v>
      </c>
      <c r="U6" s="103" t="s">
        <v>1618</v>
      </c>
      <c r="V6" s="103" t="s">
        <v>1618</v>
      </c>
      <c r="W6" s="103" t="s">
        <v>1618</v>
      </c>
      <c r="X6" s="103" t="s">
        <v>1618</v>
      </c>
      <c r="Y6" s="103" t="s">
        <v>1618</v>
      </c>
      <c r="Z6" s="103" t="s">
        <v>1618</v>
      </c>
      <c r="AA6" s="103" t="s">
        <v>1618</v>
      </c>
      <c r="AB6" s="103" t="s">
        <v>1618</v>
      </c>
      <c r="AC6" s="103" t="s">
        <v>1618</v>
      </c>
      <c r="AD6" s="103" t="s">
        <v>1618</v>
      </c>
      <c r="AE6" s="103" t="s">
        <v>1618</v>
      </c>
      <c r="AF6" s="103" t="s">
        <v>1618</v>
      </c>
      <c r="AG6" s="103" t="s">
        <v>1618</v>
      </c>
      <c r="AH6" s="103" t="s">
        <v>1618</v>
      </c>
      <c r="AI6" s="103" t="s">
        <v>1618</v>
      </c>
      <c r="AJ6" s="103" t="s">
        <v>1618</v>
      </c>
      <c r="AK6" s="103" t="s">
        <v>1618</v>
      </c>
      <c r="AL6" s="103" t="s">
        <v>1618</v>
      </c>
      <c r="AM6" s="110" t="s">
        <v>1618</v>
      </c>
      <c r="AN6" s="110" t="s">
        <v>1618</v>
      </c>
      <c r="AO6" s="110" t="s">
        <v>1618</v>
      </c>
      <c r="AP6" s="110" t="s">
        <v>1618</v>
      </c>
      <c r="AQ6" s="110" t="s">
        <v>1618</v>
      </c>
      <c r="AR6" s="110" t="s">
        <v>1618</v>
      </c>
      <c r="AS6" s="110" t="s">
        <v>1618</v>
      </c>
      <c r="AT6" s="110" t="s">
        <v>1618</v>
      </c>
      <c r="AU6" s="110" t="s">
        <v>1618</v>
      </c>
      <c r="AV6" s="110" t="s">
        <v>1618</v>
      </c>
      <c r="AW6" s="113" t="s">
        <v>1618</v>
      </c>
      <c r="AX6" s="113" t="s">
        <v>1618</v>
      </c>
      <c r="AY6" s="113" t="s">
        <v>1618</v>
      </c>
      <c r="AZ6" s="113" t="s">
        <v>1618</v>
      </c>
      <c r="BA6" s="113" t="s">
        <v>1618</v>
      </c>
      <c r="BB6" s="113" t="s">
        <v>1618</v>
      </c>
      <c r="BC6" s="113" t="s">
        <v>1618</v>
      </c>
      <c r="BD6" s="113" t="s">
        <v>1618</v>
      </c>
      <c r="BE6" s="113" t="s">
        <v>1618</v>
      </c>
      <c r="BF6" s="113" t="s">
        <v>1618</v>
      </c>
      <c r="BG6" s="113" t="s">
        <v>1618</v>
      </c>
    </row>
    <row r="7" spans="1:59">
      <c r="A7" s="105" t="s">
        <v>1618</v>
      </c>
      <c r="B7" s="105" t="s">
        <v>1618</v>
      </c>
      <c r="C7" s="105" t="s">
        <v>1618</v>
      </c>
      <c r="D7" s="105" t="s">
        <v>1618</v>
      </c>
      <c r="E7" s="105" t="s">
        <v>1618</v>
      </c>
      <c r="F7" s="105" t="s">
        <v>1618</v>
      </c>
      <c r="G7" s="105" t="s">
        <v>1618</v>
      </c>
      <c r="H7" s="105" t="s">
        <v>1618</v>
      </c>
      <c r="I7" s="105" t="s">
        <v>1618</v>
      </c>
      <c r="J7" s="105" t="s">
        <v>1618</v>
      </c>
      <c r="K7" s="105" t="s">
        <v>1618</v>
      </c>
      <c r="L7" s="105" t="s">
        <v>1618</v>
      </c>
      <c r="M7" s="105" t="s">
        <v>1618</v>
      </c>
      <c r="N7" s="105" t="s">
        <v>1618</v>
      </c>
      <c r="O7" s="105" t="s">
        <v>1618</v>
      </c>
      <c r="P7" s="105" t="s">
        <v>1618</v>
      </c>
      <c r="Q7" s="105" t="s">
        <v>1618</v>
      </c>
      <c r="R7" s="105" t="s">
        <v>1618</v>
      </c>
      <c r="S7" s="103" t="s">
        <v>1618</v>
      </c>
      <c r="T7" s="103" t="s">
        <v>1618</v>
      </c>
      <c r="U7" s="103" t="s">
        <v>1618</v>
      </c>
      <c r="V7" s="103" t="s">
        <v>1618</v>
      </c>
      <c r="W7" s="103" t="s">
        <v>1618</v>
      </c>
      <c r="X7" s="103" t="s">
        <v>1618</v>
      </c>
      <c r="Y7" s="103" t="s">
        <v>1618</v>
      </c>
      <c r="Z7" s="103" t="s">
        <v>1618</v>
      </c>
      <c r="AA7" s="103" t="s">
        <v>1618</v>
      </c>
      <c r="AB7" s="103" t="s">
        <v>1618</v>
      </c>
      <c r="AC7" s="103" t="s">
        <v>1618</v>
      </c>
      <c r="AD7" s="103" t="s">
        <v>1618</v>
      </c>
      <c r="AE7" s="103" t="s">
        <v>1618</v>
      </c>
      <c r="AF7" s="103" t="s">
        <v>1618</v>
      </c>
      <c r="AG7" s="103" t="s">
        <v>1618</v>
      </c>
      <c r="AH7" s="103" t="s">
        <v>1618</v>
      </c>
      <c r="AI7" s="103" t="s">
        <v>1618</v>
      </c>
      <c r="AJ7" s="103" t="s">
        <v>1618</v>
      </c>
      <c r="AK7" s="103" t="s">
        <v>1618</v>
      </c>
      <c r="AL7" s="103" t="s">
        <v>1618</v>
      </c>
      <c r="AM7" s="110" t="s">
        <v>1618</v>
      </c>
      <c r="AN7" s="110" t="s">
        <v>1618</v>
      </c>
      <c r="AO7" s="110" t="s">
        <v>1618</v>
      </c>
      <c r="AP7" s="110" t="s">
        <v>1618</v>
      </c>
      <c r="AQ7" s="110" t="s">
        <v>1618</v>
      </c>
      <c r="AR7" s="110" t="s">
        <v>1618</v>
      </c>
      <c r="AS7" s="110" t="s">
        <v>1618</v>
      </c>
      <c r="AT7" s="110" t="s">
        <v>1618</v>
      </c>
      <c r="AU7" s="110" t="s">
        <v>1618</v>
      </c>
      <c r="AV7" s="110" t="s">
        <v>1618</v>
      </c>
      <c r="AW7" s="113" t="s">
        <v>1618</v>
      </c>
      <c r="AX7" s="113" t="s">
        <v>1618</v>
      </c>
      <c r="AY7" s="113" t="s">
        <v>1618</v>
      </c>
      <c r="AZ7" s="113" t="s">
        <v>1618</v>
      </c>
      <c r="BA7" s="113" t="s">
        <v>1618</v>
      </c>
      <c r="BB7" s="113" t="s">
        <v>1618</v>
      </c>
      <c r="BC7" s="113" t="s">
        <v>1618</v>
      </c>
      <c r="BD7" s="113" t="s">
        <v>1618</v>
      </c>
      <c r="BE7" s="113" t="s">
        <v>1618</v>
      </c>
      <c r="BF7" s="113" t="s">
        <v>1618</v>
      </c>
      <c r="BG7" s="113" t="s">
        <v>1618</v>
      </c>
    </row>
    <row r="8" spans="1:59">
      <c r="A8" s="105" t="s">
        <v>1618</v>
      </c>
      <c r="B8" s="105" t="s">
        <v>1618</v>
      </c>
      <c r="C8" s="105" t="s">
        <v>1618</v>
      </c>
      <c r="D8" s="105" t="s">
        <v>1618</v>
      </c>
      <c r="E8" s="105" t="s">
        <v>1618</v>
      </c>
      <c r="F8" s="105" t="s">
        <v>1618</v>
      </c>
      <c r="G8" s="105" t="s">
        <v>1618</v>
      </c>
      <c r="H8" s="105" t="s">
        <v>1618</v>
      </c>
      <c r="I8" s="105" t="s">
        <v>1618</v>
      </c>
      <c r="J8" s="105" t="s">
        <v>1618</v>
      </c>
      <c r="K8" s="105" t="s">
        <v>1618</v>
      </c>
      <c r="L8" s="105" t="s">
        <v>1618</v>
      </c>
      <c r="M8" s="105" t="s">
        <v>1618</v>
      </c>
      <c r="N8" s="105" t="s">
        <v>1618</v>
      </c>
      <c r="O8" s="105" t="s">
        <v>1618</v>
      </c>
      <c r="P8" s="105" t="s">
        <v>1618</v>
      </c>
      <c r="Q8" s="105" t="s">
        <v>1618</v>
      </c>
      <c r="R8" s="105" t="s">
        <v>1618</v>
      </c>
      <c r="S8" s="103" t="s">
        <v>1618</v>
      </c>
      <c r="T8" s="103" t="s">
        <v>1618</v>
      </c>
      <c r="U8" s="103" t="s">
        <v>1618</v>
      </c>
      <c r="V8" s="103" t="s">
        <v>1618</v>
      </c>
      <c r="W8" s="103" t="s">
        <v>1618</v>
      </c>
      <c r="X8" s="103" t="s">
        <v>1618</v>
      </c>
      <c r="Y8" s="103" t="s">
        <v>1618</v>
      </c>
      <c r="Z8" s="103" t="s">
        <v>1618</v>
      </c>
      <c r="AA8" s="103" t="s">
        <v>1618</v>
      </c>
      <c r="AB8" s="103" t="s">
        <v>1618</v>
      </c>
      <c r="AC8" s="103" t="s">
        <v>1618</v>
      </c>
      <c r="AD8" s="103" t="s">
        <v>1618</v>
      </c>
      <c r="AE8" s="103" t="s">
        <v>1618</v>
      </c>
      <c r="AF8" s="103" t="s">
        <v>1618</v>
      </c>
      <c r="AG8" s="103" t="s">
        <v>1618</v>
      </c>
      <c r="AH8" s="103" t="s">
        <v>1618</v>
      </c>
      <c r="AI8" s="103" t="s">
        <v>1618</v>
      </c>
      <c r="AJ8" s="103" t="s">
        <v>1618</v>
      </c>
      <c r="AK8" s="103" t="s">
        <v>1618</v>
      </c>
      <c r="AL8" s="103" t="s">
        <v>1618</v>
      </c>
      <c r="AM8" s="99" t="s">
        <v>1618</v>
      </c>
      <c r="AN8" s="99" t="s">
        <v>1618</v>
      </c>
      <c r="AO8" s="99" t="s">
        <v>1618</v>
      </c>
      <c r="AP8" s="99" t="s">
        <v>1618</v>
      </c>
      <c r="AQ8" s="99" t="s">
        <v>1618</v>
      </c>
      <c r="AR8" s="99" t="s">
        <v>1618</v>
      </c>
      <c r="AS8" s="99" t="s">
        <v>1618</v>
      </c>
      <c r="AT8" s="99" t="s">
        <v>1618</v>
      </c>
      <c r="AU8" s="99" t="s">
        <v>1618</v>
      </c>
      <c r="AV8" s="99" t="s">
        <v>1618</v>
      </c>
      <c r="AW8" s="113" t="s">
        <v>1618</v>
      </c>
      <c r="AX8" s="113" t="s">
        <v>1618</v>
      </c>
      <c r="AY8" s="113" t="s">
        <v>1618</v>
      </c>
      <c r="AZ8" s="113" t="s">
        <v>1618</v>
      </c>
      <c r="BA8" s="113" t="s">
        <v>1618</v>
      </c>
      <c r="BB8" s="113" t="s">
        <v>1618</v>
      </c>
      <c r="BC8" s="113" t="s">
        <v>1618</v>
      </c>
      <c r="BD8" s="113" t="s">
        <v>1618</v>
      </c>
      <c r="BE8" s="113" t="s">
        <v>1618</v>
      </c>
      <c r="BF8" s="113" t="s">
        <v>1618</v>
      </c>
      <c r="BG8" s="113" t="s">
        <v>1618</v>
      </c>
    </row>
    <row r="9" spans="1:59">
      <c r="A9" s="105" t="s">
        <v>1618</v>
      </c>
      <c r="B9" s="105" t="s">
        <v>1618</v>
      </c>
      <c r="C9" s="105" t="s">
        <v>1618</v>
      </c>
      <c r="D9" s="105" t="s">
        <v>1618</v>
      </c>
      <c r="E9" s="105" t="s">
        <v>1618</v>
      </c>
      <c r="F9" s="105" t="s">
        <v>1618</v>
      </c>
      <c r="G9" s="105" t="s">
        <v>1618</v>
      </c>
      <c r="H9" s="105" t="s">
        <v>1618</v>
      </c>
      <c r="I9" s="105" t="s">
        <v>1618</v>
      </c>
      <c r="J9" s="105" t="s">
        <v>1618</v>
      </c>
      <c r="K9" s="105" t="s">
        <v>1618</v>
      </c>
      <c r="L9" s="105" t="s">
        <v>1618</v>
      </c>
      <c r="M9" s="105" t="s">
        <v>1618</v>
      </c>
      <c r="N9" s="105" t="s">
        <v>1618</v>
      </c>
      <c r="O9" s="105" t="s">
        <v>1618</v>
      </c>
      <c r="P9" s="105" t="s">
        <v>1618</v>
      </c>
      <c r="Q9" s="105" t="s">
        <v>1618</v>
      </c>
      <c r="R9" s="105" t="s">
        <v>1618</v>
      </c>
      <c r="S9" s="103" t="s">
        <v>1618</v>
      </c>
      <c r="T9" s="103" t="s">
        <v>1618</v>
      </c>
      <c r="U9" s="103" t="s">
        <v>1618</v>
      </c>
      <c r="V9" s="103" t="s">
        <v>1618</v>
      </c>
      <c r="W9" s="103" t="s">
        <v>1618</v>
      </c>
      <c r="X9" s="103" t="s">
        <v>1618</v>
      </c>
      <c r="Y9" s="103" t="s">
        <v>1618</v>
      </c>
      <c r="Z9" s="103" t="s">
        <v>1618</v>
      </c>
      <c r="AA9" s="103" t="s">
        <v>1618</v>
      </c>
      <c r="AB9" s="103" t="s">
        <v>1618</v>
      </c>
      <c r="AC9" s="103" t="s">
        <v>1618</v>
      </c>
      <c r="AD9" s="103" t="s">
        <v>1618</v>
      </c>
      <c r="AE9" s="103" t="s">
        <v>1618</v>
      </c>
      <c r="AF9" s="103" t="s">
        <v>1618</v>
      </c>
      <c r="AG9" s="103" t="s">
        <v>1618</v>
      </c>
      <c r="AH9" s="103" t="s">
        <v>1618</v>
      </c>
      <c r="AI9" s="103" t="s">
        <v>1618</v>
      </c>
      <c r="AJ9" s="103" t="s">
        <v>1618</v>
      </c>
      <c r="AK9" s="103" t="s">
        <v>1618</v>
      </c>
      <c r="AL9" s="103" t="s">
        <v>1618</v>
      </c>
      <c r="AM9" s="99" t="s">
        <v>1618</v>
      </c>
      <c r="AN9" s="99" t="s">
        <v>1618</v>
      </c>
      <c r="AO9" s="99" t="s">
        <v>1618</v>
      </c>
      <c r="AP9" s="99" t="s">
        <v>1618</v>
      </c>
      <c r="AQ9" s="99" t="s">
        <v>1618</v>
      </c>
      <c r="AR9" s="99" t="s">
        <v>1618</v>
      </c>
      <c r="AS9" s="99" t="s">
        <v>1618</v>
      </c>
      <c r="AT9" s="99" t="s">
        <v>1618</v>
      </c>
      <c r="AU9" s="99" t="s">
        <v>1618</v>
      </c>
      <c r="AV9" s="99" t="s">
        <v>1618</v>
      </c>
      <c r="AW9" s="113" t="s">
        <v>1618</v>
      </c>
      <c r="AX9" s="113" t="s">
        <v>1618</v>
      </c>
      <c r="AY9" s="113" t="s">
        <v>1618</v>
      </c>
      <c r="AZ9" s="113" t="s">
        <v>1618</v>
      </c>
      <c r="BA9" s="113" t="s">
        <v>1618</v>
      </c>
      <c r="BB9" s="113" t="s">
        <v>1618</v>
      </c>
      <c r="BC9" s="113" t="s">
        <v>1618</v>
      </c>
      <c r="BD9" s="113" t="s">
        <v>1618</v>
      </c>
      <c r="BE9" s="113" t="s">
        <v>1618</v>
      </c>
      <c r="BF9" s="113" t="s">
        <v>1618</v>
      </c>
      <c r="BG9" s="113" t="s">
        <v>1618</v>
      </c>
    </row>
    <row r="10" spans="1:59">
      <c r="A10" s="105" t="s">
        <v>1618</v>
      </c>
      <c r="B10" s="105" t="s">
        <v>1618</v>
      </c>
      <c r="C10" s="105" t="s">
        <v>1618</v>
      </c>
      <c r="D10" s="105" t="s">
        <v>1618</v>
      </c>
      <c r="E10" s="105" t="s">
        <v>1618</v>
      </c>
      <c r="F10" s="105" t="s">
        <v>1618</v>
      </c>
      <c r="G10" s="105" t="s">
        <v>1618</v>
      </c>
      <c r="H10" s="105" t="s">
        <v>1618</v>
      </c>
      <c r="I10" s="105" t="s">
        <v>1618</v>
      </c>
      <c r="J10" s="105" t="s">
        <v>1618</v>
      </c>
      <c r="K10" s="105" t="s">
        <v>1618</v>
      </c>
      <c r="L10" s="105" t="s">
        <v>1618</v>
      </c>
      <c r="M10" s="105" t="s">
        <v>1618</v>
      </c>
      <c r="N10" s="105" t="s">
        <v>1618</v>
      </c>
      <c r="O10" s="105" t="s">
        <v>1618</v>
      </c>
      <c r="P10" s="105" t="s">
        <v>1618</v>
      </c>
      <c r="Q10" s="105" t="s">
        <v>1618</v>
      </c>
      <c r="R10" s="105" t="s">
        <v>1618</v>
      </c>
      <c r="S10" s="103" t="s">
        <v>1618</v>
      </c>
      <c r="T10" s="103" t="s">
        <v>1618</v>
      </c>
      <c r="U10" s="103" t="s">
        <v>1618</v>
      </c>
      <c r="V10" s="103" t="s">
        <v>1618</v>
      </c>
      <c r="W10" s="103" t="s">
        <v>1618</v>
      </c>
      <c r="X10" s="103" t="s">
        <v>1618</v>
      </c>
      <c r="Y10" s="103" t="s">
        <v>1618</v>
      </c>
      <c r="Z10" s="103" t="s">
        <v>1618</v>
      </c>
      <c r="AA10" s="103" t="s">
        <v>1618</v>
      </c>
      <c r="AB10" s="103" t="s">
        <v>1618</v>
      </c>
      <c r="AC10" s="103" t="s">
        <v>1618</v>
      </c>
      <c r="AD10" s="103" t="s">
        <v>1618</v>
      </c>
      <c r="AE10" s="103" t="s">
        <v>1618</v>
      </c>
      <c r="AF10" s="103" t="s">
        <v>1618</v>
      </c>
      <c r="AG10" s="103" t="s">
        <v>1618</v>
      </c>
      <c r="AH10" s="103" t="s">
        <v>1618</v>
      </c>
      <c r="AI10" s="103" t="s">
        <v>1618</v>
      </c>
      <c r="AJ10" s="103" t="s">
        <v>1618</v>
      </c>
      <c r="AK10" s="103" t="s">
        <v>1618</v>
      </c>
      <c r="AL10" s="103" t="s">
        <v>1618</v>
      </c>
      <c r="AM10" s="99" t="s">
        <v>1618</v>
      </c>
      <c r="AN10" s="99" t="s">
        <v>1618</v>
      </c>
      <c r="AO10" s="99" t="s">
        <v>1618</v>
      </c>
      <c r="AP10" s="99" t="s">
        <v>1618</v>
      </c>
      <c r="AQ10" s="99" t="s">
        <v>1618</v>
      </c>
      <c r="AR10" s="99" t="s">
        <v>1618</v>
      </c>
      <c r="AS10" s="116" t="s">
        <v>1618</v>
      </c>
      <c r="AT10" s="116" t="s">
        <v>1618</v>
      </c>
      <c r="AU10" s="116" t="s">
        <v>1618</v>
      </c>
      <c r="AV10" s="116" t="s">
        <v>1618</v>
      </c>
      <c r="AW10" s="116" t="s">
        <v>1618</v>
      </c>
      <c r="AX10" s="116" t="s">
        <v>1618</v>
      </c>
      <c r="AY10" s="116" t="s">
        <v>1618</v>
      </c>
      <c r="AZ10" s="116" t="s">
        <v>1618</v>
      </c>
      <c r="BA10" s="116" t="s">
        <v>1618</v>
      </c>
      <c r="BB10" s="116" t="s">
        <v>1618</v>
      </c>
      <c r="BC10" s="116" t="s">
        <v>1618</v>
      </c>
      <c r="BD10" s="116" t="s">
        <v>1618</v>
      </c>
      <c r="BE10" s="116" t="s">
        <v>1618</v>
      </c>
      <c r="BF10" s="116" t="s">
        <v>1618</v>
      </c>
      <c r="BG10" s="116" t="s">
        <v>1618</v>
      </c>
    </row>
    <row r="11" spans="1:59">
      <c r="A11" s="105" t="s">
        <v>1618</v>
      </c>
      <c r="B11" s="105" t="s">
        <v>1618</v>
      </c>
      <c r="C11" s="105" t="s">
        <v>1618</v>
      </c>
      <c r="D11" s="105" t="s">
        <v>1618</v>
      </c>
      <c r="E11" s="105" t="s">
        <v>1618</v>
      </c>
      <c r="F11" s="105" t="s">
        <v>1618</v>
      </c>
      <c r="G11" s="105" t="s">
        <v>1618</v>
      </c>
      <c r="H11" s="105" t="s">
        <v>1618</v>
      </c>
      <c r="I11" s="105" t="s">
        <v>1618</v>
      </c>
      <c r="J11" s="105" t="s">
        <v>1618</v>
      </c>
      <c r="K11" s="105" t="s">
        <v>1618</v>
      </c>
      <c r="L11" s="105" t="s">
        <v>1618</v>
      </c>
      <c r="M11" s="105" t="s">
        <v>1618</v>
      </c>
      <c r="N11" s="105" t="s">
        <v>1618</v>
      </c>
      <c r="O11" s="105" t="s">
        <v>1618</v>
      </c>
      <c r="P11" s="105" t="s">
        <v>1618</v>
      </c>
      <c r="Q11" s="105" t="s">
        <v>1618</v>
      </c>
      <c r="R11" s="105" t="s">
        <v>1618</v>
      </c>
      <c r="S11" s="103" t="s">
        <v>1618</v>
      </c>
      <c r="T11" s="103" t="s">
        <v>1618</v>
      </c>
      <c r="U11" s="103" t="s">
        <v>1618</v>
      </c>
      <c r="V11" s="103" t="s">
        <v>1618</v>
      </c>
      <c r="W11" s="103" t="s">
        <v>1618</v>
      </c>
      <c r="X11" s="103" t="s">
        <v>1618</v>
      </c>
      <c r="Y11" s="103" t="s">
        <v>1618</v>
      </c>
      <c r="Z11" s="103" t="s">
        <v>1618</v>
      </c>
      <c r="AA11" s="103" t="s">
        <v>1618</v>
      </c>
      <c r="AB11" s="103" t="s">
        <v>1618</v>
      </c>
      <c r="AC11" s="103" t="s">
        <v>1618</v>
      </c>
      <c r="AD11" s="103" t="s">
        <v>1618</v>
      </c>
      <c r="AE11" s="103" t="s">
        <v>1618</v>
      </c>
      <c r="AF11" s="103" t="s">
        <v>1618</v>
      </c>
      <c r="AG11" s="103" t="s">
        <v>1618</v>
      </c>
      <c r="AH11" s="103" t="s">
        <v>1618</v>
      </c>
      <c r="AI11" s="103" t="s">
        <v>1618</v>
      </c>
      <c r="AJ11" s="103" t="s">
        <v>1618</v>
      </c>
      <c r="AK11" s="103" t="s">
        <v>1618</v>
      </c>
      <c r="AL11" s="103" t="s">
        <v>1618</v>
      </c>
      <c r="AM11" s="99" t="s">
        <v>1618</v>
      </c>
      <c r="AN11" s="99" t="s">
        <v>1618</v>
      </c>
      <c r="AO11" s="99" t="s">
        <v>1618</v>
      </c>
      <c r="AP11" s="99" t="s">
        <v>1618</v>
      </c>
      <c r="AQ11" s="99" t="s">
        <v>1618</v>
      </c>
      <c r="AR11" s="99" t="s">
        <v>1618</v>
      </c>
      <c r="AS11" s="116" t="s">
        <v>1618</v>
      </c>
      <c r="AT11" s="116" t="s">
        <v>1618</v>
      </c>
      <c r="AU11" s="116" t="s">
        <v>1618</v>
      </c>
      <c r="AV11" s="116" t="s">
        <v>1618</v>
      </c>
      <c r="AW11" s="116" t="s">
        <v>1618</v>
      </c>
      <c r="AX11" s="116" t="s">
        <v>1618</v>
      </c>
      <c r="AY11" s="116" t="s">
        <v>1618</v>
      </c>
      <c r="AZ11" s="116" t="s">
        <v>1618</v>
      </c>
      <c r="BA11" s="116" t="s">
        <v>1618</v>
      </c>
      <c r="BB11" s="116" t="s">
        <v>1618</v>
      </c>
      <c r="BC11" s="116" t="s">
        <v>1618</v>
      </c>
      <c r="BD11" s="116" t="s">
        <v>1618</v>
      </c>
      <c r="BE11" s="116" t="s">
        <v>1618</v>
      </c>
      <c r="BF11" s="116" t="s">
        <v>1618</v>
      </c>
      <c r="BG11" s="116" t="s">
        <v>1618</v>
      </c>
    </row>
    <row r="12" spans="1:59">
      <c r="A12" s="111" t="s">
        <v>1618</v>
      </c>
      <c r="B12" s="111" t="s">
        <v>1618</v>
      </c>
      <c r="C12" s="111" t="s">
        <v>1618</v>
      </c>
      <c r="D12" s="111" t="s">
        <v>1618</v>
      </c>
      <c r="E12" s="111" t="s">
        <v>1618</v>
      </c>
      <c r="F12" s="111" t="s">
        <v>1618</v>
      </c>
      <c r="G12" s="111" t="s">
        <v>1618</v>
      </c>
      <c r="H12" s="111" t="s">
        <v>1618</v>
      </c>
      <c r="I12" s="99" t="s">
        <v>1618</v>
      </c>
      <c r="J12" s="99" t="s">
        <v>1618</v>
      </c>
      <c r="K12" s="99" t="s">
        <v>1618</v>
      </c>
      <c r="L12" s="99" t="s">
        <v>1618</v>
      </c>
      <c r="M12" s="99" t="s">
        <v>1618</v>
      </c>
      <c r="N12" s="99" t="s">
        <v>1618</v>
      </c>
      <c r="O12" s="99" t="s">
        <v>1618</v>
      </c>
      <c r="P12" s="99" t="s">
        <v>1618</v>
      </c>
      <c r="Q12" s="99" t="s">
        <v>1618</v>
      </c>
      <c r="R12" s="99" t="s">
        <v>1618</v>
      </c>
      <c r="S12" s="103" t="s">
        <v>1618</v>
      </c>
      <c r="T12" s="103" t="s">
        <v>1618</v>
      </c>
      <c r="U12" s="103" t="s">
        <v>1618</v>
      </c>
      <c r="V12" s="103" t="s">
        <v>1618</v>
      </c>
      <c r="W12" s="103" t="s">
        <v>1618</v>
      </c>
      <c r="X12" s="103" t="s">
        <v>1618</v>
      </c>
      <c r="Y12" s="103" t="s">
        <v>1618</v>
      </c>
      <c r="Z12" s="103" t="s">
        <v>1618</v>
      </c>
      <c r="AA12" s="103" t="s">
        <v>1618</v>
      </c>
      <c r="AB12" s="103" t="s">
        <v>1618</v>
      </c>
      <c r="AC12" s="103" t="s">
        <v>1618</v>
      </c>
      <c r="AD12" s="103" t="s">
        <v>1618</v>
      </c>
      <c r="AE12" s="103" t="s">
        <v>1618</v>
      </c>
      <c r="AF12" s="103" t="s">
        <v>1618</v>
      </c>
      <c r="AG12" s="103" t="s">
        <v>1618</v>
      </c>
      <c r="AH12" s="103" t="s">
        <v>1618</v>
      </c>
      <c r="AI12" s="103" t="s">
        <v>1618</v>
      </c>
      <c r="AJ12" s="103" t="s">
        <v>1618</v>
      </c>
      <c r="AK12" s="103" t="s">
        <v>1618</v>
      </c>
      <c r="AL12" s="103" t="s">
        <v>1618</v>
      </c>
      <c r="AM12" s="99" t="s">
        <v>1618</v>
      </c>
      <c r="AN12" s="99" t="s">
        <v>1618</v>
      </c>
      <c r="AO12" s="99" t="s">
        <v>1618</v>
      </c>
      <c r="AP12" s="99" t="s">
        <v>1618</v>
      </c>
      <c r="AQ12" s="99" t="s">
        <v>1618</v>
      </c>
      <c r="AR12" s="99" t="s">
        <v>1618</v>
      </c>
      <c r="AS12" s="116" t="s">
        <v>1618</v>
      </c>
      <c r="AT12" s="116" t="s">
        <v>1618</v>
      </c>
      <c r="AU12" s="116" t="s">
        <v>1618</v>
      </c>
      <c r="AV12" s="116" t="s">
        <v>1618</v>
      </c>
      <c r="AW12" s="116" t="s">
        <v>1618</v>
      </c>
      <c r="AX12" s="116" t="s">
        <v>1618</v>
      </c>
      <c r="AY12" s="116" t="s">
        <v>1618</v>
      </c>
      <c r="AZ12" s="116" t="s">
        <v>1618</v>
      </c>
      <c r="BA12" s="116" t="s">
        <v>1618</v>
      </c>
      <c r="BB12" s="116" t="s">
        <v>1618</v>
      </c>
      <c r="BC12" s="116" t="s">
        <v>1618</v>
      </c>
      <c r="BD12" s="116" t="s">
        <v>1618</v>
      </c>
      <c r="BE12" s="116" t="s">
        <v>1618</v>
      </c>
      <c r="BF12" s="116" t="s">
        <v>1618</v>
      </c>
      <c r="BG12" s="116" t="s">
        <v>1618</v>
      </c>
    </row>
    <row r="13" spans="1:59">
      <c r="A13" s="111" t="s">
        <v>1618</v>
      </c>
      <c r="B13" s="111" t="s">
        <v>1618</v>
      </c>
      <c r="C13" s="111" t="s">
        <v>1618</v>
      </c>
      <c r="D13" s="111" t="s">
        <v>1618</v>
      </c>
      <c r="E13" s="111" t="s">
        <v>1618</v>
      </c>
      <c r="F13" s="111" t="s">
        <v>1618</v>
      </c>
      <c r="G13" s="111" t="s">
        <v>1618</v>
      </c>
      <c r="H13" s="111" t="s">
        <v>1618</v>
      </c>
      <c r="I13" s="99" t="s">
        <v>1618</v>
      </c>
      <c r="J13" s="99" t="s">
        <v>1618</v>
      </c>
      <c r="K13" s="99" t="s">
        <v>1618</v>
      </c>
      <c r="L13" s="99" t="s">
        <v>1618</v>
      </c>
      <c r="M13" s="99" t="s">
        <v>1618</v>
      </c>
      <c r="N13" s="99" t="s">
        <v>1618</v>
      </c>
      <c r="O13" s="99" t="s">
        <v>1618</v>
      </c>
      <c r="P13" s="99" t="s">
        <v>1618</v>
      </c>
      <c r="Q13" s="99" t="s">
        <v>1618</v>
      </c>
      <c r="R13" s="99" t="s">
        <v>1618</v>
      </c>
      <c r="S13" s="103" t="s">
        <v>1618</v>
      </c>
      <c r="T13" s="103" t="s">
        <v>1618</v>
      </c>
      <c r="U13" s="103" t="s">
        <v>1618</v>
      </c>
      <c r="V13" s="103" t="s">
        <v>1618</v>
      </c>
      <c r="W13" s="103" t="s">
        <v>1618</v>
      </c>
      <c r="X13" s="103" t="s">
        <v>1618</v>
      </c>
      <c r="Y13" s="103" t="s">
        <v>1618</v>
      </c>
      <c r="Z13" s="103" t="s">
        <v>1618</v>
      </c>
      <c r="AA13" s="103" t="s">
        <v>1618</v>
      </c>
      <c r="AB13" s="103" t="s">
        <v>1618</v>
      </c>
      <c r="AC13" s="103" t="s">
        <v>1618</v>
      </c>
      <c r="AD13" s="103" t="s">
        <v>1618</v>
      </c>
      <c r="AE13" s="103" t="s">
        <v>1618</v>
      </c>
      <c r="AF13" s="103" t="s">
        <v>1618</v>
      </c>
      <c r="AG13" s="103" t="s">
        <v>1618</v>
      </c>
      <c r="AH13" s="103" t="s">
        <v>1618</v>
      </c>
      <c r="AI13" s="103" t="s">
        <v>1618</v>
      </c>
      <c r="AJ13" s="103" t="s">
        <v>1618</v>
      </c>
      <c r="AK13" s="103" t="s">
        <v>1618</v>
      </c>
      <c r="AL13" s="103" t="s">
        <v>1618</v>
      </c>
      <c r="AM13" s="99" t="s">
        <v>1618</v>
      </c>
      <c r="AN13" s="99" t="s">
        <v>1618</v>
      </c>
      <c r="AO13" s="99" t="s">
        <v>1618</v>
      </c>
      <c r="AP13" s="99" t="s">
        <v>1618</v>
      </c>
      <c r="AQ13" s="99" t="s">
        <v>1618</v>
      </c>
      <c r="AR13" s="99" t="s">
        <v>1618</v>
      </c>
      <c r="AS13" s="116" t="s">
        <v>1618</v>
      </c>
      <c r="AT13" s="116" t="s">
        <v>1618</v>
      </c>
      <c r="AU13" s="116" t="s">
        <v>1618</v>
      </c>
      <c r="AV13" s="116" t="s">
        <v>1618</v>
      </c>
      <c r="AW13" s="116" t="s">
        <v>1618</v>
      </c>
      <c r="AX13" s="116" t="s">
        <v>1618</v>
      </c>
      <c r="AY13" s="116" t="s">
        <v>1618</v>
      </c>
      <c r="AZ13" s="116" t="s">
        <v>1618</v>
      </c>
      <c r="BA13" s="116" t="s">
        <v>1618</v>
      </c>
      <c r="BB13" s="116" t="s">
        <v>1618</v>
      </c>
      <c r="BC13" s="116" t="s">
        <v>1618</v>
      </c>
      <c r="BD13" s="116" t="s">
        <v>1618</v>
      </c>
      <c r="BE13" s="116" t="s">
        <v>1618</v>
      </c>
      <c r="BF13" s="116" t="s">
        <v>1618</v>
      </c>
      <c r="BG13" s="116" t="s">
        <v>1618</v>
      </c>
    </row>
    <row r="14" spans="1:59">
      <c r="A14" s="111" t="s">
        <v>1618</v>
      </c>
      <c r="B14" s="111" t="s">
        <v>1618</v>
      </c>
      <c r="C14" s="111" t="s">
        <v>1618</v>
      </c>
      <c r="D14" s="111" t="s">
        <v>1618</v>
      </c>
      <c r="E14" s="111" t="s">
        <v>1618</v>
      </c>
      <c r="F14" s="111" t="s">
        <v>1618</v>
      </c>
      <c r="G14" s="111" t="s">
        <v>1618</v>
      </c>
      <c r="H14" s="111" t="s">
        <v>1618</v>
      </c>
      <c r="I14" s="99" t="s">
        <v>1618</v>
      </c>
      <c r="J14" s="99" t="s">
        <v>1618</v>
      </c>
      <c r="K14" s="99" t="s">
        <v>1618</v>
      </c>
      <c r="L14" s="99" t="s">
        <v>1618</v>
      </c>
      <c r="M14" s="99" t="s">
        <v>1618</v>
      </c>
      <c r="N14" s="99" t="s">
        <v>1618</v>
      </c>
      <c r="O14" s="99" t="s">
        <v>1618</v>
      </c>
      <c r="P14" s="99" t="s">
        <v>1618</v>
      </c>
      <c r="Q14" s="99" t="s">
        <v>1618</v>
      </c>
      <c r="R14" s="99" t="s">
        <v>1618</v>
      </c>
      <c r="S14" s="103" t="s">
        <v>1618</v>
      </c>
      <c r="T14" s="103" t="s">
        <v>1618</v>
      </c>
      <c r="U14" s="103" t="s">
        <v>1618</v>
      </c>
      <c r="V14" s="103" t="s">
        <v>1618</v>
      </c>
      <c r="W14" s="103" t="s">
        <v>1618</v>
      </c>
      <c r="X14" s="103" t="s">
        <v>1618</v>
      </c>
      <c r="Y14" s="103" t="s">
        <v>1618</v>
      </c>
      <c r="Z14" s="103" t="s">
        <v>1618</v>
      </c>
      <c r="AA14" s="103" t="s">
        <v>1618</v>
      </c>
      <c r="AB14" s="103" t="s">
        <v>1618</v>
      </c>
      <c r="AC14" s="103" t="s">
        <v>1618</v>
      </c>
      <c r="AD14" s="103" t="s">
        <v>1618</v>
      </c>
      <c r="AE14" s="103" t="s">
        <v>1618</v>
      </c>
      <c r="AF14" s="103" t="s">
        <v>1618</v>
      </c>
      <c r="AG14" s="103" t="s">
        <v>1618</v>
      </c>
      <c r="AH14" s="103" t="s">
        <v>1618</v>
      </c>
      <c r="AI14" s="103" t="s">
        <v>1618</v>
      </c>
      <c r="AJ14" s="103" t="s">
        <v>1618</v>
      </c>
      <c r="AK14" s="103" t="s">
        <v>1618</v>
      </c>
      <c r="AL14" s="103" t="s">
        <v>1618</v>
      </c>
      <c r="AM14" s="99" t="s">
        <v>1618</v>
      </c>
      <c r="AN14" s="99" t="s">
        <v>1618</v>
      </c>
      <c r="AO14" s="99" t="s">
        <v>1618</v>
      </c>
      <c r="AP14" s="99" t="s">
        <v>1618</v>
      </c>
      <c r="AQ14" s="99" t="s">
        <v>1618</v>
      </c>
      <c r="AR14" s="99" t="s">
        <v>1618</v>
      </c>
      <c r="AS14" s="116" t="s">
        <v>1618</v>
      </c>
      <c r="AT14" s="116" t="s">
        <v>1618</v>
      </c>
      <c r="AU14" s="116" t="s">
        <v>1618</v>
      </c>
      <c r="AV14" s="116" t="s">
        <v>1618</v>
      </c>
      <c r="AW14" s="116" t="s">
        <v>1618</v>
      </c>
      <c r="AX14" s="116" t="s">
        <v>1618</v>
      </c>
      <c r="AY14" s="116" t="s">
        <v>1618</v>
      </c>
      <c r="AZ14" s="116" t="s">
        <v>1618</v>
      </c>
      <c r="BA14" s="116" t="s">
        <v>1618</v>
      </c>
      <c r="BB14" s="116" t="s">
        <v>1618</v>
      </c>
      <c r="BC14" s="116" t="s">
        <v>1618</v>
      </c>
      <c r="BD14" s="116" t="s">
        <v>1618</v>
      </c>
      <c r="BE14" s="116" t="s">
        <v>1618</v>
      </c>
      <c r="BF14" s="116" t="s">
        <v>1618</v>
      </c>
      <c r="BG14" s="116" t="s">
        <v>1618</v>
      </c>
    </row>
    <row r="15" spans="1:59">
      <c r="A15" s="111" t="s">
        <v>1618</v>
      </c>
      <c r="B15" s="111" t="s">
        <v>1618</v>
      </c>
      <c r="C15" s="111" t="s">
        <v>1618</v>
      </c>
      <c r="D15" s="111" t="s">
        <v>1618</v>
      </c>
      <c r="E15" s="111" t="s">
        <v>1618</v>
      </c>
      <c r="F15" s="111" t="s">
        <v>1618</v>
      </c>
      <c r="G15" s="111" t="s">
        <v>1618</v>
      </c>
      <c r="H15" s="111" t="s">
        <v>1618</v>
      </c>
      <c r="I15" s="99" t="s">
        <v>1618</v>
      </c>
      <c r="J15" s="99" t="s">
        <v>1618</v>
      </c>
      <c r="K15" s="99" t="s">
        <v>1618</v>
      </c>
      <c r="L15" s="99" t="s">
        <v>1618</v>
      </c>
      <c r="M15" s="99" t="s">
        <v>1618</v>
      </c>
      <c r="N15" s="99" t="s">
        <v>1618</v>
      </c>
      <c r="O15" s="99" t="s">
        <v>1618</v>
      </c>
      <c r="P15" s="99" t="s">
        <v>1618</v>
      </c>
      <c r="Q15" s="99" t="s">
        <v>1618</v>
      </c>
      <c r="R15" s="99" t="s">
        <v>1618</v>
      </c>
      <c r="S15" s="103" t="s">
        <v>1618</v>
      </c>
      <c r="T15" s="103" t="s">
        <v>1618</v>
      </c>
      <c r="U15" s="103" t="s">
        <v>1618</v>
      </c>
      <c r="V15" s="103" t="s">
        <v>1618</v>
      </c>
      <c r="W15" s="103" t="s">
        <v>1618</v>
      </c>
      <c r="X15" s="103" t="s">
        <v>1618</v>
      </c>
      <c r="Y15" s="103" t="s">
        <v>1618</v>
      </c>
      <c r="Z15" s="103" t="s">
        <v>1618</v>
      </c>
      <c r="AA15" s="103" t="s">
        <v>1618</v>
      </c>
      <c r="AB15" s="103" t="s">
        <v>1618</v>
      </c>
      <c r="AC15" s="103" t="s">
        <v>1618</v>
      </c>
      <c r="AD15" s="103" t="s">
        <v>1618</v>
      </c>
      <c r="AE15" s="103" t="s">
        <v>1618</v>
      </c>
      <c r="AF15" s="103" t="s">
        <v>1618</v>
      </c>
      <c r="AG15" s="103" t="s">
        <v>1618</v>
      </c>
      <c r="AH15" s="103" t="s">
        <v>1618</v>
      </c>
      <c r="AI15" s="103" t="s">
        <v>1618</v>
      </c>
      <c r="AJ15" s="103" t="s">
        <v>1618</v>
      </c>
      <c r="AK15" s="103" t="s">
        <v>1618</v>
      </c>
      <c r="AL15" s="103" t="s">
        <v>1618</v>
      </c>
      <c r="AM15" s="99" t="s">
        <v>1618</v>
      </c>
      <c r="AN15" s="99" t="s">
        <v>1618</v>
      </c>
      <c r="AO15" s="99" t="s">
        <v>1618</v>
      </c>
      <c r="AP15" s="99" t="s">
        <v>1618</v>
      </c>
      <c r="AQ15" s="99" t="s">
        <v>1618</v>
      </c>
      <c r="AR15" s="99" t="s">
        <v>1618</v>
      </c>
      <c r="AS15" s="116" t="s">
        <v>1618</v>
      </c>
      <c r="AT15" s="116" t="s">
        <v>1618</v>
      </c>
      <c r="AU15" s="116" t="s">
        <v>1618</v>
      </c>
      <c r="AV15" s="116" t="s">
        <v>1618</v>
      </c>
      <c r="AW15" s="116" t="s">
        <v>1618</v>
      </c>
      <c r="AX15" s="116" t="s">
        <v>1618</v>
      </c>
      <c r="AY15" s="116" t="s">
        <v>1618</v>
      </c>
      <c r="AZ15" s="116" t="s">
        <v>1618</v>
      </c>
      <c r="BA15" s="116" t="s">
        <v>1618</v>
      </c>
      <c r="BB15" s="116" t="s">
        <v>1618</v>
      </c>
      <c r="BC15" s="116" t="s">
        <v>1618</v>
      </c>
      <c r="BD15" s="116" t="s">
        <v>1618</v>
      </c>
      <c r="BE15" s="116" t="s">
        <v>1618</v>
      </c>
      <c r="BF15" s="116" t="s">
        <v>1618</v>
      </c>
      <c r="BG15" s="116" t="s">
        <v>1618</v>
      </c>
    </row>
    <row r="16" spans="1:59">
      <c r="A16" s="111" t="s">
        <v>1618</v>
      </c>
      <c r="B16" s="111" t="s">
        <v>1618</v>
      </c>
      <c r="C16" s="111" t="s">
        <v>1618</v>
      </c>
      <c r="D16" s="111" t="s">
        <v>1618</v>
      </c>
      <c r="E16" s="111" t="s">
        <v>1618</v>
      </c>
      <c r="F16" s="111" t="s">
        <v>1618</v>
      </c>
      <c r="G16" s="111" t="s">
        <v>1618</v>
      </c>
      <c r="H16" s="111" t="s">
        <v>1618</v>
      </c>
      <c r="I16" s="99" t="s">
        <v>1618</v>
      </c>
      <c r="J16" s="99" t="s">
        <v>1618</v>
      </c>
      <c r="K16" s="99" t="s">
        <v>1618</v>
      </c>
      <c r="L16" s="99" t="s">
        <v>1618</v>
      </c>
      <c r="M16" s="99" t="s">
        <v>1618</v>
      </c>
      <c r="N16" s="99" t="s">
        <v>1618</v>
      </c>
      <c r="O16" s="99" t="s">
        <v>1618</v>
      </c>
      <c r="P16" s="99" t="s">
        <v>1618</v>
      </c>
      <c r="Q16" s="99" t="s">
        <v>1618</v>
      </c>
      <c r="R16" s="99" t="s">
        <v>1618</v>
      </c>
      <c r="S16" s="103" t="s">
        <v>1618</v>
      </c>
      <c r="T16" s="103" t="s">
        <v>1618</v>
      </c>
      <c r="U16" s="103" t="s">
        <v>1618</v>
      </c>
      <c r="V16" s="103" t="s">
        <v>1618</v>
      </c>
      <c r="W16" s="103" t="s">
        <v>1618</v>
      </c>
      <c r="X16" s="103" t="s">
        <v>1618</v>
      </c>
      <c r="Y16" s="103" t="s">
        <v>1618</v>
      </c>
      <c r="Z16" s="103" t="s">
        <v>1618</v>
      </c>
      <c r="AA16" s="103" t="s">
        <v>1618</v>
      </c>
      <c r="AB16" s="103" t="s">
        <v>1618</v>
      </c>
      <c r="AC16" s="103" t="s">
        <v>1618</v>
      </c>
      <c r="AD16" s="103" t="s">
        <v>1618</v>
      </c>
      <c r="AE16" s="103" t="s">
        <v>1618</v>
      </c>
      <c r="AF16" s="103" t="s">
        <v>1618</v>
      </c>
      <c r="AG16" s="103" t="s">
        <v>1618</v>
      </c>
      <c r="AH16" s="103" t="s">
        <v>1618</v>
      </c>
      <c r="AI16" s="103" t="s">
        <v>1618</v>
      </c>
      <c r="AJ16" s="103" t="s">
        <v>1618</v>
      </c>
      <c r="AK16" s="103" t="s">
        <v>1618</v>
      </c>
      <c r="AL16" s="103" t="s">
        <v>1618</v>
      </c>
      <c r="AM16" s="99" t="s">
        <v>1618</v>
      </c>
      <c r="AN16" s="99" t="s">
        <v>1618</v>
      </c>
      <c r="AO16" s="99" t="s">
        <v>1618</v>
      </c>
      <c r="AP16" s="99" t="s">
        <v>1618</v>
      </c>
      <c r="AQ16" s="99" t="s">
        <v>1618</v>
      </c>
      <c r="AR16" s="99" t="s">
        <v>1618</v>
      </c>
      <c r="AS16" s="116" t="s">
        <v>1618</v>
      </c>
      <c r="AT16" s="116" t="s">
        <v>1618</v>
      </c>
      <c r="AU16" s="116" t="s">
        <v>1618</v>
      </c>
      <c r="AV16" s="116" t="s">
        <v>1618</v>
      </c>
      <c r="AW16" s="116" t="s">
        <v>1618</v>
      </c>
      <c r="AX16" s="116" t="s">
        <v>1618</v>
      </c>
      <c r="AY16" s="116" t="s">
        <v>1618</v>
      </c>
      <c r="AZ16" s="116" t="s">
        <v>1618</v>
      </c>
      <c r="BA16" s="116" t="s">
        <v>1618</v>
      </c>
      <c r="BB16" s="116" t="s">
        <v>1618</v>
      </c>
      <c r="BC16" s="116" t="s">
        <v>1618</v>
      </c>
      <c r="BD16" s="116" t="s">
        <v>1618</v>
      </c>
      <c r="BE16" s="116" t="s">
        <v>1618</v>
      </c>
      <c r="BF16" s="116" t="s">
        <v>1618</v>
      </c>
      <c r="BG16" s="116" t="s">
        <v>1618</v>
      </c>
    </row>
    <row r="17" spans="1:59">
      <c r="A17" s="111" t="s">
        <v>1618</v>
      </c>
      <c r="B17" s="111" t="s">
        <v>1618</v>
      </c>
      <c r="C17" s="111" t="s">
        <v>1618</v>
      </c>
      <c r="D17" s="111" t="s">
        <v>1618</v>
      </c>
      <c r="E17" s="111" t="s">
        <v>1618</v>
      </c>
      <c r="F17" s="111" t="s">
        <v>1618</v>
      </c>
      <c r="G17" s="111" t="s">
        <v>1618</v>
      </c>
      <c r="H17" s="111" t="s">
        <v>1618</v>
      </c>
      <c r="I17" s="99" t="s">
        <v>1618</v>
      </c>
      <c r="J17" s="101" t="s">
        <v>1618</v>
      </c>
      <c r="K17" s="101" t="s">
        <v>1618</v>
      </c>
      <c r="L17" s="101" t="s">
        <v>1618</v>
      </c>
      <c r="M17" s="101" t="s">
        <v>1618</v>
      </c>
      <c r="N17" s="101" t="s">
        <v>1618</v>
      </c>
      <c r="O17" s="101" t="s">
        <v>1618</v>
      </c>
      <c r="P17" s="101" t="s">
        <v>1618</v>
      </c>
      <c r="Q17" s="101" t="s">
        <v>1618</v>
      </c>
      <c r="R17" s="101" t="s">
        <v>1618</v>
      </c>
      <c r="S17" s="101" t="s">
        <v>1618</v>
      </c>
      <c r="T17" s="101" t="s">
        <v>1618</v>
      </c>
      <c r="U17" s="101" t="s">
        <v>1618</v>
      </c>
      <c r="V17" s="101" t="s">
        <v>1618</v>
      </c>
      <c r="W17" s="100" t="s">
        <v>1618</v>
      </c>
      <c r="X17" s="100" t="s">
        <v>1618</v>
      </c>
      <c r="Y17" s="100" t="s">
        <v>1618</v>
      </c>
      <c r="Z17" s="100" t="s">
        <v>1618</v>
      </c>
      <c r="AA17" s="100" t="s">
        <v>1618</v>
      </c>
      <c r="AB17" s="100" t="s">
        <v>1618</v>
      </c>
      <c r="AC17" s="100" t="s">
        <v>1618</v>
      </c>
      <c r="AD17" s="100" t="s">
        <v>1618</v>
      </c>
      <c r="AE17" s="100" t="s">
        <v>1618</v>
      </c>
      <c r="AF17" s="100" t="s">
        <v>1618</v>
      </c>
      <c r="AG17" s="100" t="s">
        <v>1618</v>
      </c>
      <c r="AH17" s="100" t="s">
        <v>1618</v>
      </c>
      <c r="AI17" s="100" t="s">
        <v>1618</v>
      </c>
      <c r="AJ17" s="100" t="s">
        <v>1618</v>
      </c>
      <c r="AK17" s="100" t="s">
        <v>1618</v>
      </c>
      <c r="AL17" s="100" t="s">
        <v>1618</v>
      </c>
      <c r="AM17" s="100" t="s">
        <v>1618</v>
      </c>
      <c r="AN17" s="100" t="s">
        <v>1618</v>
      </c>
      <c r="AO17" s="100" t="s">
        <v>1618</v>
      </c>
      <c r="AP17" s="100" t="s">
        <v>1618</v>
      </c>
      <c r="AQ17" s="100" t="s">
        <v>1618</v>
      </c>
      <c r="AR17" s="100" t="s">
        <v>1618</v>
      </c>
      <c r="AS17" s="116" t="s">
        <v>1618</v>
      </c>
      <c r="AT17" s="116" t="s">
        <v>1618</v>
      </c>
      <c r="AU17" s="116" t="s">
        <v>1618</v>
      </c>
      <c r="AV17" s="116" t="s">
        <v>1618</v>
      </c>
      <c r="AW17" s="116" t="s">
        <v>1618</v>
      </c>
      <c r="AX17" s="116" t="s">
        <v>1618</v>
      </c>
      <c r="AY17" s="116" t="s">
        <v>1618</v>
      </c>
      <c r="AZ17" s="116" t="s">
        <v>1618</v>
      </c>
      <c r="BA17" s="116" t="s">
        <v>1618</v>
      </c>
      <c r="BB17" s="116" t="s">
        <v>1618</v>
      </c>
      <c r="BC17" s="116" t="s">
        <v>1618</v>
      </c>
      <c r="BD17" s="116" t="s">
        <v>1618</v>
      </c>
      <c r="BE17" s="116" t="s">
        <v>1618</v>
      </c>
      <c r="BF17" s="116" t="s">
        <v>1618</v>
      </c>
      <c r="BG17" s="116" t="s">
        <v>1618</v>
      </c>
    </row>
    <row r="18" spans="1:59">
      <c r="A18" s="111" t="s">
        <v>1618</v>
      </c>
      <c r="B18" s="111" t="s">
        <v>1618</v>
      </c>
      <c r="C18" s="111" t="s">
        <v>1618</v>
      </c>
      <c r="D18" s="111" t="s">
        <v>1618</v>
      </c>
      <c r="E18" s="111" t="s">
        <v>1618</v>
      </c>
      <c r="F18" s="111" t="s">
        <v>1618</v>
      </c>
      <c r="G18" s="111" t="s">
        <v>1618</v>
      </c>
      <c r="H18" s="111" t="s">
        <v>1618</v>
      </c>
      <c r="I18" s="99" t="s">
        <v>1618</v>
      </c>
      <c r="J18" s="101" t="s">
        <v>1618</v>
      </c>
      <c r="K18" s="101" t="s">
        <v>1618</v>
      </c>
      <c r="L18" s="101" t="s">
        <v>1618</v>
      </c>
      <c r="M18" s="101" t="s">
        <v>1618</v>
      </c>
      <c r="N18" s="101" t="s">
        <v>1618</v>
      </c>
      <c r="O18" s="101" t="s">
        <v>1618</v>
      </c>
      <c r="P18" s="101" t="s">
        <v>1618</v>
      </c>
      <c r="Q18" s="101" t="s">
        <v>1618</v>
      </c>
      <c r="R18" s="101" t="s">
        <v>1618</v>
      </c>
      <c r="S18" s="101" t="s">
        <v>1618</v>
      </c>
      <c r="T18" s="101" t="s">
        <v>1618</v>
      </c>
      <c r="U18" s="101" t="s">
        <v>1618</v>
      </c>
      <c r="V18" s="101" t="s">
        <v>1618</v>
      </c>
      <c r="W18" s="100" t="s">
        <v>1618</v>
      </c>
      <c r="X18" s="100" t="s">
        <v>1618</v>
      </c>
      <c r="Y18" s="100" t="s">
        <v>1618</v>
      </c>
      <c r="Z18" s="100" t="s">
        <v>1618</v>
      </c>
      <c r="AA18" s="100" t="s">
        <v>1618</v>
      </c>
      <c r="AB18" s="100" t="s">
        <v>1618</v>
      </c>
      <c r="AC18" s="100" t="s">
        <v>1618</v>
      </c>
      <c r="AD18" s="100" t="s">
        <v>1618</v>
      </c>
      <c r="AE18" s="100" t="s">
        <v>1618</v>
      </c>
      <c r="AF18" s="100" t="s">
        <v>1618</v>
      </c>
      <c r="AG18" s="100" t="s">
        <v>1618</v>
      </c>
      <c r="AH18" s="100" t="s">
        <v>1618</v>
      </c>
      <c r="AI18" s="100" t="s">
        <v>1618</v>
      </c>
      <c r="AJ18" s="100" t="s">
        <v>1618</v>
      </c>
      <c r="AK18" s="100" t="s">
        <v>1618</v>
      </c>
      <c r="AL18" s="100" t="s">
        <v>1618</v>
      </c>
      <c r="AM18" s="100" t="s">
        <v>1618</v>
      </c>
      <c r="AN18" s="100" t="s">
        <v>1618</v>
      </c>
      <c r="AO18" s="100" t="s">
        <v>1618</v>
      </c>
      <c r="AP18" s="100" t="s">
        <v>1618</v>
      </c>
      <c r="AQ18" s="100" t="s">
        <v>1618</v>
      </c>
      <c r="AR18" s="100" t="s">
        <v>1618</v>
      </c>
      <c r="AS18" s="116" t="s">
        <v>1618</v>
      </c>
      <c r="AT18" s="116" t="s">
        <v>1618</v>
      </c>
      <c r="AU18" s="116" t="s">
        <v>1618</v>
      </c>
      <c r="AV18" s="116" t="s">
        <v>1618</v>
      </c>
      <c r="AW18" s="116" t="s">
        <v>1618</v>
      </c>
      <c r="AX18" s="116" t="s">
        <v>1618</v>
      </c>
      <c r="AY18" s="116" t="s">
        <v>1618</v>
      </c>
      <c r="AZ18" s="116" t="s">
        <v>1618</v>
      </c>
      <c r="BA18" s="116" t="s">
        <v>1618</v>
      </c>
      <c r="BB18" s="116" t="s">
        <v>1618</v>
      </c>
      <c r="BC18" s="116" t="s">
        <v>1618</v>
      </c>
      <c r="BD18" s="116" t="s">
        <v>1618</v>
      </c>
      <c r="BE18" s="116" t="s">
        <v>1618</v>
      </c>
      <c r="BF18" s="116" t="s">
        <v>1618</v>
      </c>
      <c r="BG18" s="116" t="s">
        <v>1618</v>
      </c>
    </row>
    <row r="19" spans="1:59">
      <c r="A19" s="111" t="s">
        <v>1618</v>
      </c>
      <c r="B19" s="111" t="s">
        <v>1618</v>
      </c>
      <c r="C19" s="111" t="s">
        <v>1618</v>
      </c>
      <c r="D19" s="111" t="s">
        <v>1618</v>
      </c>
      <c r="E19" s="111" t="s">
        <v>1618</v>
      </c>
      <c r="F19" s="111" t="s">
        <v>1618</v>
      </c>
      <c r="G19" s="111" t="s">
        <v>1618</v>
      </c>
      <c r="H19" s="111" t="s">
        <v>1618</v>
      </c>
      <c r="I19" s="99" t="s">
        <v>1618</v>
      </c>
      <c r="J19" s="101" t="s">
        <v>1618</v>
      </c>
      <c r="K19" s="101" t="s">
        <v>1618</v>
      </c>
      <c r="L19" s="101" t="s">
        <v>1618</v>
      </c>
      <c r="M19" s="101" t="s">
        <v>1618</v>
      </c>
      <c r="N19" s="101" t="s">
        <v>1618</v>
      </c>
      <c r="O19" s="101" t="s">
        <v>1618</v>
      </c>
      <c r="P19" s="101" t="s">
        <v>1618</v>
      </c>
      <c r="Q19" s="101" t="s">
        <v>1618</v>
      </c>
      <c r="R19" s="101" t="s">
        <v>1618</v>
      </c>
      <c r="S19" s="101" t="s">
        <v>1618</v>
      </c>
      <c r="T19" s="101" t="s">
        <v>1618</v>
      </c>
      <c r="U19" s="101" t="s">
        <v>1618</v>
      </c>
      <c r="V19" s="101" t="s">
        <v>1618</v>
      </c>
      <c r="W19" s="100" t="s">
        <v>1618</v>
      </c>
      <c r="X19" s="100" t="s">
        <v>1618</v>
      </c>
      <c r="Y19" s="100" t="s">
        <v>1618</v>
      </c>
      <c r="Z19" s="100" t="s">
        <v>1618</v>
      </c>
      <c r="AA19" s="100" t="s">
        <v>1618</v>
      </c>
      <c r="AB19" s="100" t="s">
        <v>1618</v>
      </c>
      <c r="AC19" s="100" t="s">
        <v>1618</v>
      </c>
      <c r="AD19" s="100" t="s">
        <v>1618</v>
      </c>
      <c r="AE19" s="100" t="s">
        <v>1618</v>
      </c>
      <c r="AF19" s="100" t="s">
        <v>1618</v>
      </c>
      <c r="AG19" s="100" t="s">
        <v>1618</v>
      </c>
      <c r="AH19" s="100" t="s">
        <v>1618</v>
      </c>
      <c r="AI19" s="100" t="s">
        <v>1618</v>
      </c>
      <c r="AJ19" s="100" t="s">
        <v>1618</v>
      </c>
      <c r="AK19" s="100" t="s">
        <v>1618</v>
      </c>
      <c r="AL19" s="100" t="s">
        <v>1618</v>
      </c>
      <c r="AM19" s="100" t="s">
        <v>1618</v>
      </c>
      <c r="AN19" s="100" t="s">
        <v>1618</v>
      </c>
      <c r="AO19" s="100" t="s">
        <v>1618</v>
      </c>
      <c r="AP19" s="100" t="s">
        <v>1618</v>
      </c>
      <c r="AQ19" s="100" t="s">
        <v>1618</v>
      </c>
      <c r="AR19" s="100" t="s">
        <v>1618</v>
      </c>
      <c r="AS19" s="116" t="s">
        <v>1618</v>
      </c>
      <c r="AT19" s="116" t="s">
        <v>1618</v>
      </c>
      <c r="AU19" s="116" t="s">
        <v>1618</v>
      </c>
      <c r="AV19" s="116" t="s">
        <v>1618</v>
      </c>
      <c r="AW19" s="116" t="s">
        <v>1618</v>
      </c>
      <c r="AX19" s="116" t="s">
        <v>1618</v>
      </c>
      <c r="AY19" s="116" t="s">
        <v>1618</v>
      </c>
      <c r="AZ19" s="116" t="s">
        <v>1618</v>
      </c>
      <c r="BA19" s="116" t="s">
        <v>1618</v>
      </c>
      <c r="BB19" s="116" t="s">
        <v>1618</v>
      </c>
      <c r="BC19" s="116" t="s">
        <v>1618</v>
      </c>
      <c r="BD19" s="116" t="s">
        <v>1618</v>
      </c>
      <c r="BE19" s="116" t="s">
        <v>1618</v>
      </c>
      <c r="BF19" s="116" t="s">
        <v>1618</v>
      </c>
      <c r="BG19" s="116" t="s">
        <v>1618</v>
      </c>
    </row>
    <row r="20" spans="1:59">
      <c r="A20" s="111" t="s">
        <v>1618</v>
      </c>
      <c r="B20" s="111" t="s">
        <v>1618</v>
      </c>
      <c r="C20" s="111" t="s">
        <v>1618</v>
      </c>
      <c r="D20" s="111" t="s">
        <v>1618</v>
      </c>
      <c r="E20" s="111" t="s">
        <v>1618</v>
      </c>
      <c r="F20" s="111" t="s">
        <v>1618</v>
      </c>
      <c r="G20" s="111" t="s">
        <v>1618</v>
      </c>
      <c r="H20" s="111" t="s">
        <v>1618</v>
      </c>
      <c r="I20" s="99" t="s">
        <v>1618</v>
      </c>
      <c r="J20" s="101" t="s">
        <v>1618</v>
      </c>
      <c r="K20" s="101" t="s">
        <v>1618</v>
      </c>
      <c r="L20" s="101" t="s">
        <v>1618</v>
      </c>
      <c r="M20" s="101" t="s">
        <v>1618</v>
      </c>
      <c r="N20" s="101" t="s">
        <v>1618</v>
      </c>
      <c r="O20" s="101" t="s">
        <v>1618</v>
      </c>
      <c r="P20" s="101" t="s">
        <v>1618</v>
      </c>
      <c r="Q20" s="101" t="s">
        <v>1618</v>
      </c>
      <c r="R20" s="101" t="s">
        <v>1618</v>
      </c>
      <c r="S20" s="101" t="s">
        <v>1618</v>
      </c>
      <c r="T20" s="101" t="s">
        <v>1618</v>
      </c>
      <c r="U20" s="101" t="s">
        <v>1618</v>
      </c>
      <c r="V20" s="101" t="s">
        <v>1618</v>
      </c>
      <c r="W20" s="100" t="s">
        <v>1618</v>
      </c>
      <c r="X20" s="100" t="s">
        <v>1618</v>
      </c>
      <c r="Y20" s="100" t="s">
        <v>1618</v>
      </c>
      <c r="Z20" s="100" t="s">
        <v>1618</v>
      </c>
      <c r="AA20" s="100" t="s">
        <v>1618</v>
      </c>
      <c r="AB20" s="100" t="s">
        <v>1618</v>
      </c>
      <c r="AC20" s="100" t="s">
        <v>1618</v>
      </c>
      <c r="AD20" s="100" t="s">
        <v>1618</v>
      </c>
      <c r="AE20" s="100" t="s">
        <v>1618</v>
      </c>
      <c r="AF20" s="100" t="s">
        <v>1618</v>
      </c>
      <c r="AG20" s="100" t="s">
        <v>1618</v>
      </c>
      <c r="AH20" s="100" t="s">
        <v>1618</v>
      </c>
      <c r="AI20" s="100" t="s">
        <v>1618</v>
      </c>
      <c r="AJ20" s="100" t="s">
        <v>1618</v>
      </c>
      <c r="AK20" s="100" t="s">
        <v>1618</v>
      </c>
      <c r="AL20" s="100" t="s">
        <v>1618</v>
      </c>
      <c r="AM20" s="100" t="s">
        <v>1618</v>
      </c>
      <c r="AN20" s="100" t="s">
        <v>1618</v>
      </c>
      <c r="AO20" s="100" t="s">
        <v>1618</v>
      </c>
      <c r="AP20" s="100" t="s">
        <v>1618</v>
      </c>
      <c r="AQ20" s="100" t="s">
        <v>1618</v>
      </c>
      <c r="AR20" s="100" t="s">
        <v>1618</v>
      </c>
      <c r="AS20" s="116" t="s">
        <v>1618</v>
      </c>
      <c r="AT20" s="116" t="s">
        <v>1618</v>
      </c>
      <c r="AU20" s="116" t="s">
        <v>1618</v>
      </c>
      <c r="AV20" s="116" t="s">
        <v>1618</v>
      </c>
      <c r="AW20" s="116" t="s">
        <v>1618</v>
      </c>
      <c r="AX20" s="116" t="s">
        <v>1618</v>
      </c>
      <c r="AY20" s="116" t="s">
        <v>1618</v>
      </c>
      <c r="AZ20" s="116" t="s">
        <v>1618</v>
      </c>
      <c r="BA20" s="116" t="s">
        <v>1618</v>
      </c>
      <c r="BB20" s="116" t="s">
        <v>1618</v>
      </c>
      <c r="BC20" s="116" t="s">
        <v>1618</v>
      </c>
      <c r="BD20" s="116" t="s">
        <v>1618</v>
      </c>
      <c r="BE20" s="116" t="s">
        <v>1618</v>
      </c>
      <c r="BF20" s="116" t="s">
        <v>1618</v>
      </c>
      <c r="BG20" s="116" t="s">
        <v>1618</v>
      </c>
    </row>
    <row r="21" spans="1:59">
      <c r="A21" s="111" t="s">
        <v>1618</v>
      </c>
      <c r="B21" s="111" t="s">
        <v>1618</v>
      </c>
      <c r="C21" s="111" t="s">
        <v>1618</v>
      </c>
      <c r="D21" s="111" t="s">
        <v>1618</v>
      </c>
      <c r="E21" s="111" t="s">
        <v>1618</v>
      </c>
      <c r="F21" s="111" t="s">
        <v>1618</v>
      </c>
      <c r="G21" s="111" t="s">
        <v>1618</v>
      </c>
      <c r="H21" s="111" t="s">
        <v>1618</v>
      </c>
      <c r="I21" s="99" t="s">
        <v>1618</v>
      </c>
      <c r="J21" s="101" t="s">
        <v>1618</v>
      </c>
      <c r="K21" s="101" t="s">
        <v>1618</v>
      </c>
      <c r="L21" s="101" t="s">
        <v>1618</v>
      </c>
      <c r="M21" s="101" t="s">
        <v>1618</v>
      </c>
      <c r="N21" s="101" t="s">
        <v>1618</v>
      </c>
      <c r="O21" s="101" t="s">
        <v>1618</v>
      </c>
      <c r="P21" s="101" t="s">
        <v>1618</v>
      </c>
      <c r="Q21" s="101" t="s">
        <v>1618</v>
      </c>
      <c r="R21" s="101" t="s">
        <v>1618</v>
      </c>
      <c r="S21" s="101" t="s">
        <v>1618</v>
      </c>
      <c r="T21" s="101" t="s">
        <v>1618</v>
      </c>
      <c r="U21" s="101" t="s">
        <v>1618</v>
      </c>
      <c r="V21" s="101" t="s">
        <v>1618</v>
      </c>
      <c r="W21" s="100" t="s">
        <v>1618</v>
      </c>
      <c r="X21" s="100" t="s">
        <v>1618</v>
      </c>
      <c r="Y21" s="100" t="s">
        <v>1618</v>
      </c>
      <c r="Z21" s="100" t="s">
        <v>1618</v>
      </c>
      <c r="AA21" s="100" t="s">
        <v>1618</v>
      </c>
      <c r="AB21" s="100" t="s">
        <v>1618</v>
      </c>
      <c r="AC21" s="100" t="s">
        <v>1618</v>
      </c>
      <c r="AD21" s="100" t="s">
        <v>1618</v>
      </c>
      <c r="AE21" s="100" t="s">
        <v>1618</v>
      </c>
      <c r="AF21" s="100" t="s">
        <v>1618</v>
      </c>
      <c r="AG21" s="100" t="s">
        <v>1618</v>
      </c>
      <c r="AH21" s="100" t="s">
        <v>1618</v>
      </c>
      <c r="AI21" s="100" t="s">
        <v>1618</v>
      </c>
      <c r="AJ21" s="100" t="s">
        <v>1618</v>
      </c>
      <c r="AK21" s="100" t="s">
        <v>1618</v>
      </c>
      <c r="AL21" s="100" t="s">
        <v>1618</v>
      </c>
      <c r="AM21" s="100" t="s">
        <v>1618</v>
      </c>
      <c r="AN21" s="100" t="s">
        <v>1618</v>
      </c>
      <c r="AO21" s="100" t="s">
        <v>1618</v>
      </c>
      <c r="AP21" s="100" t="s">
        <v>1618</v>
      </c>
      <c r="AQ21" s="100" t="s">
        <v>1618</v>
      </c>
      <c r="AR21" s="100" t="s">
        <v>1618</v>
      </c>
      <c r="AS21" s="116" t="s">
        <v>1618</v>
      </c>
      <c r="AT21" s="116" t="s">
        <v>1618</v>
      </c>
      <c r="AU21" s="116" t="s">
        <v>1618</v>
      </c>
      <c r="AV21" s="116" t="s">
        <v>1618</v>
      </c>
      <c r="AW21" s="116" t="s">
        <v>1618</v>
      </c>
      <c r="AX21" s="116" t="s">
        <v>1618</v>
      </c>
      <c r="AY21" s="116" t="s">
        <v>1618</v>
      </c>
      <c r="AZ21" s="116" t="s">
        <v>1618</v>
      </c>
      <c r="BA21" s="116" t="s">
        <v>1618</v>
      </c>
      <c r="BB21" s="116" t="s">
        <v>1618</v>
      </c>
      <c r="BC21" s="116" t="s">
        <v>1618</v>
      </c>
      <c r="BD21" s="116" t="s">
        <v>1618</v>
      </c>
      <c r="BE21" s="116" t="s">
        <v>1618</v>
      </c>
      <c r="BF21" s="116" t="s">
        <v>1618</v>
      </c>
      <c r="BG21" s="116" t="s">
        <v>1618</v>
      </c>
    </row>
    <row r="22" spans="1:59">
      <c r="A22" s="111" t="s">
        <v>1618</v>
      </c>
      <c r="B22" s="111" t="s">
        <v>1618</v>
      </c>
      <c r="C22" s="111" t="s">
        <v>1618</v>
      </c>
      <c r="D22" s="111" t="s">
        <v>1618</v>
      </c>
      <c r="E22" s="111" t="s">
        <v>1618</v>
      </c>
      <c r="F22" s="111" t="s">
        <v>1618</v>
      </c>
      <c r="G22" s="111" t="s">
        <v>1618</v>
      </c>
      <c r="H22" s="111" t="s">
        <v>1618</v>
      </c>
      <c r="I22" s="99" t="s">
        <v>1618</v>
      </c>
      <c r="J22" s="101" t="s">
        <v>1618</v>
      </c>
      <c r="K22" s="101" t="s">
        <v>1618</v>
      </c>
      <c r="L22" s="101" t="s">
        <v>1618</v>
      </c>
      <c r="M22" s="101" t="s">
        <v>1618</v>
      </c>
      <c r="N22" s="101" t="s">
        <v>1618</v>
      </c>
      <c r="O22" s="101" t="s">
        <v>1618</v>
      </c>
      <c r="P22" s="101" t="s">
        <v>1618</v>
      </c>
      <c r="Q22" s="101" t="s">
        <v>1618</v>
      </c>
      <c r="R22" s="101" t="s">
        <v>1618</v>
      </c>
      <c r="S22" s="101" t="s">
        <v>1618</v>
      </c>
      <c r="T22" s="101" t="s">
        <v>1618</v>
      </c>
      <c r="U22" s="101" t="s">
        <v>1618</v>
      </c>
      <c r="V22" s="101" t="s">
        <v>1618</v>
      </c>
      <c r="W22" s="100" t="s">
        <v>1618</v>
      </c>
      <c r="X22" s="100" t="s">
        <v>1618</v>
      </c>
      <c r="Y22" s="100" t="s">
        <v>1618</v>
      </c>
      <c r="Z22" s="100" t="s">
        <v>1618</v>
      </c>
      <c r="AA22" s="100" t="s">
        <v>1618</v>
      </c>
      <c r="AB22" s="100" t="s">
        <v>1618</v>
      </c>
      <c r="AC22" s="100" t="s">
        <v>1618</v>
      </c>
      <c r="AD22" s="100" t="s">
        <v>1618</v>
      </c>
      <c r="AE22" s="100" t="s">
        <v>1618</v>
      </c>
      <c r="AF22" s="100" t="s">
        <v>1618</v>
      </c>
      <c r="AG22" s="100" t="s">
        <v>1618</v>
      </c>
      <c r="AH22" s="100" t="s">
        <v>1618</v>
      </c>
      <c r="AI22" s="100" t="s">
        <v>1618</v>
      </c>
      <c r="AJ22" s="100" t="s">
        <v>1618</v>
      </c>
      <c r="AK22" s="100" t="s">
        <v>1618</v>
      </c>
      <c r="AL22" s="100" t="s">
        <v>1618</v>
      </c>
      <c r="AM22" s="100" t="s">
        <v>1618</v>
      </c>
      <c r="AN22" s="100" t="s">
        <v>1618</v>
      </c>
      <c r="AO22" s="100" t="s">
        <v>1618</v>
      </c>
      <c r="AP22" s="100" t="s">
        <v>1618</v>
      </c>
      <c r="AQ22" s="100" t="s">
        <v>1618</v>
      </c>
      <c r="AR22" s="100" t="s">
        <v>1618</v>
      </c>
      <c r="AS22" s="116" t="s">
        <v>1618</v>
      </c>
      <c r="AT22" s="116" t="s">
        <v>1618</v>
      </c>
      <c r="AU22" s="116" t="s">
        <v>1618</v>
      </c>
      <c r="AV22" s="116" t="s">
        <v>1618</v>
      </c>
      <c r="AW22" s="116" t="s">
        <v>1618</v>
      </c>
      <c r="AX22" s="116" t="s">
        <v>1618</v>
      </c>
      <c r="AY22" s="116" t="s">
        <v>1618</v>
      </c>
      <c r="AZ22" s="116" t="s">
        <v>1618</v>
      </c>
      <c r="BA22" s="116" t="s">
        <v>1618</v>
      </c>
      <c r="BB22" s="116" t="s">
        <v>1618</v>
      </c>
      <c r="BC22" s="116" t="s">
        <v>1618</v>
      </c>
      <c r="BD22" s="116" t="s">
        <v>1618</v>
      </c>
      <c r="BE22" s="116" t="s">
        <v>1618</v>
      </c>
      <c r="BF22" s="116" t="s">
        <v>1618</v>
      </c>
      <c r="BG22" s="116" t="s">
        <v>1618</v>
      </c>
    </row>
    <row r="23" spans="1:59">
      <c r="A23" s="111" t="s">
        <v>1618</v>
      </c>
      <c r="B23" s="111" t="s">
        <v>1618</v>
      </c>
      <c r="C23" s="111" t="s">
        <v>1618</v>
      </c>
      <c r="D23" s="111" t="s">
        <v>1618</v>
      </c>
      <c r="E23" s="111" t="s">
        <v>1618</v>
      </c>
      <c r="F23" s="111" t="s">
        <v>1618</v>
      </c>
      <c r="G23" s="111" t="s">
        <v>1618</v>
      </c>
      <c r="H23" s="111" t="s">
        <v>1618</v>
      </c>
      <c r="I23" s="99" t="s">
        <v>1618</v>
      </c>
      <c r="J23" s="101" t="s">
        <v>1618</v>
      </c>
      <c r="K23" s="101" t="s">
        <v>1618</v>
      </c>
      <c r="L23" s="101" t="s">
        <v>1618</v>
      </c>
      <c r="M23" s="101" t="s">
        <v>1618</v>
      </c>
      <c r="N23" s="101" t="s">
        <v>1618</v>
      </c>
      <c r="O23" s="101" t="s">
        <v>1618</v>
      </c>
      <c r="P23" s="101" t="s">
        <v>1618</v>
      </c>
      <c r="Q23" s="101" t="s">
        <v>1618</v>
      </c>
      <c r="R23" s="101" t="s">
        <v>1618</v>
      </c>
      <c r="S23" s="101" t="s">
        <v>1618</v>
      </c>
      <c r="T23" s="101" t="s">
        <v>1618</v>
      </c>
      <c r="U23" s="101" t="s">
        <v>1618</v>
      </c>
      <c r="V23" s="101" t="s">
        <v>1618</v>
      </c>
      <c r="W23" s="100" t="s">
        <v>1618</v>
      </c>
      <c r="X23" s="100" t="s">
        <v>1618</v>
      </c>
      <c r="Y23" s="100" t="s">
        <v>1618</v>
      </c>
      <c r="Z23" s="100" t="s">
        <v>1618</v>
      </c>
      <c r="AA23" s="100" t="s">
        <v>1618</v>
      </c>
      <c r="AB23" s="100" t="s">
        <v>1618</v>
      </c>
      <c r="AC23" s="100" t="s">
        <v>1618</v>
      </c>
      <c r="AD23" s="100" t="s">
        <v>1618</v>
      </c>
      <c r="AE23" s="100" t="s">
        <v>1618</v>
      </c>
      <c r="AF23" s="100" t="s">
        <v>1618</v>
      </c>
      <c r="AG23" s="100" t="s">
        <v>1618</v>
      </c>
      <c r="AH23" s="100" t="s">
        <v>1618</v>
      </c>
      <c r="AI23" s="100" t="s">
        <v>1618</v>
      </c>
      <c r="AJ23" s="100" t="s">
        <v>1618</v>
      </c>
      <c r="AK23" s="100" t="s">
        <v>1618</v>
      </c>
      <c r="AL23" s="100" t="s">
        <v>1618</v>
      </c>
      <c r="AM23" s="100" t="s">
        <v>1618</v>
      </c>
      <c r="AN23" s="100" t="s">
        <v>1618</v>
      </c>
      <c r="AO23" s="100" t="s">
        <v>1618</v>
      </c>
      <c r="AP23" s="100" t="s">
        <v>1618</v>
      </c>
      <c r="AQ23" s="100" t="s">
        <v>1618</v>
      </c>
      <c r="AR23" s="100" t="s">
        <v>1618</v>
      </c>
      <c r="AS23" s="116" t="s">
        <v>1618</v>
      </c>
      <c r="AT23" s="116" t="s">
        <v>1618</v>
      </c>
      <c r="AU23" s="116" t="s">
        <v>1618</v>
      </c>
      <c r="AV23" s="116" t="s">
        <v>1618</v>
      </c>
      <c r="AW23" s="116" t="s">
        <v>1618</v>
      </c>
      <c r="AX23" s="116" t="s">
        <v>1618</v>
      </c>
      <c r="AY23" s="116" t="s">
        <v>1618</v>
      </c>
      <c r="AZ23" s="116" t="s">
        <v>1618</v>
      </c>
      <c r="BA23" s="116" t="s">
        <v>1618</v>
      </c>
      <c r="BB23" s="116" t="s">
        <v>1618</v>
      </c>
      <c r="BC23" s="116" t="s">
        <v>1618</v>
      </c>
      <c r="BD23" s="116" t="s">
        <v>1618</v>
      </c>
      <c r="BE23" s="116" t="s">
        <v>1618</v>
      </c>
      <c r="BF23" s="116" t="s">
        <v>1618</v>
      </c>
      <c r="BG23" s="116" t="s">
        <v>1618</v>
      </c>
    </row>
    <row r="24" spans="1:59">
      <c r="A24" s="99" t="s">
        <v>1618</v>
      </c>
      <c r="B24" s="99" t="s">
        <v>1618</v>
      </c>
      <c r="C24" s="99" t="s">
        <v>1618</v>
      </c>
      <c r="D24" s="99" t="s">
        <v>1618</v>
      </c>
      <c r="E24" s="99" t="s">
        <v>1618</v>
      </c>
      <c r="F24" s="99" t="s">
        <v>1618</v>
      </c>
      <c r="G24" s="99" t="s">
        <v>1618</v>
      </c>
      <c r="H24" s="99" t="s">
        <v>1618</v>
      </c>
      <c r="I24" s="99" t="s">
        <v>1618</v>
      </c>
      <c r="J24" s="101" t="s">
        <v>1618</v>
      </c>
      <c r="K24" s="101" t="s">
        <v>1618</v>
      </c>
      <c r="L24" s="101" t="s">
        <v>1618</v>
      </c>
      <c r="M24" s="101" t="s">
        <v>1618</v>
      </c>
      <c r="N24" s="101" t="s">
        <v>1618</v>
      </c>
      <c r="O24" s="101" t="s">
        <v>1618</v>
      </c>
      <c r="P24" s="101" t="s">
        <v>1618</v>
      </c>
      <c r="Q24" s="101" t="s">
        <v>1618</v>
      </c>
      <c r="R24" s="101" t="s">
        <v>1618</v>
      </c>
      <c r="S24" s="101" t="s">
        <v>1618</v>
      </c>
      <c r="T24" s="101" t="s">
        <v>1618</v>
      </c>
      <c r="U24" s="101" t="s">
        <v>1618</v>
      </c>
      <c r="V24" s="101" t="s">
        <v>1618</v>
      </c>
      <c r="W24" s="100" t="s">
        <v>1618</v>
      </c>
      <c r="X24" s="100" t="s">
        <v>1618</v>
      </c>
      <c r="Y24" s="100" t="s">
        <v>1618</v>
      </c>
      <c r="Z24" s="100" t="s">
        <v>1618</v>
      </c>
      <c r="AA24" s="100" t="s">
        <v>1618</v>
      </c>
      <c r="AB24" s="100" t="s">
        <v>1618</v>
      </c>
      <c r="AC24" s="100" t="s">
        <v>1618</v>
      </c>
      <c r="AD24" s="100" t="s">
        <v>1618</v>
      </c>
      <c r="AE24" s="100" t="s">
        <v>1618</v>
      </c>
      <c r="AF24" s="100" t="s">
        <v>1618</v>
      </c>
      <c r="AG24" s="100" t="s">
        <v>1618</v>
      </c>
      <c r="AH24" s="100" t="s">
        <v>1618</v>
      </c>
      <c r="AI24" s="100" t="s">
        <v>1618</v>
      </c>
      <c r="AJ24" s="100" t="s">
        <v>1618</v>
      </c>
      <c r="AK24" s="100" t="s">
        <v>1618</v>
      </c>
      <c r="AL24" s="100" t="s">
        <v>1618</v>
      </c>
      <c r="AM24" s="100" t="s">
        <v>1618</v>
      </c>
      <c r="AN24" s="100" t="s">
        <v>1618</v>
      </c>
      <c r="AO24" s="100" t="s">
        <v>1618</v>
      </c>
      <c r="AP24" s="100" t="s">
        <v>1618</v>
      </c>
      <c r="AQ24" s="100" t="s">
        <v>1618</v>
      </c>
      <c r="AR24" s="100" t="s">
        <v>1618</v>
      </c>
      <c r="AS24" s="116" t="s">
        <v>1618</v>
      </c>
      <c r="AT24" s="116" t="s">
        <v>1618</v>
      </c>
      <c r="AU24" s="116" t="s">
        <v>1618</v>
      </c>
      <c r="AV24" s="116" t="s">
        <v>1618</v>
      </c>
      <c r="AW24" s="116" t="s">
        <v>1618</v>
      </c>
      <c r="AX24" s="116" t="s">
        <v>1618</v>
      </c>
      <c r="AY24" s="116" t="s">
        <v>1618</v>
      </c>
      <c r="AZ24" s="116" t="s">
        <v>1618</v>
      </c>
      <c r="BA24" s="116" t="s">
        <v>1618</v>
      </c>
      <c r="BB24" s="116" t="s">
        <v>1618</v>
      </c>
      <c r="BC24" s="116" t="s">
        <v>1618</v>
      </c>
      <c r="BD24" s="116" t="s">
        <v>1618</v>
      </c>
      <c r="BE24" s="116" t="s">
        <v>1618</v>
      </c>
      <c r="BF24" s="116" t="s">
        <v>1618</v>
      </c>
      <c r="BG24" s="116" t="s">
        <v>1618</v>
      </c>
    </row>
    <row r="25" spans="1:59">
      <c r="A25" s="99" t="s">
        <v>1618</v>
      </c>
      <c r="B25" s="99" t="s">
        <v>1618</v>
      </c>
      <c r="C25" s="99" t="s">
        <v>1618</v>
      </c>
      <c r="D25" s="99" t="s">
        <v>1618</v>
      </c>
      <c r="E25" s="99" t="s">
        <v>1618</v>
      </c>
      <c r="F25" s="99" t="s">
        <v>1618</v>
      </c>
      <c r="G25" s="99" t="s">
        <v>1618</v>
      </c>
      <c r="H25" s="99" t="s">
        <v>1618</v>
      </c>
      <c r="I25" s="99" t="s">
        <v>1618</v>
      </c>
      <c r="J25" s="101" t="s">
        <v>1618</v>
      </c>
      <c r="K25" s="101" t="s">
        <v>1618</v>
      </c>
      <c r="L25" s="101" t="s">
        <v>1618</v>
      </c>
      <c r="M25" s="101" t="s">
        <v>1618</v>
      </c>
      <c r="N25" s="101" t="s">
        <v>1618</v>
      </c>
      <c r="O25" s="101" t="s">
        <v>1618</v>
      </c>
      <c r="P25" s="101" t="s">
        <v>1618</v>
      </c>
      <c r="Q25" s="101" t="s">
        <v>1618</v>
      </c>
      <c r="R25" s="101" t="s">
        <v>1618</v>
      </c>
      <c r="S25" s="101" t="s">
        <v>1618</v>
      </c>
      <c r="T25" s="101" t="s">
        <v>1618</v>
      </c>
      <c r="U25" s="101" t="s">
        <v>1618</v>
      </c>
      <c r="V25" s="101" t="s">
        <v>1618</v>
      </c>
      <c r="W25" s="100" t="s">
        <v>1618</v>
      </c>
      <c r="X25" s="100" t="s">
        <v>1618</v>
      </c>
      <c r="Y25" s="100" t="s">
        <v>1618</v>
      </c>
      <c r="Z25" s="100" t="s">
        <v>1618</v>
      </c>
      <c r="AA25" s="100" t="s">
        <v>1618</v>
      </c>
      <c r="AB25" s="100" t="s">
        <v>1618</v>
      </c>
      <c r="AC25" s="100" t="s">
        <v>1618</v>
      </c>
      <c r="AD25" s="100" t="s">
        <v>1618</v>
      </c>
      <c r="AE25" s="100" t="s">
        <v>1618</v>
      </c>
      <c r="AF25" s="100" t="s">
        <v>1618</v>
      </c>
      <c r="AG25" s="100" t="s">
        <v>1618</v>
      </c>
      <c r="AH25" s="100" t="s">
        <v>1618</v>
      </c>
      <c r="AI25" s="100" t="s">
        <v>1618</v>
      </c>
      <c r="AJ25" s="100" t="s">
        <v>1618</v>
      </c>
      <c r="AK25" s="100" t="s">
        <v>1618</v>
      </c>
      <c r="AL25" s="100" t="s">
        <v>1618</v>
      </c>
      <c r="AM25" s="100" t="s">
        <v>1618</v>
      </c>
      <c r="AN25" s="100" t="s">
        <v>1618</v>
      </c>
      <c r="AO25" s="100" t="s">
        <v>1618</v>
      </c>
      <c r="AP25" s="100" t="s">
        <v>1618</v>
      </c>
      <c r="AQ25" s="100" t="s">
        <v>1618</v>
      </c>
      <c r="AR25" s="100" t="s">
        <v>1618</v>
      </c>
      <c r="AS25" s="116" t="s">
        <v>1618</v>
      </c>
      <c r="AT25" s="116" t="s">
        <v>1618</v>
      </c>
      <c r="AU25" s="116" t="s">
        <v>1618</v>
      </c>
      <c r="AV25" s="116" t="s">
        <v>1618</v>
      </c>
      <c r="AW25" s="116" t="s">
        <v>1618</v>
      </c>
      <c r="AX25" s="116" t="s">
        <v>1618</v>
      </c>
      <c r="AY25" s="116" t="s">
        <v>1618</v>
      </c>
      <c r="AZ25" s="116" t="s">
        <v>1618</v>
      </c>
      <c r="BA25" s="116" t="s">
        <v>1618</v>
      </c>
      <c r="BB25" s="116" t="s">
        <v>1618</v>
      </c>
      <c r="BC25" s="116" t="s">
        <v>1618</v>
      </c>
      <c r="BD25" s="116" t="s">
        <v>1618</v>
      </c>
      <c r="BE25" s="116" t="s">
        <v>1618</v>
      </c>
      <c r="BF25" s="116" t="s">
        <v>1618</v>
      </c>
      <c r="BG25" s="116" t="s">
        <v>1618</v>
      </c>
    </row>
    <row r="26" spans="1:59">
      <c r="A26" s="99" t="s">
        <v>1618</v>
      </c>
      <c r="B26" s="99" t="s">
        <v>1618</v>
      </c>
      <c r="C26" s="99" t="s">
        <v>1618</v>
      </c>
      <c r="D26" s="99" t="s">
        <v>1618</v>
      </c>
      <c r="E26" s="99" t="s">
        <v>1618</v>
      </c>
      <c r="F26" s="99" t="s">
        <v>1618</v>
      </c>
      <c r="G26" s="99" t="s">
        <v>1618</v>
      </c>
      <c r="H26" s="99" t="s">
        <v>1618</v>
      </c>
      <c r="I26" s="99" t="s">
        <v>1618</v>
      </c>
      <c r="J26" s="101" t="s">
        <v>1618</v>
      </c>
      <c r="K26" s="101" t="s">
        <v>1618</v>
      </c>
      <c r="L26" s="101" t="s">
        <v>1618</v>
      </c>
      <c r="M26" s="101" t="s">
        <v>1618</v>
      </c>
      <c r="N26" s="101" t="s">
        <v>1618</v>
      </c>
      <c r="O26" s="101" t="s">
        <v>1618</v>
      </c>
      <c r="P26" s="101" t="s">
        <v>1618</v>
      </c>
      <c r="Q26" s="101" t="s">
        <v>1618</v>
      </c>
      <c r="R26" s="101" t="s">
        <v>1618</v>
      </c>
      <c r="S26" s="101" t="s">
        <v>1618</v>
      </c>
      <c r="T26" s="101" t="s">
        <v>1618</v>
      </c>
      <c r="U26" s="101" t="s">
        <v>1618</v>
      </c>
      <c r="V26" s="101" t="s">
        <v>1618</v>
      </c>
      <c r="W26" s="100" t="s">
        <v>1618</v>
      </c>
      <c r="X26" s="100" t="s">
        <v>1618</v>
      </c>
      <c r="Y26" s="100" t="s">
        <v>1618</v>
      </c>
      <c r="Z26" s="100" t="s">
        <v>1618</v>
      </c>
      <c r="AA26" s="100" t="s">
        <v>1618</v>
      </c>
      <c r="AB26" s="100" t="s">
        <v>1618</v>
      </c>
      <c r="AC26" s="100" t="s">
        <v>1618</v>
      </c>
      <c r="AD26" s="100" t="s">
        <v>1618</v>
      </c>
      <c r="AE26" s="100" t="s">
        <v>1618</v>
      </c>
      <c r="AF26" s="100" t="s">
        <v>1618</v>
      </c>
      <c r="AG26" s="100" t="s">
        <v>1618</v>
      </c>
      <c r="AH26" s="100" t="s">
        <v>1618</v>
      </c>
      <c r="AI26" s="100" t="s">
        <v>1618</v>
      </c>
      <c r="AJ26" s="100" t="s">
        <v>1618</v>
      </c>
      <c r="AK26" s="100" t="s">
        <v>1618</v>
      </c>
      <c r="AL26" s="100" t="s">
        <v>1618</v>
      </c>
      <c r="AM26" s="100" t="s">
        <v>1618</v>
      </c>
      <c r="AN26" s="100" t="s">
        <v>1618</v>
      </c>
      <c r="AO26" s="100" t="s">
        <v>1618</v>
      </c>
      <c r="AP26" s="100" t="s">
        <v>1618</v>
      </c>
      <c r="AQ26" s="100" t="s">
        <v>1618</v>
      </c>
      <c r="AR26" s="100" t="s">
        <v>1618</v>
      </c>
      <c r="AS26" s="116" t="s">
        <v>1618</v>
      </c>
      <c r="AT26" s="116" t="s">
        <v>1618</v>
      </c>
      <c r="AU26" s="116" t="s">
        <v>1618</v>
      </c>
      <c r="AV26" s="116" t="s">
        <v>1618</v>
      </c>
      <c r="AW26" s="116" t="s">
        <v>1618</v>
      </c>
      <c r="AX26" s="116" t="s">
        <v>1618</v>
      </c>
      <c r="AY26" s="116" t="s">
        <v>1618</v>
      </c>
      <c r="AZ26" s="116" t="s">
        <v>1618</v>
      </c>
      <c r="BA26" s="116" t="s">
        <v>1618</v>
      </c>
      <c r="BB26" s="116" t="s">
        <v>1618</v>
      </c>
      <c r="BC26" s="116" t="s">
        <v>1618</v>
      </c>
      <c r="BD26" s="116" t="s">
        <v>1618</v>
      </c>
      <c r="BE26" s="116" t="s">
        <v>1618</v>
      </c>
      <c r="BF26" s="116" t="s">
        <v>1618</v>
      </c>
      <c r="BG26" s="116" t="s">
        <v>1618</v>
      </c>
    </row>
    <row r="27" spans="1:59">
      <c r="A27" s="99" t="s">
        <v>1618</v>
      </c>
      <c r="B27" s="99" t="s">
        <v>1618</v>
      </c>
      <c r="C27" s="99" t="s">
        <v>1618</v>
      </c>
      <c r="D27" s="99" t="s">
        <v>1618</v>
      </c>
      <c r="E27" s="99" t="s">
        <v>1618</v>
      </c>
      <c r="F27" s="99" t="s">
        <v>1618</v>
      </c>
      <c r="G27" s="99" t="s">
        <v>1618</v>
      </c>
      <c r="H27" s="99" t="s">
        <v>1618</v>
      </c>
      <c r="I27" s="99" t="s">
        <v>1618</v>
      </c>
      <c r="J27" s="101" t="s">
        <v>1618</v>
      </c>
      <c r="K27" s="101" t="s">
        <v>1618</v>
      </c>
      <c r="L27" s="101" t="s">
        <v>1618</v>
      </c>
      <c r="M27" s="101" t="s">
        <v>1618</v>
      </c>
      <c r="N27" s="101" t="s">
        <v>1618</v>
      </c>
      <c r="O27" s="101" t="s">
        <v>1618</v>
      </c>
      <c r="P27" s="101" t="s">
        <v>1618</v>
      </c>
      <c r="Q27" s="101" t="s">
        <v>1618</v>
      </c>
      <c r="R27" s="101" t="s">
        <v>1618</v>
      </c>
      <c r="S27" s="101" t="s">
        <v>1618</v>
      </c>
      <c r="T27" s="101" t="s">
        <v>1618</v>
      </c>
      <c r="U27" s="101" t="s">
        <v>1618</v>
      </c>
      <c r="V27" s="101" t="s">
        <v>1618</v>
      </c>
      <c r="W27" s="100" t="s">
        <v>1618</v>
      </c>
      <c r="X27" s="100" t="s">
        <v>1618</v>
      </c>
      <c r="Y27" s="100" t="s">
        <v>1618</v>
      </c>
      <c r="Z27" s="100" t="s">
        <v>1618</v>
      </c>
      <c r="AA27" s="100" t="s">
        <v>1618</v>
      </c>
      <c r="AB27" s="100" t="s">
        <v>1618</v>
      </c>
      <c r="AC27" s="100" t="s">
        <v>1618</v>
      </c>
      <c r="AD27" s="100" t="s">
        <v>1618</v>
      </c>
      <c r="AE27" s="100" t="s">
        <v>1618</v>
      </c>
      <c r="AF27" s="100" t="s">
        <v>1618</v>
      </c>
      <c r="AG27" s="100" t="s">
        <v>1618</v>
      </c>
      <c r="AH27" s="100" t="s">
        <v>1618</v>
      </c>
      <c r="AI27" s="100" t="s">
        <v>1618</v>
      </c>
      <c r="AJ27" s="100" t="s">
        <v>1618</v>
      </c>
      <c r="AK27" s="100" t="s">
        <v>1618</v>
      </c>
      <c r="AL27" s="100" t="s">
        <v>1618</v>
      </c>
      <c r="AM27" s="100" t="s">
        <v>1618</v>
      </c>
      <c r="AN27" s="100" t="s">
        <v>1618</v>
      </c>
      <c r="AO27" s="100" t="s">
        <v>1618</v>
      </c>
      <c r="AP27" s="100" t="s">
        <v>1618</v>
      </c>
      <c r="AQ27" s="100" t="s">
        <v>1618</v>
      </c>
      <c r="AR27" s="100" t="s">
        <v>1618</v>
      </c>
      <c r="AS27" s="116" t="s">
        <v>1618</v>
      </c>
      <c r="AT27" s="116" t="s">
        <v>1618</v>
      </c>
      <c r="AU27" s="116" t="s">
        <v>1618</v>
      </c>
      <c r="AV27" s="116" t="s">
        <v>1618</v>
      </c>
      <c r="AW27" s="116" t="s">
        <v>1618</v>
      </c>
      <c r="AX27" s="116" t="s">
        <v>1618</v>
      </c>
      <c r="AY27" s="116" t="s">
        <v>1618</v>
      </c>
      <c r="AZ27" s="116" t="s">
        <v>1618</v>
      </c>
      <c r="BA27" s="116" t="s">
        <v>1618</v>
      </c>
      <c r="BB27" s="116" t="s">
        <v>1618</v>
      </c>
      <c r="BC27" s="116" t="s">
        <v>1618</v>
      </c>
      <c r="BD27" s="116" t="s">
        <v>1618</v>
      </c>
      <c r="BE27" s="116" t="s">
        <v>1618</v>
      </c>
      <c r="BF27" s="116" t="s">
        <v>1618</v>
      </c>
      <c r="BG27" s="116" t="s">
        <v>1618</v>
      </c>
    </row>
    <row r="28" spans="1:59">
      <c r="A28" s="99" t="s">
        <v>1618</v>
      </c>
      <c r="B28" s="99" t="s">
        <v>1618</v>
      </c>
      <c r="C28" s="99" t="s">
        <v>1618</v>
      </c>
      <c r="D28" s="99" t="s">
        <v>1618</v>
      </c>
      <c r="E28" s="99" t="s">
        <v>1618</v>
      </c>
      <c r="F28" s="99" t="s">
        <v>1618</v>
      </c>
      <c r="G28" s="99" t="s">
        <v>1618</v>
      </c>
      <c r="H28" s="99" t="s">
        <v>1618</v>
      </c>
      <c r="I28" s="99" t="s">
        <v>1618</v>
      </c>
      <c r="J28" s="101" t="s">
        <v>1618</v>
      </c>
      <c r="K28" s="101" t="s">
        <v>1618</v>
      </c>
      <c r="L28" s="101" t="s">
        <v>1618</v>
      </c>
      <c r="M28" s="101" t="s">
        <v>1618</v>
      </c>
      <c r="N28" s="101" t="s">
        <v>1618</v>
      </c>
      <c r="O28" s="101" t="s">
        <v>1618</v>
      </c>
      <c r="P28" s="101" t="s">
        <v>1618</v>
      </c>
      <c r="Q28" s="101" t="s">
        <v>1618</v>
      </c>
      <c r="R28" s="101" t="s">
        <v>1618</v>
      </c>
      <c r="S28" s="101" t="s">
        <v>1618</v>
      </c>
      <c r="T28" s="101" t="s">
        <v>1618</v>
      </c>
      <c r="U28" s="101" t="s">
        <v>1618</v>
      </c>
      <c r="V28" s="101" t="s">
        <v>1618</v>
      </c>
      <c r="W28" s="100" t="s">
        <v>1618</v>
      </c>
      <c r="X28" s="100" t="s">
        <v>1618</v>
      </c>
      <c r="Y28" s="100" t="s">
        <v>1618</v>
      </c>
      <c r="Z28" s="100" t="s">
        <v>1618</v>
      </c>
      <c r="AA28" s="100" t="s">
        <v>1618</v>
      </c>
      <c r="AB28" s="100" t="s">
        <v>1618</v>
      </c>
      <c r="AC28" s="100" t="s">
        <v>1618</v>
      </c>
      <c r="AD28" s="100" t="s">
        <v>1618</v>
      </c>
      <c r="AE28" s="100" t="s">
        <v>1618</v>
      </c>
      <c r="AF28" s="100" t="s">
        <v>1618</v>
      </c>
      <c r="AG28" s="100" t="s">
        <v>1618</v>
      </c>
      <c r="AH28" s="100" t="s">
        <v>1618</v>
      </c>
      <c r="AI28" s="100" t="s">
        <v>1618</v>
      </c>
      <c r="AJ28" s="100" t="s">
        <v>1618</v>
      </c>
      <c r="AK28" s="100" t="s">
        <v>1618</v>
      </c>
      <c r="AL28" s="100" t="s">
        <v>1618</v>
      </c>
      <c r="AM28" s="100" t="s">
        <v>1618</v>
      </c>
      <c r="AN28" s="100" t="s">
        <v>1618</v>
      </c>
      <c r="AO28" s="100" t="s">
        <v>1618</v>
      </c>
      <c r="AP28" s="100" t="s">
        <v>1618</v>
      </c>
      <c r="AQ28" s="100" t="s">
        <v>1618</v>
      </c>
      <c r="AR28" s="100" t="s">
        <v>1618</v>
      </c>
      <c r="AS28" s="99" t="s">
        <v>1618</v>
      </c>
      <c r="AT28" s="99" t="s">
        <v>1618</v>
      </c>
      <c r="AU28" s="117" t="s">
        <v>1618</v>
      </c>
      <c r="AV28" s="117" t="s">
        <v>1618</v>
      </c>
      <c r="AW28" s="117" t="s">
        <v>1618</v>
      </c>
      <c r="AX28" s="117" t="s">
        <v>1618</v>
      </c>
      <c r="AY28" s="117" t="s">
        <v>1618</v>
      </c>
      <c r="AZ28" s="117" t="s">
        <v>1618</v>
      </c>
      <c r="BA28" s="117" t="s">
        <v>1618</v>
      </c>
      <c r="BB28" s="117" t="s">
        <v>1618</v>
      </c>
      <c r="BC28" s="117" t="s">
        <v>1618</v>
      </c>
      <c r="BD28" s="117" t="s">
        <v>1618</v>
      </c>
      <c r="BE28" s="117" t="s">
        <v>1618</v>
      </c>
      <c r="BF28" s="117" t="s">
        <v>1618</v>
      </c>
      <c r="BG28" s="117" t="s">
        <v>1618</v>
      </c>
    </row>
    <row r="29" spans="1:59">
      <c r="A29" s="99" t="s">
        <v>1618</v>
      </c>
      <c r="B29" s="99" t="s">
        <v>1618</v>
      </c>
      <c r="C29" s="99" t="s">
        <v>1618</v>
      </c>
      <c r="D29" s="99" t="s">
        <v>1618</v>
      </c>
      <c r="E29" s="99" t="s">
        <v>1618</v>
      </c>
      <c r="F29" s="99" t="s">
        <v>1618</v>
      </c>
      <c r="G29" s="99" t="s">
        <v>1618</v>
      </c>
      <c r="H29" s="99" t="s">
        <v>1618</v>
      </c>
      <c r="I29" s="99" t="s">
        <v>1618</v>
      </c>
      <c r="J29" s="101" t="s">
        <v>1618</v>
      </c>
      <c r="K29" s="101" t="s">
        <v>1618</v>
      </c>
      <c r="L29" s="101" t="s">
        <v>1618</v>
      </c>
      <c r="M29" s="101" t="s">
        <v>1618</v>
      </c>
      <c r="N29" s="101" t="s">
        <v>1618</v>
      </c>
      <c r="O29" s="101" t="s">
        <v>1618</v>
      </c>
      <c r="P29" s="101" t="s">
        <v>1618</v>
      </c>
      <c r="Q29" s="101" t="s">
        <v>1618</v>
      </c>
      <c r="R29" s="101" t="s">
        <v>1618</v>
      </c>
      <c r="S29" s="101" t="s">
        <v>1618</v>
      </c>
      <c r="T29" s="101" t="s">
        <v>1618</v>
      </c>
      <c r="U29" s="101" t="s">
        <v>1618</v>
      </c>
      <c r="V29" s="101" t="s">
        <v>1618</v>
      </c>
      <c r="W29" s="100" t="s">
        <v>1618</v>
      </c>
      <c r="X29" s="100" t="s">
        <v>1618</v>
      </c>
      <c r="Y29" s="100" t="s">
        <v>1618</v>
      </c>
      <c r="Z29" s="100" t="s">
        <v>1618</v>
      </c>
      <c r="AA29" s="100" t="s">
        <v>1618</v>
      </c>
      <c r="AB29" s="100" t="s">
        <v>1618</v>
      </c>
      <c r="AC29" s="100" t="s">
        <v>1618</v>
      </c>
      <c r="AD29" s="100" t="s">
        <v>1618</v>
      </c>
      <c r="AE29" s="100" t="s">
        <v>1618</v>
      </c>
      <c r="AF29" s="100" t="s">
        <v>1618</v>
      </c>
      <c r="AG29" s="100" t="s">
        <v>1618</v>
      </c>
      <c r="AH29" s="100" t="s">
        <v>1618</v>
      </c>
      <c r="AI29" s="100" t="s">
        <v>1618</v>
      </c>
      <c r="AJ29" s="100" t="s">
        <v>1618</v>
      </c>
      <c r="AK29" s="100" t="s">
        <v>1618</v>
      </c>
      <c r="AL29" s="100" t="s">
        <v>1618</v>
      </c>
      <c r="AM29" s="100" t="s">
        <v>1618</v>
      </c>
      <c r="AN29" s="100" t="s">
        <v>1618</v>
      </c>
      <c r="AO29" s="100" t="s">
        <v>1618</v>
      </c>
      <c r="AP29" s="100" t="s">
        <v>1618</v>
      </c>
      <c r="AQ29" s="100" t="s">
        <v>1618</v>
      </c>
      <c r="AR29" s="100" t="s">
        <v>1618</v>
      </c>
      <c r="AS29" s="99" t="s">
        <v>1618</v>
      </c>
      <c r="AT29" s="99" t="s">
        <v>1618</v>
      </c>
      <c r="AU29" s="117" t="s">
        <v>1618</v>
      </c>
      <c r="AV29" s="117" t="s">
        <v>1618</v>
      </c>
      <c r="AW29" s="117" t="s">
        <v>1618</v>
      </c>
      <c r="AX29" s="117" t="s">
        <v>1618</v>
      </c>
      <c r="AY29" s="117" t="s">
        <v>1618</v>
      </c>
      <c r="AZ29" s="117" t="s">
        <v>1618</v>
      </c>
      <c r="BA29" s="117" t="s">
        <v>1618</v>
      </c>
      <c r="BB29" s="117" t="s">
        <v>1618</v>
      </c>
      <c r="BC29" s="117" t="s">
        <v>1618</v>
      </c>
      <c r="BD29" s="117" t="s">
        <v>1618</v>
      </c>
      <c r="BE29" s="117" t="s">
        <v>1618</v>
      </c>
      <c r="BF29" s="117" t="s">
        <v>1618</v>
      </c>
      <c r="BG29" s="117" t="s">
        <v>1618</v>
      </c>
    </row>
    <row r="30" spans="1:59">
      <c r="A30" s="99" t="s">
        <v>1618</v>
      </c>
      <c r="B30" s="99" t="s">
        <v>1618</v>
      </c>
      <c r="C30" s="99" t="s">
        <v>1618</v>
      </c>
      <c r="D30" s="99" t="s">
        <v>1618</v>
      </c>
      <c r="E30" s="99" t="s">
        <v>1618</v>
      </c>
      <c r="F30" s="99" t="s">
        <v>1618</v>
      </c>
      <c r="G30" s="99" t="s">
        <v>1618</v>
      </c>
      <c r="H30" s="99" t="s">
        <v>1618</v>
      </c>
      <c r="I30" s="99" t="s">
        <v>1618</v>
      </c>
      <c r="J30" s="101" t="s">
        <v>1618</v>
      </c>
      <c r="K30" s="101" t="s">
        <v>1618</v>
      </c>
      <c r="L30" s="101" t="s">
        <v>1618</v>
      </c>
      <c r="M30" s="101" t="s">
        <v>1618</v>
      </c>
      <c r="N30" s="101" t="s">
        <v>1618</v>
      </c>
      <c r="O30" s="101" t="s">
        <v>1618</v>
      </c>
      <c r="P30" s="101" t="s">
        <v>1618</v>
      </c>
      <c r="Q30" s="101" t="s">
        <v>1618</v>
      </c>
      <c r="R30" s="101" t="s">
        <v>1618</v>
      </c>
      <c r="S30" s="101" t="s">
        <v>1618</v>
      </c>
      <c r="T30" s="101" t="s">
        <v>1618</v>
      </c>
      <c r="U30" s="101" t="s">
        <v>1618</v>
      </c>
      <c r="V30" s="101" t="s">
        <v>1618</v>
      </c>
      <c r="W30" s="100" t="s">
        <v>1618</v>
      </c>
      <c r="X30" s="100" t="s">
        <v>1618</v>
      </c>
      <c r="Y30" s="100" t="s">
        <v>1618</v>
      </c>
      <c r="Z30" s="100" t="s">
        <v>1618</v>
      </c>
      <c r="AA30" s="100" t="s">
        <v>1618</v>
      </c>
      <c r="AB30" s="100" t="s">
        <v>1618</v>
      </c>
      <c r="AC30" s="100" t="s">
        <v>1618</v>
      </c>
      <c r="AD30" s="100" t="s">
        <v>1618</v>
      </c>
      <c r="AE30" s="100" t="s">
        <v>1618</v>
      </c>
      <c r="AF30" s="100" t="s">
        <v>1618</v>
      </c>
      <c r="AG30" s="100" t="s">
        <v>1618</v>
      </c>
      <c r="AH30" s="100" t="s">
        <v>1618</v>
      </c>
      <c r="AI30" s="100" t="s">
        <v>1618</v>
      </c>
      <c r="AJ30" s="100" t="s">
        <v>1618</v>
      </c>
      <c r="AK30" s="100" t="s">
        <v>1618</v>
      </c>
      <c r="AL30" s="100" t="s">
        <v>1618</v>
      </c>
      <c r="AM30" s="100" t="s">
        <v>1618</v>
      </c>
      <c r="AN30" s="100" t="s">
        <v>1618</v>
      </c>
      <c r="AO30" s="100" t="s">
        <v>1618</v>
      </c>
      <c r="AP30" s="100" t="s">
        <v>1618</v>
      </c>
      <c r="AQ30" s="100" t="s">
        <v>1618</v>
      </c>
      <c r="AR30" s="100" t="s">
        <v>1618</v>
      </c>
      <c r="AS30" s="99" t="s">
        <v>1618</v>
      </c>
      <c r="AT30" s="99" t="s">
        <v>1618</v>
      </c>
      <c r="AU30" s="117" t="s">
        <v>1618</v>
      </c>
      <c r="AV30" s="117" t="s">
        <v>1618</v>
      </c>
      <c r="AW30" s="117" t="s">
        <v>1618</v>
      </c>
      <c r="AX30" s="117" t="s">
        <v>1618</v>
      </c>
      <c r="AY30" s="117" t="s">
        <v>1618</v>
      </c>
      <c r="AZ30" s="117" t="s">
        <v>1618</v>
      </c>
      <c r="BA30" s="117" t="s">
        <v>1618</v>
      </c>
      <c r="BB30" s="117" t="s">
        <v>1618</v>
      </c>
      <c r="BC30" s="117" t="s">
        <v>1618</v>
      </c>
      <c r="BD30" s="117" t="s">
        <v>1618</v>
      </c>
      <c r="BE30" s="117" t="s">
        <v>1618</v>
      </c>
      <c r="BF30" s="117" t="s">
        <v>1618</v>
      </c>
      <c r="BG30" s="117" t="s">
        <v>1618</v>
      </c>
    </row>
    <row r="31" spans="1:59">
      <c r="A31" s="99" t="s">
        <v>1618</v>
      </c>
      <c r="B31" s="99" t="s">
        <v>1618</v>
      </c>
      <c r="C31" s="99" t="s">
        <v>1618</v>
      </c>
      <c r="D31" s="99" t="s">
        <v>1618</v>
      </c>
      <c r="E31" s="99" t="s">
        <v>1618</v>
      </c>
      <c r="F31" s="99" t="s">
        <v>1618</v>
      </c>
      <c r="G31" s="99" t="s">
        <v>1618</v>
      </c>
      <c r="H31" s="99" t="s">
        <v>1618</v>
      </c>
      <c r="I31" s="99" t="s">
        <v>1618</v>
      </c>
      <c r="J31" s="101" t="s">
        <v>1618</v>
      </c>
      <c r="K31" s="101" t="s">
        <v>1618</v>
      </c>
      <c r="L31" s="101" t="s">
        <v>1618</v>
      </c>
      <c r="M31" s="101" t="s">
        <v>1618</v>
      </c>
      <c r="N31" s="101" t="s">
        <v>1618</v>
      </c>
      <c r="O31" s="101" t="s">
        <v>1618</v>
      </c>
      <c r="P31" s="101" t="s">
        <v>1618</v>
      </c>
      <c r="Q31" s="101" t="s">
        <v>1618</v>
      </c>
      <c r="R31" s="101" t="s">
        <v>1618</v>
      </c>
      <c r="S31" s="101" t="s">
        <v>1618</v>
      </c>
      <c r="T31" s="101" t="s">
        <v>1618</v>
      </c>
      <c r="U31" s="101" t="s">
        <v>1618</v>
      </c>
      <c r="V31" s="101" t="s">
        <v>1618</v>
      </c>
      <c r="W31" s="100" t="s">
        <v>1618</v>
      </c>
      <c r="X31" s="100" t="s">
        <v>1618</v>
      </c>
      <c r="Y31" s="100" t="s">
        <v>1618</v>
      </c>
      <c r="Z31" s="100" t="s">
        <v>1618</v>
      </c>
      <c r="AA31" s="100" t="s">
        <v>1618</v>
      </c>
      <c r="AB31" s="100" t="s">
        <v>1618</v>
      </c>
      <c r="AC31" s="100" t="s">
        <v>1618</v>
      </c>
      <c r="AD31" s="100" t="s">
        <v>1618</v>
      </c>
      <c r="AE31" s="100" t="s">
        <v>1618</v>
      </c>
      <c r="AF31" s="100" t="s">
        <v>1618</v>
      </c>
      <c r="AG31" s="100" t="s">
        <v>1618</v>
      </c>
      <c r="AH31" s="100" t="s">
        <v>1618</v>
      </c>
      <c r="AI31" s="100" t="s">
        <v>1618</v>
      </c>
      <c r="AJ31" s="100" t="s">
        <v>1618</v>
      </c>
      <c r="AK31" s="100" t="s">
        <v>1618</v>
      </c>
      <c r="AL31" s="100" t="s">
        <v>1618</v>
      </c>
      <c r="AM31" s="100" t="s">
        <v>1618</v>
      </c>
      <c r="AN31" s="100" t="s">
        <v>1618</v>
      </c>
      <c r="AO31" s="100" t="s">
        <v>1618</v>
      </c>
      <c r="AP31" s="100" t="s">
        <v>1618</v>
      </c>
      <c r="AQ31" s="100" t="s">
        <v>1618</v>
      </c>
      <c r="AR31" s="100" t="s">
        <v>1618</v>
      </c>
      <c r="AS31" s="99" t="s">
        <v>1618</v>
      </c>
      <c r="AT31" s="99" t="s">
        <v>1618</v>
      </c>
      <c r="AU31" s="117" t="s">
        <v>1618</v>
      </c>
      <c r="AV31" s="117" t="s">
        <v>1618</v>
      </c>
      <c r="AW31" s="117" t="s">
        <v>1618</v>
      </c>
      <c r="AX31" s="117" t="s">
        <v>1618</v>
      </c>
      <c r="AY31" s="117" t="s">
        <v>1618</v>
      </c>
      <c r="AZ31" s="117" t="s">
        <v>1618</v>
      </c>
      <c r="BA31" s="117" t="s">
        <v>1618</v>
      </c>
      <c r="BB31" s="117" t="s">
        <v>1618</v>
      </c>
      <c r="BC31" s="117" t="s">
        <v>1618</v>
      </c>
      <c r="BD31" s="117" t="s">
        <v>1618</v>
      </c>
      <c r="BE31" s="117" t="s">
        <v>1618</v>
      </c>
      <c r="BF31" s="117" t="s">
        <v>1618</v>
      </c>
      <c r="BG31" s="117" t="s">
        <v>1618</v>
      </c>
    </row>
    <row r="32" spans="1:59">
      <c r="A32" s="99" t="s">
        <v>1618</v>
      </c>
      <c r="B32" s="99" t="s">
        <v>1618</v>
      </c>
      <c r="C32" s="99" t="s">
        <v>1618</v>
      </c>
      <c r="D32" s="99" t="s">
        <v>1618</v>
      </c>
      <c r="E32" s="99" t="s">
        <v>1618</v>
      </c>
      <c r="F32" s="99" t="s">
        <v>1618</v>
      </c>
      <c r="G32" s="99" t="s">
        <v>1618</v>
      </c>
      <c r="H32" s="99" t="s">
        <v>1618</v>
      </c>
      <c r="I32" s="99" t="s">
        <v>1618</v>
      </c>
      <c r="J32" s="101" t="s">
        <v>1618</v>
      </c>
      <c r="K32" s="101" t="s">
        <v>1618</v>
      </c>
      <c r="L32" s="101" t="s">
        <v>1618</v>
      </c>
      <c r="M32" s="101" t="s">
        <v>1618</v>
      </c>
      <c r="N32" s="101" t="s">
        <v>1618</v>
      </c>
      <c r="O32" s="101" t="s">
        <v>1618</v>
      </c>
      <c r="P32" s="101" t="s">
        <v>1618</v>
      </c>
      <c r="Q32" s="101" t="s">
        <v>1618</v>
      </c>
      <c r="R32" s="101" t="s">
        <v>1618</v>
      </c>
      <c r="S32" s="101" t="s">
        <v>1618</v>
      </c>
      <c r="T32" s="101" t="s">
        <v>1618</v>
      </c>
      <c r="U32" s="101" t="s">
        <v>1618</v>
      </c>
      <c r="V32" s="101" t="s">
        <v>1618</v>
      </c>
      <c r="W32" s="100" t="s">
        <v>1618</v>
      </c>
      <c r="X32" s="100" t="s">
        <v>1618</v>
      </c>
      <c r="Y32" s="100" t="s">
        <v>1618</v>
      </c>
      <c r="Z32" s="100" t="s">
        <v>1618</v>
      </c>
      <c r="AA32" s="100" t="s">
        <v>1618</v>
      </c>
      <c r="AB32" s="100" t="s">
        <v>1618</v>
      </c>
      <c r="AC32" s="100" t="s">
        <v>1618</v>
      </c>
      <c r="AD32" s="100" t="s">
        <v>1618</v>
      </c>
      <c r="AE32" s="100" t="s">
        <v>1618</v>
      </c>
      <c r="AF32" s="100" t="s">
        <v>1618</v>
      </c>
      <c r="AG32" s="100" t="s">
        <v>1618</v>
      </c>
      <c r="AH32" s="100" t="s">
        <v>1618</v>
      </c>
      <c r="AI32" s="100" t="s">
        <v>1618</v>
      </c>
      <c r="AJ32" s="100" t="s">
        <v>1618</v>
      </c>
      <c r="AK32" s="100" t="s">
        <v>1618</v>
      </c>
      <c r="AL32" s="100" t="s">
        <v>1618</v>
      </c>
      <c r="AM32" s="100" t="s">
        <v>1618</v>
      </c>
      <c r="AN32" s="100" t="s">
        <v>1618</v>
      </c>
      <c r="AO32" s="100" t="s">
        <v>1618</v>
      </c>
      <c r="AP32" s="100" t="s">
        <v>1618</v>
      </c>
      <c r="AQ32" s="100" t="s">
        <v>1618</v>
      </c>
      <c r="AR32" s="100" t="s">
        <v>1618</v>
      </c>
      <c r="AS32" s="99" t="s">
        <v>1618</v>
      </c>
      <c r="AT32" s="99" t="s">
        <v>1618</v>
      </c>
      <c r="AU32" s="117" t="s">
        <v>1618</v>
      </c>
      <c r="AV32" s="117" t="s">
        <v>1618</v>
      </c>
      <c r="AW32" s="117" t="s">
        <v>1618</v>
      </c>
      <c r="AX32" s="117" t="s">
        <v>1618</v>
      </c>
      <c r="AY32" s="117" t="s">
        <v>1618</v>
      </c>
      <c r="AZ32" s="117" t="s">
        <v>1618</v>
      </c>
      <c r="BA32" s="117" t="s">
        <v>1618</v>
      </c>
      <c r="BB32" s="117" t="s">
        <v>1618</v>
      </c>
      <c r="BC32" s="117" t="s">
        <v>1618</v>
      </c>
      <c r="BD32" s="117" t="s">
        <v>1618</v>
      </c>
      <c r="BE32" s="117" t="s">
        <v>1618</v>
      </c>
      <c r="BF32" s="117" t="s">
        <v>1618</v>
      </c>
      <c r="BG32" s="117" t="s">
        <v>1618</v>
      </c>
    </row>
    <row r="33" spans="1:59">
      <c r="A33" s="109" t="s">
        <v>1618</v>
      </c>
      <c r="B33" s="109" t="s">
        <v>1618</v>
      </c>
      <c r="C33" s="109" t="s">
        <v>1618</v>
      </c>
      <c r="D33" s="109" t="s">
        <v>1618</v>
      </c>
      <c r="E33" s="109" t="s">
        <v>1618</v>
      </c>
      <c r="F33" s="109" t="s">
        <v>1618</v>
      </c>
      <c r="G33" s="109" t="s">
        <v>1618</v>
      </c>
      <c r="H33" s="109" t="s">
        <v>1618</v>
      </c>
      <c r="I33" s="109" t="s">
        <v>1618</v>
      </c>
      <c r="J33" s="109" t="s">
        <v>1618</v>
      </c>
      <c r="K33" s="109" t="s">
        <v>1618</v>
      </c>
      <c r="L33" s="109" t="s">
        <v>1618</v>
      </c>
      <c r="M33" s="109" t="s">
        <v>1618</v>
      </c>
      <c r="N33" s="109" t="s">
        <v>1618</v>
      </c>
      <c r="O33" s="109" t="s">
        <v>1618</v>
      </c>
      <c r="P33" s="109" t="s">
        <v>1618</v>
      </c>
      <c r="Q33" s="109" t="s">
        <v>1618</v>
      </c>
      <c r="R33" s="99" t="s">
        <v>1618</v>
      </c>
      <c r="S33" s="99" t="s">
        <v>1618</v>
      </c>
      <c r="T33" s="99" t="s">
        <v>1618</v>
      </c>
      <c r="U33" s="99" t="s">
        <v>1618</v>
      </c>
      <c r="V33" s="99" t="s">
        <v>1618</v>
      </c>
      <c r="W33" s="100" t="s">
        <v>1618</v>
      </c>
      <c r="X33" s="100" t="s">
        <v>1618</v>
      </c>
      <c r="Y33" s="100" t="s">
        <v>1618</v>
      </c>
      <c r="Z33" s="100" t="s">
        <v>1618</v>
      </c>
      <c r="AA33" s="100" t="s">
        <v>1618</v>
      </c>
      <c r="AB33" s="100" t="s">
        <v>1618</v>
      </c>
      <c r="AC33" s="100" t="s">
        <v>1618</v>
      </c>
      <c r="AD33" s="100" t="s">
        <v>1618</v>
      </c>
      <c r="AE33" s="100" t="s">
        <v>1618</v>
      </c>
      <c r="AF33" s="100" t="s">
        <v>1618</v>
      </c>
      <c r="AG33" s="100" t="s">
        <v>1618</v>
      </c>
      <c r="AH33" s="100" t="s">
        <v>1618</v>
      </c>
      <c r="AI33" s="100" t="s">
        <v>1618</v>
      </c>
      <c r="AJ33" s="100" t="s">
        <v>1618</v>
      </c>
      <c r="AK33" s="100" t="s">
        <v>1618</v>
      </c>
      <c r="AL33" s="100" t="s">
        <v>1618</v>
      </c>
      <c r="AM33" s="100" t="s">
        <v>1618</v>
      </c>
      <c r="AN33" s="100" t="s">
        <v>1618</v>
      </c>
      <c r="AO33" s="100" t="s">
        <v>1618</v>
      </c>
      <c r="AP33" s="100" t="s">
        <v>1618</v>
      </c>
      <c r="AQ33" s="100" t="s">
        <v>1618</v>
      </c>
      <c r="AR33" s="100" t="s">
        <v>1618</v>
      </c>
      <c r="AS33" s="99" t="s">
        <v>1618</v>
      </c>
      <c r="AT33" s="99" t="s">
        <v>1618</v>
      </c>
      <c r="AU33" s="117" t="s">
        <v>1618</v>
      </c>
      <c r="AV33" s="117" t="s">
        <v>1618</v>
      </c>
      <c r="AW33" s="117" t="s">
        <v>1618</v>
      </c>
      <c r="AX33" s="117" t="s">
        <v>1618</v>
      </c>
      <c r="AY33" s="117" t="s">
        <v>1618</v>
      </c>
      <c r="AZ33" s="117" t="s">
        <v>1618</v>
      </c>
      <c r="BA33" s="117" t="s">
        <v>1618</v>
      </c>
      <c r="BB33" s="117" t="s">
        <v>1618</v>
      </c>
      <c r="BC33" s="117" t="s">
        <v>1618</v>
      </c>
      <c r="BD33" s="117" t="s">
        <v>1618</v>
      </c>
      <c r="BE33" s="117" t="s">
        <v>1618</v>
      </c>
      <c r="BF33" s="117" t="s">
        <v>1618</v>
      </c>
      <c r="BG33" s="117" t="s">
        <v>1618</v>
      </c>
    </row>
    <row r="34" spans="1:59">
      <c r="A34" s="109" t="s">
        <v>1618</v>
      </c>
      <c r="B34" s="109" t="s">
        <v>1618</v>
      </c>
      <c r="C34" s="109" t="s">
        <v>1618</v>
      </c>
      <c r="D34" s="109" t="s">
        <v>1618</v>
      </c>
      <c r="E34" s="109" t="s">
        <v>1618</v>
      </c>
      <c r="F34" s="109" t="s">
        <v>1618</v>
      </c>
      <c r="G34" s="109" t="s">
        <v>1618</v>
      </c>
      <c r="H34" s="109" t="s">
        <v>1618</v>
      </c>
      <c r="I34" s="109" t="s">
        <v>1618</v>
      </c>
      <c r="J34" s="109" t="s">
        <v>1618</v>
      </c>
      <c r="K34" s="109" t="s">
        <v>1618</v>
      </c>
      <c r="L34" s="109" t="s">
        <v>1618</v>
      </c>
      <c r="M34" s="109" t="s">
        <v>1618</v>
      </c>
      <c r="N34" s="109" t="s">
        <v>1618</v>
      </c>
      <c r="O34" s="109" t="s">
        <v>1618</v>
      </c>
      <c r="P34" s="109" t="s">
        <v>1618</v>
      </c>
      <c r="Q34" s="109" t="s">
        <v>1618</v>
      </c>
      <c r="R34" s="99" t="s">
        <v>1618</v>
      </c>
      <c r="S34" s="99" t="s">
        <v>1618</v>
      </c>
      <c r="T34" s="99" t="s">
        <v>1618</v>
      </c>
      <c r="U34" s="99" t="s">
        <v>1618</v>
      </c>
      <c r="V34" s="99" t="s">
        <v>1618</v>
      </c>
      <c r="W34" s="100" t="s">
        <v>1618</v>
      </c>
      <c r="X34" s="100" t="s">
        <v>1618</v>
      </c>
      <c r="Y34" s="100" t="s">
        <v>1618</v>
      </c>
      <c r="Z34" s="100" t="s">
        <v>1618</v>
      </c>
      <c r="AA34" s="100" t="s">
        <v>1618</v>
      </c>
      <c r="AB34" s="100" t="s">
        <v>1618</v>
      </c>
      <c r="AC34" s="100" t="s">
        <v>1618</v>
      </c>
      <c r="AD34" s="100" t="s">
        <v>1618</v>
      </c>
      <c r="AE34" s="100" t="s">
        <v>1618</v>
      </c>
      <c r="AF34" s="100" t="s">
        <v>1618</v>
      </c>
      <c r="AG34" s="100" t="s">
        <v>1618</v>
      </c>
      <c r="AH34" s="100" t="s">
        <v>1618</v>
      </c>
      <c r="AI34" s="100" t="s">
        <v>1618</v>
      </c>
      <c r="AJ34" s="100" t="s">
        <v>1618</v>
      </c>
      <c r="AK34" s="100" t="s">
        <v>1618</v>
      </c>
      <c r="AL34" s="100" t="s">
        <v>1618</v>
      </c>
      <c r="AM34" s="100" t="s">
        <v>1618</v>
      </c>
      <c r="AN34" s="100" t="s">
        <v>1618</v>
      </c>
      <c r="AO34" s="100" t="s">
        <v>1618</v>
      </c>
      <c r="AP34" s="100" t="s">
        <v>1618</v>
      </c>
      <c r="AQ34" s="100" t="s">
        <v>1618</v>
      </c>
      <c r="AR34" s="100" t="s">
        <v>1618</v>
      </c>
      <c r="AS34" s="99" t="s">
        <v>1618</v>
      </c>
      <c r="AT34" s="99" t="s">
        <v>1618</v>
      </c>
      <c r="AU34" s="117" t="s">
        <v>1618</v>
      </c>
      <c r="AV34" s="117" t="s">
        <v>1618</v>
      </c>
      <c r="AW34" s="117" t="s">
        <v>1618</v>
      </c>
      <c r="AX34" s="117" t="s">
        <v>1618</v>
      </c>
      <c r="AY34" s="117" t="s">
        <v>1618</v>
      </c>
      <c r="AZ34" s="117" t="s">
        <v>1618</v>
      </c>
      <c r="BA34" s="117" t="s">
        <v>1618</v>
      </c>
      <c r="BB34" s="117" t="s">
        <v>1618</v>
      </c>
      <c r="BC34" s="117" t="s">
        <v>1618</v>
      </c>
      <c r="BD34" s="117" t="s">
        <v>1618</v>
      </c>
      <c r="BE34" s="117" t="s">
        <v>1618</v>
      </c>
      <c r="BF34" s="117" t="s">
        <v>1618</v>
      </c>
      <c r="BG34" s="117" t="s">
        <v>1618</v>
      </c>
    </row>
    <row r="35" spans="1:59">
      <c r="A35" s="109" t="s">
        <v>1618</v>
      </c>
      <c r="B35" s="109" t="s">
        <v>1618</v>
      </c>
      <c r="C35" s="109" t="s">
        <v>1618</v>
      </c>
      <c r="D35" s="109" t="s">
        <v>1618</v>
      </c>
      <c r="E35" s="109" t="s">
        <v>1618</v>
      </c>
      <c r="F35" s="109" t="s">
        <v>1618</v>
      </c>
      <c r="G35" s="109" t="s">
        <v>1618</v>
      </c>
      <c r="H35" s="109" t="s">
        <v>1618</v>
      </c>
      <c r="I35" s="109" t="s">
        <v>1618</v>
      </c>
      <c r="J35" s="109" t="s">
        <v>1618</v>
      </c>
      <c r="K35" s="109" t="s">
        <v>1618</v>
      </c>
      <c r="L35" s="109" t="s">
        <v>1618</v>
      </c>
      <c r="M35" s="109" t="s">
        <v>1618</v>
      </c>
      <c r="N35" s="109" t="s">
        <v>1618</v>
      </c>
      <c r="O35" s="109" t="s">
        <v>1618</v>
      </c>
      <c r="P35" s="109" t="s">
        <v>1618</v>
      </c>
      <c r="Q35" s="109" t="s">
        <v>1618</v>
      </c>
      <c r="R35" s="99" t="s">
        <v>1618</v>
      </c>
      <c r="S35" s="99" t="s">
        <v>1618</v>
      </c>
      <c r="T35" s="99" t="s">
        <v>1618</v>
      </c>
      <c r="U35" s="99" t="s">
        <v>1618</v>
      </c>
      <c r="V35" s="99" t="s">
        <v>1618</v>
      </c>
      <c r="W35" s="100" t="s">
        <v>1618</v>
      </c>
      <c r="X35" s="100" t="s">
        <v>1618</v>
      </c>
      <c r="Y35" s="100" t="s">
        <v>1618</v>
      </c>
      <c r="Z35" s="100" t="s">
        <v>1618</v>
      </c>
      <c r="AA35" s="100" t="s">
        <v>1618</v>
      </c>
      <c r="AB35" s="100" t="s">
        <v>1618</v>
      </c>
      <c r="AC35" s="100" t="s">
        <v>1618</v>
      </c>
      <c r="AD35" s="100" t="s">
        <v>1618</v>
      </c>
      <c r="AE35" s="100" t="s">
        <v>1618</v>
      </c>
      <c r="AF35" s="100" t="s">
        <v>1618</v>
      </c>
      <c r="AG35" s="100" t="s">
        <v>1618</v>
      </c>
      <c r="AH35" s="100" t="s">
        <v>1618</v>
      </c>
      <c r="AI35" s="100" t="s">
        <v>1618</v>
      </c>
      <c r="AJ35" s="100" t="s">
        <v>1618</v>
      </c>
      <c r="AK35" s="100" t="s">
        <v>1618</v>
      </c>
      <c r="AL35" s="100" t="s">
        <v>1618</v>
      </c>
      <c r="AM35" s="100" t="s">
        <v>1618</v>
      </c>
      <c r="AN35" s="100" t="s">
        <v>1618</v>
      </c>
      <c r="AO35" s="100" t="s">
        <v>1618</v>
      </c>
      <c r="AP35" s="100" t="s">
        <v>1618</v>
      </c>
      <c r="AQ35" s="100" t="s">
        <v>1618</v>
      </c>
      <c r="AR35" s="100" t="s">
        <v>1618</v>
      </c>
      <c r="AS35" s="99" t="s">
        <v>1618</v>
      </c>
      <c r="AT35" s="99" t="s">
        <v>1618</v>
      </c>
      <c r="AU35" s="117" t="s">
        <v>1618</v>
      </c>
      <c r="AV35" s="117" t="s">
        <v>1618</v>
      </c>
      <c r="AW35" s="117" t="s">
        <v>1618</v>
      </c>
      <c r="AX35" s="117" t="s">
        <v>1618</v>
      </c>
      <c r="AY35" s="117" t="s">
        <v>1618</v>
      </c>
      <c r="AZ35" s="117" t="s">
        <v>1618</v>
      </c>
      <c r="BA35" s="117" t="s">
        <v>1618</v>
      </c>
      <c r="BB35" s="117" t="s">
        <v>1618</v>
      </c>
      <c r="BC35" s="117" t="s">
        <v>1618</v>
      </c>
      <c r="BD35" s="117" t="s">
        <v>1618</v>
      </c>
      <c r="BE35" s="117" t="s">
        <v>1618</v>
      </c>
      <c r="BF35" s="117" t="s">
        <v>1618</v>
      </c>
      <c r="BG35" s="117" t="s">
        <v>1618</v>
      </c>
    </row>
    <row r="36" spans="1:59">
      <c r="A36" s="109" t="s">
        <v>1618</v>
      </c>
      <c r="B36" s="109" t="s">
        <v>1618</v>
      </c>
      <c r="C36" s="109" t="s">
        <v>1618</v>
      </c>
      <c r="D36" s="109" t="s">
        <v>1618</v>
      </c>
      <c r="E36" s="109" t="s">
        <v>1618</v>
      </c>
      <c r="F36" s="109" t="s">
        <v>1618</v>
      </c>
      <c r="G36" s="109" t="s">
        <v>1618</v>
      </c>
      <c r="H36" s="109" t="s">
        <v>1618</v>
      </c>
      <c r="I36" s="109" t="s">
        <v>1618</v>
      </c>
      <c r="J36" s="109" t="s">
        <v>1618</v>
      </c>
      <c r="K36" s="109" t="s">
        <v>1618</v>
      </c>
      <c r="L36" s="109" t="s">
        <v>1618</v>
      </c>
      <c r="M36" s="109" t="s">
        <v>1618</v>
      </c>
      <c r="N36" s="109" t="s">
        <v>1618</v>
      </c>
      <c r="O36" s="109" t="s">
        <v>1618</v>
      </c>
      <c r="P36" s="109" t="s">
        <v>1618</v>
      </c>
      <c r="Q36" s="109" t="s">
        <v>1618</v>
      </c>
      <c r="R36" s="106" t="s">
        <v>1618</v>
      </c>
      <c r="S36" s="106" t="s">
        <v>1618</v>
      </c>
      <c r="T36" s="106" t="s">
        <v>1618</v>
      </c>
      <c r="U36" s="106" t="s">
        <v>1618</v>
      </c>
      <c r="V36" s="106" t="s">
        <v>1618</v>
      </c>
      <c r="W36" s="106" t="s">
        <v>1618</v>
      </c>
      <c r="X36" s="106" t="s">
        <v>1618</v>
      </c>
      <c r="Y36" s="106" t="s">
        <v>1618</v>
      </c>
      <c r="Z36" s="106" t="s">
        <v>1618</v>
      </c>
      <c r="AA36" s="106" t="s">
        <v>1618</v>
      </c>
      <c r="AB36" s="106" t="s">
        <v>1618</v>
      </c>
      <c r="AC36" s="106" t="s">
        <v>1618</v>
      </c>
      <c r="AD36" s="106" t="s">
        <v>1618</v>
      </c>
      <c r="AE36" s="106" t="s">
        <v>1618</v>
      </c>
      <c r="AF36" s="106" t="s">
        <v>1618</v>
      </c>
      <c r="AG36" s="114" t="s">
        <v>1618</v>
      </c>
      <c r="AH36" s="114" t="s">
        <v>1618</v>
      </c>
      <c r="AI36" s="114" t="s">
        <v>1618</v>
      </c>
      <c r="AJ36" s="114" t="s">
        <v>1618</v>
      </c>
      <c r="AK36" s="114" t="s">
        <v>1618</v>
      </c>
      <c r="AL36" s="114" t="s">
        <v>1618</v>
      </c>
      <c r="AM36" s="114" t="s">
        <v>1618</v>
      </c>
      <c r="AN36" s="114" t="s">
        <v>1618</v>
      </c>
      <c r="AO36" s="114" t="s">
        <v>1618</v>
      </c>
      <c r="AP36" s="114" t="s">
        <v>1618</v>
      </c>
      <c r="AQ36" s="114" t="s">
        <v>1618</v>
      </c>
      <c r="AR36" s="114" t="s">
        <v>1618</v>
      </c>
      <c r="AS36" s="114" t="s">
        <v>1618</v>
      </c>
      <c r="AT36" s="114" t="s">
        <v>1618</v>
      </c>
      <c r="AU36" s="114" t="s">
        <v>1618</v>
      </c>
      <c r="AV36" s="114" t="s">
        <v>1618</v>
      </c>
      <c r="AW36" s="114" t="s">
        <v>1618</v>
      </c>
      <c r="AX36" s="118" t="s">
        <v>1618</v>
      </c>
      <c r="AY36" s="118" t="s">
        <v>1618</v>
      </c>
      <c r="AZ36" s="118" t="s">
        <v>1618</v>
      </c>
      <c r="BA36" s="118" t="s">
        <v>1618</v>
      </c>
      <c r="BB36" s="118" t="s">
        <v>1618</v>
      </c>
      <c r="BC36" s="118" t="s">
        <v>1618</v>
      </c>
      <c r="BD36" s="118" t="s">
        <v>1618</v>
      </c>
      <c r="BE36" s="118" t="s">
        <v>1618</v>
      </c>
      <c r="BF36" s="118" t="s">
        <v>1618</v>
      </c>
      <c r="BG36" s="118" t="s">
        <v>1618</v>
      </c>
    </row>
    <row r="37" spans="1:59">
      <c r="A37" s="109" t="s">
        <v>1618</v>
      </c>
      <c r="B37" s="109" t="s">
        <v>1618</v>
      </c>
      <c r="C37" s="109" t="s">
        <v>1618</v>
      </c>
      <c r="D37" s="109" t="s">
        <v>1618</v>
      </c>
      <c r="E37" s="109" t="s">
        <v>1618</v>
      </c>
      <c r="F37" s="109" t="s">
        <v>1618</v>
      </c>
      <c r="G37" s="109" t="s">
        <v>1618</v>
      </c>
      <c r="H37" s="109" t="s">
        <v>1618</v>
      </c>
      <c r="I37" s="109" t="s">
        <v>1618</v>
      </c>
      <c r="J37" s="109" t="s">
        <v>1618</v>
      </c>
      <c r="K37" s="109" t="s">
        <v>1618</v>
      </c>
      <c r="L37" s="109" t="s">
        <v>1618</v>
      </c>
      <c r="M37" s="109" t="s">
        <v>1618</v>
      </c>
      <c r="N37" s="109" t="s">
        <v>1618</v>
      </c>
      <c r="O37" s="109" t="s">
        <v>1618</v>
      </c>
      <c r="P37" s="109" t="s">
        <v>1618</v>
      </c>
      <c r="Q37" s="109" t="s">
        <v>1618</v>
      </c>
      <c r="R37" s="106" t="s">
        <v>1618</v>
      </c>
      <c r="S37" s="106" t="s">
        <v>1618</v>
      </c>
      <c r="T37" s="106" t="s">
        <v>1618</v>
      </c>
      <c r="U37" s="106" t="s">
        <v>1618</v>
      </c>
      <c r="V37" s="106" t="s">
        <v>1618</v>
      </c>
      <c r="W37" s="106" t="s">
        <v>1618</v>
      </c>
      <c r="X37" s="106" t="s">
        <v>1618</v>
      </c>
      <c r="Y37" s="106" t="s">
        <v>1618</v>
      </c>
      <c r="Z37" s="106" t="s">
        <v>1618</v>
      </c>
      <c r="AA37" s="106" t="s">
        <v>1618</v>
      </c>
      <c r="AB37" s="106" t="s">
        <v>1618</v>
      </c>
      <c r="AC37" s="106" t="s">
        <v>1618</v>
      </c>
      <c r="AD37" s="106" t="s">
        <v>1618</v>
      </c>
      <c r="AE37" s="106" t="s">
        <v>1618</v>
      </c>
      <c r="AF37" s="106" t="s">
        <v>1618</v>
      </c>
      <c r="AG37" s="114" t="s">
        <v>1618</v>
      </c>
      <c r="AH37" s="114" t="s">
        <v>1618</v>
      </c>
      <c r="AI37" s="114" t="s">
        <v>1618</v>
      </c>
      <c r="AJ37" s="114" t="s">
        <v>1618</v>
      </c>
      <c r="AK37" s="114" t="s">
        <v>1618</v>
      </c>
      <c r="AL37" s="114" t="s">
        <v>1618</v>
      </c>
      <c r="AM37" s="114" t="s">
        <v>1618</v>
      </c>
      <c r="AN37" s="114" t="s">
        <v>1618</v>
      </c>
      <c r="AO37" s="114" t="s">
        <v>1618</v>
      </c>
      <c r="AP37" s="114" t="s">
        <v>1618</v>
      </c>
      <c r="AQ37" s="114" t="s">
        <v>1618</v>
      </c>
      <c r="AR37" s="114" t="s">
        <v>1618</v>
      </c>
      <c r="AS37" s="114" t="s">
        <v>1618</v>
      </c>
      <c r="AT37" s="114" t="s">
        <v>1618</v>
      </c>
      <c r="AU37" s="114" t="s">
        <v>1618</v>
      </c>
      <c r="AV37" s="114" t="s">
        <v>1618</v>
      </c>
      <c r="AW37" s="114" t="s">
        <v>1618</v>
      </c>
      <c r="AX37" s="118" t="s">
        <v>1618</v>
      </c>
      <c r="AY37" s="118" t="s">
        <v>1618</v>
      </c>
      <c r="AZ37" s="118" t="s">
        <v>1618</v>
      </c>
      <c r="BA37" s="118" t="s">
        <v>1618</v>
      </c>
      <c r="BB37" s="118" t="s">
        <v>1618</v>
      </c>
      <c r="BC37" s="118" t="s">
        <v>1618</v>
      </c>
      <c r="BD37" s="118" t="s">
        <v>1618</v>
      </c>
      <c r="BE37" s="118" t="s">
        <v>1618</v>
      </c>
      <c r="BF37" s="118" t="s">
        <v>1618</v>
      </c>
      <c r="BG37" s="118" t="s">
        <v>1618</v>
      </c>
    </row>
    <row r="38" spans="1:59">
      <c r="A38" s="109" t="s">
        <v>1618</v>
      </c>
      <c r="B38" s="109" t="s">
        <v>1618</v>
      </c>
      <c r="C38" s="109" t="s">
        <v>1618</v>
      </c>
      <c r="D38" s="109" t="s">
        <v>1618</v>
      </c>
      <c r="E38" s="109" t="s">
        <v>1618</v>
      </c>
      <c r="F38" s="109" t="s">
        <v>1618</v>
      </c>
      <c r="G38" s="109" t="s">
        <v>1618</v>
      </c>
      <c r="H38" s="109" t="s">
        <v>1618</v>
      </c>
      <c r="I38" s="109" t="s">
        <v>1618</v>
      </c>
      <c r="J38" s="109" t="s">
        <v>1618</v>
      </c>
      <c r="K38" s="109" t="s">
        <v>1618</v>
      </c>
      <c r="L38" s="109" t="s">
        <v>1618</v>
      </c>
      <c r="M38" s="109" t="s">
        <v>1618</v>
      </c>
      <c r="N38" s="109" t="s">
        <v>1618</v>
      </c>
      <c r="O38" s="109" t="s">
        <v>1618</v>
      </c>
      <c r="P38" s="109" t="s">
        <v>1618</v>
      </c>
      <c r="Q38" s="109" t="s">
        <v>1618</v>
      </c>
      <c r="R38" s="106" t="s">
        <v>1618</v>
      </c>
      <c r="S38" s="106" t="s">
        <v>1618</v>
      </c>
      <c r="T38" s="106" t="s">
        <v>1618</v>
      </c>
      <c r="U38" s="106" t="s">
        <v>1618</v>
      </c>
      <c r="V38" s="106" t="s">
        <v>1618</v>
      </c>
      <c r="W38" s="106" t="s">
        <v>1618</v>
      </c>
      <c r="X38" s="106" t="s">
        <v>1618</v>
      </c>
      <c r="Y38" s="106" t="s">
        <v>1618</v>
      </c>
      <c r="Z38" s="106" t="s">
        <v>1618</v>
      </c>
      <c r="AA38" s="106" t="s">
        <v>1618</v>
      </c>
      <c r="AB38" s="106" t="s">
        <v>1618</v>
      </c>
      <c r="AC38" s="106" t="s">
        <v>1618</v>
      </c>
      <c r="AD38" s="106" t="s">
        <v>1618</v>
      </c>
      <c r="AE38" s="106" t="s">
        <v>1618</v>
      </c>
      <c r="AF38" s="106" t="s">
        <v>1618</v>
      </c>
      <c r="AG38" s="114" t="s">
        <v>1618</v>
      </c>
      <c r="AH38" s="114" t="s">
        <v>1618</v>
      </c>
      <c r="AI38" s="114" t="s">
        <v>1618</v>
      </c>
      <c r="AJ38" s="114" t="s">
        <v>1618</v>
      </c>
      <c r="AK38" s="114" t="s">
        <v>1618</v>
      </c>
      <c r="AL38" s="114" t="s">
        <v>1618</v>
      </c>
      <c r="AM38" s="114" t="s">
        <v>1618</v>
      </c>
      <c r="AN38" s="114" t="s">
        <v>1618</v>
      </c>
      <c r="AO38" s="114" t="s">
        <v>1618</v>
      </c>
      <c r="AP38" s="114" t="s">
        <v>1618</v>
      </c>
      <c r="AQ38" s="114" t="s">
        <v>1618</v>
      </c>
      <c r="AR38" s="114" t="s">
        <v>1618</v>
      </c>
      <c r="AS38" s="114" t="s">
        <v>1618</v>
      </c>
      <c r="AT38" s="114" t="s">
        <v>1618</v>
      </c>
      <c r="AU38" s="114" t="s">
        <v>1618</v>
      </c>
      <c r="AV38" s="114" t="s">
        <v>1618</v>
      </c>
      <c r="AW38" s="114" t="s">
        <v>1618</v>
      </c>
      <c r="AX38" s="118" t="s">
        <v>1618</v>
      </c>
      <c r="AY38" s="118" t="s">
        <v>1618</v>
      </c>
      <c r="AZ38" s="118" t="s">
        <v>1618</v>
      </c>
      <c r="BA38" s="118" t="s">
        <v>1618</v>
      </c>
      <c r="BB38" s="118" t="s">
        <v>1618</v>
      </c>
      <c r="BC38" s="118" t="s">
        <v>1618</v>
      </c>
      <c r="BD38" s="118" t="s">
        <v>1618</v>
      </c>
      <c r="BE38" s="118" t="s">
        <v>1618</v>
      </c>
      <c r="BF38" s="118" t="s">
        <v>1618</v>
      </c>
      <c r="BG38" s="118" t="s">
        <v>1618</v>
      </c>
    </row>
    <row r="39" spans="1:59">
      <c r="A39" s="109" t="s">
        <v>1618</v>
      </c>
      <c r="B39" s="109" t="s">
        <v>1618</v>
      </c>
      <c r="C39" s="109" t="s">
        <v>1618</v>
      </c>
      <c r="D39" s="109" t="s">
        <v>1618</v>
      </c>
      <c r="E39" s="109" t="s">
        <v>1618</v>
      </c>
      <c r="F39" s="109" t="s">
        <v>1618</v>
      </c>
      <c r="G39" s="109" t="s">
        <v>1618</v>
      </c>
      <c r="H39" s="109" t="s">
        <v>1618</v>
      </c>
      <c r="I39" s="109" t="s">
        <v>1618</v>
      </c>
      <c r="J39" s="109" t="s">
        <v>1618</v>
      </c>
      <c r="K39" s="109" t="s">
        <v>1618</v>
      </c>
      <c r="L39" s="109" t="s">
        <v>1618</v>
      </c>
      <c r="M39" s="109" t="s">
        <v>1618</v>
      </c>
      <c r="N39" s="109" t="s">
        <v>1618</v>
      </c>
      <c r="O39" s="109" t="s">
        <v>1618</v>
      </c>
      <c r="P39" s="109" t="s">
        <v>1618</v>
      </c>
      <c r="Q39" s="109" t="s">
        <v>1618</v>
      </c>
      <c r="R39" s="106" t="s">
        <v>1618</v>
      </c>
      <c r="S39" s="106" t="s">
        <v>1618</v>
      </c>
      <c r="T39" s="106" t="s">
        <v>1618</v>
      </c>
      <c r="U39" s="106" t="s">
        <v>1618</v>
      </c>
      <c r="V39" s="106" t="s">
        <v>1618</v>
      </c>
      <c r="W39" s="106" t="s">
        <v>1618</v>
      </c>
      <c r="X39" s="106" t="s">
        <v>1618</v>
      </c>
      <c r="Y39" s="106" t="s">
        <v>1618</v>
      </c>
      <c r="Z39" s="106" t="s">
        <v>1618</v>
      </c>
      <c r="AA39" s="106" t="s">
        <v>1618</v>
      </c>
      <c r="AB39" s="106" t="s">
        <v>1618</v>
      </c>
      <c r="AC39" s="106" t="s">
        <v>1618</v>
      </c>
      <c r="AD39" s="106" t="s">
        <v>1618</v>
      </c>
      <c r="AE39" s="106" t="s">
        <v>1618</v>
      </c>
      <c r="AF39" s="106" t="s">
        <v>1618</v>
      </c>
      <c r="AG39" s="114" t="s">
        <v>1618</v>
      </c>
      <c r="AH39" s="114" t="s">
        <v>1618</v>
      </c>
      <c r="AI39" s="114" t="s">
        <v>1618</v>
      </c>
      <c r="AJ39" s="114" t="s">
        <v>1618</v>
      </c>
      <c r="AK39" s="114" t="s">
        <v>1618</v>
      </c>
      <c r="AL39" s="114" t="s">
        <v>1618</v>
      </c>
      <c r="AM39" s="114" t="s">
        <v>1618</v>
      </c>
      <c r="AN39" s="114" t="s">
        <v>1618</v>
      </c>
      <c r="AO39" s="114" t="s">
        <v>1618</v>
      </c>
      <c r="AP39" s="114" t="s">
        <v>1618</v>
      </c>
      <c r="AQ39" s="114" t="s">
        <v>1618</v>
      </c>
      <c r="AR39" s="114" t="s">
        <v>1618</v>
      </c>
      <c r="AS39" s="114" t="s">
        <v>1618</v>
      </c>
      <c r="AT39" s="114" t="s">
        <v>1618</v>
      </c>
      <c r="AU39" s="114" t="s">
        <v>1618</v>
      </c>
      <c r="AV39" s="114" t="s">
        <v>1618</v>
      </c>
      <c r="AW39" s="114" t="s">
        <v>1618</v>
      </c>
      <c r="AX39" s="118" t="s">
        <v>1618</v>
      </c>
      <c r="AY39" s="118" t="s">
        <v>1618</v>
      </c>
      <c r="AZ39" s="118" t="s">
        <v>1618</v>
      </c>
      <c r="BA39" s="118" t="s">
        <v>1618</v>
      </c>
      <c r="BB39" s="118" t="s">
        <v>1618</v>
      </c>
      <c r="BC39" s="118" t="s">
        <v>1618</v>
      </c>
      <c r="BD39" s="118" t="s">
        <v>1618</v>
      </c>
      <c r="BE39" s="118" t="s">
        <v>1618</v>
      </c>
      <c r="BF39" s="118" t="s">
        <v>1618</v>
      </c>
      <c r="BG39" s="118" t="s">
        <v>1618</v>
      </c>
    </row>
    <row r="40" spans="1:59">
      <c r="A40" s="109" t="s">
        <v>1618</v>
      </c>
      <c r="B40" s="109" t="s">
        <v>1618</v>
      </c>
      <c r="C40" s="109" t="s">
        <v>1618</v>
      </c>
      <c r="D40" s="109" t="s">
        <v>1618</v>
      </c>
      <c r="E40" s="109" t="s">
        <v>1618</v>
      </c>
      <c r="F40" s="109" t="s">
        <v>1618</v>
      </c>
      <c r="G40" s="109" t="s">
        <v>1618</v>
      </c>
      <c r="H40" s="109" t="s">
        <v>1618</v>
      </c>
      <c r="I40" s="109" t="s">
        <v>1618</v>
      </c>
      <c r="J40" s="109" t="s">
        <v>1618</v>
      </c>
      <c r="K40" s="109" t="s">
        <v>1618</v>
      </c>
      <c r="L40" s="109" t="s">
        <v>1618</v>
      </c>
      <c r="M40" s="109" t="s">
        <v>1618</v>
      </c>
      <c r="N40" s="109" t="s">
        <v>1618</v>
      </c>
      <c r="O40" s="109" t="s">
        <v>1618</v>
      </c>
      <c r="P40" s="109" t="s">
        <v>1618</v>
      </c>
      <c r="Q40" s="109" t="s">
        <v>1618</v>
      </c>
      <c r="R40" s="106" t="s">
        <v>1618</v>
      </c>
      <c r="S40" s="106" t="s">
        <v>1618</v>
      </c>
      <c r="T40" s="106" t="s">
        <v>1618</v>
      </c>
      <c r="U40" s="106" t="s">
        <v>1618</v>
      </c>
      <c r="V40" s="106" t="s">
        <v>1618</v>
      </c>
      <c r="W40" s="106" t="s">
        <v>1618</v>
      </c>
      <c r="X40" s="106" t="s">
        <v>1618</v>
      </c>
      <c r="Y40" s="106" t="s">
        <v>1618</v>
      </c>
      <c r="Z40" s="106" t="s">
        <v>1618</v>
      </c>
      <c r="AA40" s="106" t="s">
        <v>1618</v>
      </c>
      <c r="AB40" s="106" t="s">
        <v>1618</v>
      </c>
      <c r="AC40" s="106" t="s">
        <v>1618</v>
      </c>
      <c r="AD40" s="106" t="s">
        <v>1618</v>
      </c>
      <c r="AE40" s="106" t="s">
        <v>1618</v>
      </c>
      <c r="AF40" s="106" t="s">
        <v>1618</v>
      </c>
      <c r="AG40" s="114" t="s">
        <v>1618</v>
      </c>
      <c r="AH40" s="114" t="s">
        <v>1618</v>
      </c>
      <c r="AI40" s="114" t="s">
        <v>1618</v>
      </c>
      <c r="AJ40" s="114" t="s">
        <v>1618</v>
      </c>
      <c r="AK40" s="114" t="s">
        <v>1618</v>
      </c>
      <c r="AL40" s="114" t="s">
        <v>1618</v>
      </c>
      <c r="AM40" s="114" t="s">
        <v>1618</v>
      </c>
      <c r="AN40" s="114" t="s">
        <v>1618</v>
      </c>
      <c r="AO40" s="114" t="s">
        <v>1618</v>
      </c>
      <c r="AP40" s="114" t="s">
        <v>1618</v>
      </c>
      <c r="AQ40" s="114" t="s">
        <v>1618</v>
      </c>
      <c r="AR40" s="114" t="s">
        <v>1618</v>
      </c>
      <c r="AS40" s="114" t="s">
        <v>1618</v>
      </c>
      <c r="AT40" s="114" t="s">
        <v>1618</v>
      </c>
      <c r="AU40" s="114" t="s">
        <v>1618</v>
      </c>
      <c r="AV40" s="114" t="s">
        <v>1618</v>
      </c>
      <c r="AW40" s="114" t="s">
        <v>1618</v>
      </c>
      <c r="AX40" s="118" t="s">
        <v>1618</v>
      </c>
      <c r="AY40" s="118" t="s">
        <v>1618</v>
      </c>
      <c r="AZ40" s="118" t="s">
        <v>1618</v>
      </c>
      <c r="BA40" s="118" t="s">
        <v>1618</v>
      </c>
      <c r="BB40" s="118" t="s">
        <v>1618</v>
      </c>
      <c r="BC40" s="118" t="s">
        <v>1618</v>
      </c>
      <c r="BD40" s="118" t="s">
        <v>1618</v>
      </c>
      <c r="BE40" s="118" t="s">
        <v>1618</v>
      </c>
      <c r="BF40" s="118" t="s">
        <v>1618</v>
      </c>
      <c r="BG40" s="118" t="s">
        <v>1618</v>
      </c>
    </row>
    <row r="41" spans="1:59">
      <c r="A41" s="109" t="s">
        <v>1618</v>
      </c>
      <c r="B41" s="109" t="s">
        <v>1618</v>
      </c>
      <c r="C41" s="109" t="s">
        <v>1618</v>
      </c>
      <c r="D41" s="109" t="s">
        <v>1618</v>
      </c>
      <c r="E41" s="109" t="s">
        <v>1618</v>
      </c>
      <c r="F41" s="109" t="s">
        <v>1618</v>
      </c>
      <c r="G41" s="109" t="s">
        <v>1618</v>
      </c>
      <c r="H41" s="109" t="s">
        <v>1618</v>
      </c>
      <c r="I41" s="109" t="s">
        <v>1618</v>
      </c>
      <c r="J41" s="109" t="s">
        <v>1618</v>
      </c>
      <c r="K41" s="109" t="s">
        <v>1618</v>
      </c>
      <c r="L41" s="109" t="s">
        <v>1618</v>
      </c>
      <c r="M41" s="109" t="s">
        <v>1618</v>
      </c>
      <c r="N41" s="109" t="s">
        <v>1618</v>
      </c>
      <c r="O41" s="109" t="s">
        <v>1618</v>
      </c>
      <c r="P41" s="109" t="s">
        <v>1618</v>
      </c>
      <c r="Q41" s="109" t="s">
        <v>1618</v>
      </c>
      <c r="R41" s="106" t="s">
        <v>1618</v>
      </c>
      <c r="S41" s="106" t="s">
        <v>1618</v>
      </c>
      <c r="T41" s="106" t="s">
        <v>1618</v>
      </c>
      <c r="U41" s="106" t="s">
        <v>1618</v>
      </c>
      <c r="V41" s="106" t="s">
        <v>1618</v>
      </c>
      <c r="W41" s="106" t="s">
        <v>1618</v>
      </c>
      <c r="X41" s="106" t="s">
        <v>1618</v>
      </c>
      <c r="Y41" s="106" t="s">
        <v>1618</v>
      </c>
      <c r="Z41" s="106" t="s">
        <v>1618</v>
      </c>
      <c r="AA41" s="106" t="s">
        <v>1618</v>
      </c>
      <c r="AB41" s="106" t="s">
        <v>1618</v>
      </c>
      <c r="AC41" s="106" t="s">
        <v>1618</v>
      </c>
      <c r="AD41" s="106" t="s">
        <v>1618</v>
      </c>
      <c r="AE41" s="106" t="s">
        <v>1618</v>
      </c>
      <c r="AF41" s="106" t="s">
        <v>1618</v>
      </c>
      <c r="AG41" s="114" t="s">
        <v>1618</v>
      </c>
      <c r="AH41" s="114" t="s">
        <v>1618</v>
      </c>
      <c r="AI41" s="114" t="s">
        <v>1618</v>
      </c>
      <c r="AJ41" s="114" t="s">
        <v>1618</v>
      </c>
      <c r="AK41" s="114" t="s">
        <v>1618</v>
      </c>
      <c r="AL41" s="114" t="s">
        <v>1618</v>
      </c>
      <c r="AM41" s="114" t="s">
        <v>1618</v>
      </c>
      <c r="AN41" s="114" t="s">
        <v>1618</v>
      </c>
      <c r="AO41" s="114" t="s">
        <v>1618</v>
      </c>
      <c r="AP41" s="114" t="s">
        <v>1618</v>
      </c>
      <c r="AQ41" s="114" t="s">
        <v>1618</v>
      </c>
      <c r="AR41" s="114" t="s">
        <v>1618</v>
      </c>
      <c r="AS41" s="114" t="s">
        <v>1618</v>
      </c>
      <c r="AT41" s="114" t="s">
        <v>1618</v>
      </c>
      <c r="AU41" s="114" t="s">
        <v>1618</v>
      </c>
      <c r="AV41" s="114" t="s">
        <v>1618</v>
      </c>
      <c r="AW41" s="114" t="s">
        <v>1618</v>
      </c>
      <c r="AX41" s="118" t="s">
        <v>1618</v>
      </c>
      <c r="AY41" s="118" t="s">
        <v>1618</v>
      </c>
      <c r="AZ41" s="118" t="s">
        <v>1618</v>
      </c>
      <c r="BA41" s="118" t="s">
        <v>1618</v>
      </c>
      <c r="BB41" s="118" t="s">
        <v>1618</v>
      </c>
      <c r="BC41" s="118" t="s">
        <v>1618</v>
      </c>
      <c r="BD41" s="118" t="s">
        <v>1618</v>
      </c>
      <c r="BE41" s="118" t="s">
        <v>1618</v>
      </c>
      <c r="BF41" s="118" t="s">
        <v>1618</v>
      </c>
      <c r="BG41" s="118" t="s">
        <v>1618</v>
      </c>
    </row>
    <row r="42" spans="1:59">
      <c r="A42" s="109" t="s">
        <v>1618</v>
      </c>
      <c r="B42" s="109" t="s">
        <v>1618</v>
      </c>
      <c r="C42" s="109" t="s">
        <v>1618</v>
      </c>
      <c r="D42" s="109" t="s">
        <v>1618</v>
      </c>
      <c r="E42" s="109" t="s">
        <v>1618</v>
      </c>
      <c r="F42" s="109" t="s">
        <v>1618</v>
      </c>
      <c r="G42" s="109" t="s">
        <v>1618</v>
      </c>
      <c r="H42" s="109" t="s">
        <v>1618</v>
      </c>
      <c r="I42" s="109" t="s">
        <v>1618</v>
      </c>
      <c r="J42" s="109" t="s">
        <v>1618</v>
      </c>
      <c r="K42" s="109" t="s">
        <v>1618</v>
      </c>
      <c r="L42" s="109" t="s">
        <v>1618</v>
      </c>
      <c r="M42" s="109" t="s">
        <v>1618</v>
      </c>
      <c r="N42" s="109" t="s">
        <v>1618</v>
      </c>
      <c r="O42" s="109" t="s">
        <v>1618</v>
      </c>
      <c r="P42" s="109" t="s">
        <v>1618</v>
      </c>
      <c r="Q42" s="109" t="s">
        <v>1618</v>
      </c>
      <c r="R42" s="106" t="s">
        <v>1618</v>
      </c>
      <c r="S42" s="106" t="s">
        <v>1618</v>
      </c>
      <c r="T42" s="106" t="s">
        <v>1618</v>
      </c>
      <c r="U42" s="106" t="s">
        <v>1618</v>
      </c>
      <c r="V42" s="106" t="s">
        <v>1618</v>
      </c>
      <c r="W42" s="106" t="s">
        <v>1618</v>
      </c>
      <c r="X42" s="106" t="s">
        <v>1618</v>
      </c>
      <c r="Y42" s="106" t="s">
        <v>1618</v>
      </c>
      <c r="Z42" s="106" t="s">
        <v>1618</v>
      </c>
      <c r="AA42" s="106" t="s">
        <v>1618</v>
      </c>
      <c r="AB42" s="106" t="s">
        <v>1618</v>
      </c>
      <c r="AC42" s="106" t="s">
        <v>1618</v>
      </c>
      <c r="AD42" s="106" t="s">
        <v>1618</v>
      </c>
      <c r="AE42" s="106" t="s">
        <v>1618</v>
      </c>
      <c r="AF42" s="106" t="s">
        <v>1618</v>
      </c>
      <c r="AG42" s="114" t="s">
        <v>1618</v>
      </c>
      <c r="AH42" s="114" t="s">
        <v>1618</v>
      </c>
      <c r="AI42" s="114" t="s">
        <v>1618</v>
      </c>
      <c r="AJ42" s="114" t="s">
        <v>1618</v>
      </c>
      <c r="AK42" s="114" t="s">
        <v>1618</v>
      </c>
      <c r="AL42" s="114" t="s">
        <v>1618</v>
      </c>
      <c r="AM42" s="114" t="s">
        <v>1618</v>
      </c>
      <c r="AN42" s="114" t="s">
        <v>1618</v>
      </c>
      <c r="AO42" s="114" t="s">
        <v>1618</v>
      </c>
      <c r="AP42" s="114" t="s">
        <v>1618</v>
      </c>
      <c r="AQ42" s="114" t="s">
        <v>1618</v>
      </c>
      <c r="AR42" s="114" t="s">
        <v>1618</v>
      </c>
      <c r="AS42" s="114" t="s">
        <v>1618</v>
      </c>
      <c r="AT42" s="114" t="s">
        <v>1618</v>
      </c>
      <c r="AU42" s="114" t="s">
        <v>1618</v>
      </c>
      <c r="AV42" s="114" t="s">
        <v>1618</v>
      </c>
      <c r="AW42" s="114" t="s">
        <v>1618</v>
      </c>
      <c r="AX42" s="121" t="s">
        <v>1618</v>
      </c>
      <c r="AY42" s="121" t="s">
        <v>1618</v>
      </c>
      <c r="AZ42" s="121" t="s">
        <v>1618</v>
      </c>
      <c r="BA42" s="121" t="s">
        <v>1618</v>
      </c>
      <c r="BB42" s="121" t="s">
        <v>1618</v>
      </c>
      <c r="BC42" s="121" t="s">
        <v>1618</v>
      </c>
      <c r="BD42" s="121" t="s">
        <v>1618</v>
      </c>
      <c r="BE42" s="121" t="s">
        <v>1618</v>
      </c>
      <c r="BF42" s="121" t="s">
        <v>1618</v>
      </c>
      <c r="BG42" s="121" t="s">
        <v>1618</v>
      </c>
    </row>
    <row r="43" spans="1:59">
      <c r="A43" s="109" t="s">
        <v>1618</v>
      </c>
      <c r="B43" s="109" t="s">
        <v>1618</v>
      </c>
      <c r="C43" s="109" t="s">
        <v>1618</v>
      </c>
      <c r="D43" s="109" t="s">
        <v>1618</v>
      </c>
      <c r="E43" s="109" t="s">
        <v>1618</v>
      </c>
      <c r="F43" s="109" t="s">
        <v>1618</v>
      </c>
      <c r="G43" s="109" t="s">
        <v>1618</v>
      </c>
      <c r="H43" s="109" t="s">
        <v>1618</v>
      </c>
      <c r="I43" s="109" t="s">
        <v>1618</v>
      </c>
      <c r="J43" s="109" t="s">
        <v>1618</v>
      </c>
      <c r="K43" s="109" t="s">
        <v>1618</v>
      </c>
      <c r="L43" s="109" t="s">
        <v>1618</v>
      </c>
      <c r="M43" s="109" t="s">
        <v>1618</v>
      </c>
      <c r="N43" s="109" t="s">
        <v>1618</v>
      </c>
      <c r="O43" s="109" t="s">
        <v>1618</v>
      </c>
      <c r="P43" s="109" t="s">
        <v>1618</v>
      </c>
      <c r="Q43" s="109" t="s">
        <v>1618</v>
      </c>
      <c r="R43" s="106" t="s">
        <v>1618</v>
      </c>
      <c r="S43" s="106" t="s">
        <v>1618</v>
      </c>
      <c r="T43" s="106" t="s">
        <v>1618</v>
      </c>
      <c r="U43" s="106" t="s">
        <v>1618</v>
      </c>
      <c r="V43" s="106" t="s">
        <v>1618</v>
      </c>
      <c r="W43" s="106" t="s">
        <v>1618</v>
      </c>
      <c r="X43" s="106" t="s">
        <v>1618</v>
      </c>
      <c r="Y43" s="106" t="s">
        <v>1618</v>
      </c>
      <c r="Z43" s="106" t="s">
        <v>1618</v>
      </c>
      <c r="AA43" s="106" t="s">
        <v>1618</v>
      </c>
      <c r="AB43" s="106" t="s">
        <v>1618</v>
      </c>
      <c r="AC43" s="106" t="s">
        <v>1618</v>
      </c>
      <c r="AD43" s="106" t="s">
        <v>1618</v>
      </c>
      <c r="AE43" s="106" t="s">
        <v>1618</v>
      </c>
      <c r="AF43" s="106" t="s">
        <v>1618</v>
      </c>
      <c r="AG43" s="114" t="s">
        <v>1618</v>
      </c>
      <c r="AH43" s="114" t="s">
        <v>1618</v>
      </c>
      <c r="AI43" s="114" t="s">
        <v>1618</v>
      </c>
      <c r="AJ43" s="114" t="s">
        <v>1618</v>
      </c>
      <c r="AK43" s="114" t="s">
        <v>1618</v>
      </c>
      <c r="AL43" s="114" t="s">
        <v>1618</v>
      </c>
      <c r="AM43" s="114" t="s">
        <v>1618</v>
      </c>
      <c r="AN43" s="114" t="s">
        <v>1618</v>
      </c>
      <c r="AO43" s="114" t="s">
        <v>1618</v>
      </c>
      <c r="AP43" s="114" t="s">
        <v>1618</v>
      </c>
      <c r="AQ43" s="114" t="s">
        <v>1618</v>
      </c>
      <c r="AR43" s="114" t="s">
        <v>1618</v>
      </c>
      <c r="AS43" s="114" t="s">
        <v>1618</v>
      </c>
      <c r="AT43" s="114" t="s">
        <v>1618</v>
      </c>
      <c r="AU43" s="114" t="s">
        <v>1618</v>
      </c>
      <c r="AV43" s="114" t="s">
        <v>1618</v>
      </c>
      <c r="AW43" s="114" t="s">
        <v>1618</v>
      </c>
      <c r="AX43" s="121" t="s">
        <v>1618</v>
      </c>
      <c r="AY43" s="121" t="s">
        <v>1618</v>
      </c>
      <c r="AZ43" s="121" t="s">
        <v>1618</v>
      </c>
      <c r="BA43" s="121" t="s">
        <v>1618</v>
      </c>
      <c r="BB43" s="121" t="s">
        <v>1618</v>
      </c>
      <c r="BC43" s="121" t="s">
        <v>1618</v>
      </c>
      <c r="BD43" s="121" t="s">
        <v>1618</v>
      </c>
      <c r="BE43" s="121" t="s">
        <v>1618</v>
      </c>
      <c r="BF43" s="121" t="s">
        <v>1618</v>
      </c>
      <c r="BG43" s="121" t="s">
        <v>1618</v>
      </c>
    </row>
    <row r="44" spans="1:59">
      <c r="A44" s="109" t="s">
        <v>1618</v>
      </c>
      <c r="B44" s="109" t="s">
        <v>1618</v>
      </c>
      <c r="C44" s="109" t="s">
        <v>1618</v>
      </c>
      <c r="D44" s="109" t="s">
        <v>1618</v>
      </c>
      <c r="E44" s="109" t="s">
        <v>1618</v>
      </c>
      <c r="F44" s="109" t="s">
        <v>1618</v>
      </c>
      <c r="G44" s="109" t="s">
        <v>1618</v>
      </c>
      <c r="H44" s="109" t="s">
        <v>1618</v>
      </c>
      <c r="I44" s="109" t="s">
        <v>1618</v>
      </c>
      <c r="J44" s="109" t="s">
        <v>1618</v>
      </c>
      <c r="K44" s="109" t="s">
        <v>1618</v>
      </c>
      <c r="L44" s="109" t="s">
        <v>1618</v>
      </c>
      <c r="M44" s="109" t="s">
        <v>1618</v>
      </c>
      <c r="N44" s="109" t="s">
        <v>1618</v>
      </c>
      <c r="O44" s="109" t="s">
        <v>1618</v>
      </c>
      <c r="P44" s="109" t="s">
        <v>1618</v>
      </c>
      <c r="Q44" s="109" t="s">
        <v>1618</v>
      </c>
      <c r="R44" s="106" t="s">
        <v>1618</v>
      </c>
      <c r="S44" s="106" t="s">
        <v>1618</v>
      </c>
      <c r="T44" s="106" t="s">
        <v>1618</v>
      </c>
      <c r="U44" s="106" t="s">
        <v>1618</v>
      </c>
      <c r="V44" s="106" t="s">
        <v>1618</v>
      </c>
      <c r="W44" s="106" t="s">
        <v>1618</v>
      </c>
      <c r="X44" s="106" t="s">
        <v>1618</v>
      </c>
      <c r="Y44" s="106" t="s">
        <v>1618</v>
      </c>
      <c r="Z44" s="106" t="s">
        <v>1618</v>
      </c>
      <c r="AA44" s="106" t="s">
        <v>1618</v>
      </c>
      <c r="AB44" s="106" t="s">
        <v>1618</v>
      </c>
      <c r="AC44" s="106" t="s">
        <v>1618</v>
      </c>
      <c r="AD44" s="106" t="s">
        <v>1618</v>
      </c>
      <c r="AE44" s="106" t="s">
        <v>1618</v>
      </c>
      <c r="AF44" s="106" t="s">
        <v>1618</v>
      </c>
      <c r="AG44" s="114" t="s">
        <v>1618</v>
      </c>
      <c r="AH44" s="114" t="s">
        <v>1618</v>
      </c>
      <c r="AI44" s="114" t="s">
        <v>1618</v>
      </c>
      <c r="AJ44" s="114" t="s">
        <v>1618</v>
      </c>
      <c r="AK44" s="114" t="s">
        <v>1618</v>
      </c>
      <c r="AL44" s="114" t="s">
        <v>1618</v>
      </c>
      <c r="AM44" s="114" t="s">
        <v>1618</v>
      </c>
      <c r="AN44" s="114" t="s">
        <v>1618</v>
      </c>
      <c r="AO44" s="114" t="s">
        <v>1618</v>
      </c>
      <c r="AP44" s="114" t="s">
        <v>1618</v>
      </c>
      <c r="AQ44" s="114" t="s">
        <v>1618</v>
      </c>
      <c r="AR44" s="114" t="s">
        <v>1618</v>
      </c>
      <c r="AS44" s="114" t="s">
        <v>1618</v>
      </c>
      <c r="AT44" s="114" t="s">
        <v>1618</v>
      </c>
      <c r="AU44" s="114" t="s">
        <v>1618</v>
      </c>
      <c r="AV44" s="114" t="s">
        <v>1618</v>
      </c>
      <c r="AW44" s="114" t="s">
        <v>1618</v>
      </c>
      <c r="AX44" s="121" t="s">
        <v>1618</v>
      </c>
      <c r="AY44" s="121" t="s">
        <v>1618</v>
      </c>
      <c r="AZ44" s="121" t="s">
        <v>1618</v>
      </c>
      <c r="BA44" s="121" t="s">
        <v>1618</v>
      </c>
      <c r="BB44" s="121" t="s">
        <v>1618</v>
      </c>
      <c r="BC44" s="121" t="s">
        <v>1618</v>
      </c>
      <c r="BD44" s="121" t="s">
        <v>1618</v>
      </c>
      <c r="BE44" s="121" t="s">
        <v>1618</v>
      </c>
      <c r="BF44" s="121" t="s">
        <v>1618</v>
      </c>
      <c r="BG44" s="121" t="s">
        <v>1618</v>
      </c>
    </row>
    <row r="45" spans="1:59">
      <c r="A45" s="109" t="s">
        <v>1618</v>
      </c>
      <c r="B45" s="109" t="s">
        <v>1618</v>
      </c>
      <c r="C45" s="109" t="s">
        <v>1618</v>
      </c>
      <c r="D45" s="109" t="s">
        <v>1618</v>
      </c>
      <c r="E45" s="109" t="s">
        <v>1618</v>
      </c>
      <c r="F45" s="109" t="s">
        <v>1618</v>
      </c>
      <c r="G45" s="109" t="s">
        <v>1618</v>
      </c>
      <c r="H45" s="109" t="s">
        <v>1618</v>
      </c>
      <c r="I45" s="109" t="s">
        <v>1618</v>
      </c>
      <c r="J45" s="109" t="s">
        <v>1618</v>
      </c>
      <c r="K45" s="109" t="s">
        <v>1618</v>
      </c>
      <c r="L45" s="109" t="s">
        <v>1618</v>
      </c>
      <c r="M45" s="109" t="s">
        <v>1618</v>
      </c>
      <c r="N45" s="109" t="s">
        <v>1618</v>
      </c>
      <c r="O45" s="109" t="s">
        <v>1618</v>
      </c>
      <c r="P45" s="109" t="s">
        <v>1618</v>
      </c>
      <c r="Q45" s="109" t="s">
        <v>1618</v>
      </c>
      <c r="R45" s="106" t="s">
        <v>1618</v>
      </c>
      <c r="S45" s="106" t="s">
        <v>1618</v>
      </c>
      <c r="T45" s="106" t="s">
        <v>1618</v>
      </c>
      <c r="U45" s="106" t="s">
        <v>1618</v>
      </c>
      <c r="V45" s="106" t="s">
        <v>1618</v>
      </c>
      <c r="W45" s="106" t="s">
        <v>1618</v>
      </c>
      <c r="X45" s="106" t="s">
        <v>1618</v>
      </c>
      <c r="Y45" s="106" t="s">
        <v>1618</v>
      </c>
      <c r="Z45" s="106" t="s">
        <v>1618</v>
      </c>
      <c r="AA45" s="106" t="s">
        <v>1618</v>
      </c>
      <c r="AB45" s="106" t="s">
        <v>1618</v>
      </c>
      <c r="AC45" s="106" t="s">
        <v>1618</v>
      </c>
      <c r="AD45" s="106" t="s">
        <v>1618</v>
      </c>
      <c r="AE45" s="106" t="s">
        <v>1618</v>
      </c>
      <c r="AF45" s="106" t="s">
        <v>1618</v>
      </c>
      <c r="AG45" s="114" t="s">
        <v>1618</v>
      </c>
      <c r="AH45" s="114" t="s">
        <v>1618</v>
      </c>
      <c r="AI45" s="114" t="s">
        <v>1618</v>
      </c>
      <c r="AJ45" s="114" t="s">
        <v>1618</v>
      </c>
      <c r="AK45" s="114" t="s">
        <v>1618</v>
      </c>
      <c r="AL45" s="114" t="s">
        <v>1618</v>
      </c>
      <c r="AM45" s="114" t="s">
        <v>1618</v>
      </c>
      <c r="AN45" s="114" t="s">
        <v>1618</v>
      </c>
      <c r="AO45" s="114" t="s">
        <v>1618</v>
      </c>
      <c r="AP45" s="114" t="s">
        <v>1618</v>
      </c>
      <c r="AQ45" s="114" t="s">
        <v>1618</v>
      </c>
      <c r="AR45" s="114" t="s">
        <v>1618</v>
      </c>
      <c r="AS45" s="114" t="s">
        <v>1618</v>
      </c>
      <c r="AT45" s="114" t="s">
        <v>1618</v>
      </c>
      <c r="AU45" s="114" t="s">
        <v>1618</v>
      </c>
      <c r="AV45" s="114" t="s">
        <v>1618</v>
      </c>
      <c r="AW45" s="114" t="s">
        <v>1618</v>
      </c>
      <c r="AX45" s="121" t="s">
        <v>1618</v>
      </c>
      <c r="AY45" s="121" t="s">
        <v>1618</v>
      </c>
      <c r="AZ45" s="121" t="s">
        <v>1618</v>
      </c>
      <c r="BA45" s="121" t="s">
        <v>1618</v>
      </c>
      <c r="BB45" s="121" t="s">
        <v>1618</v>
      </c>
      <c r="BC45" s="121" t="s">
        <v>1618</v>
      </c>
      <c r="BD45" s="121" t="s">
        <v>1618</v>
      </c>
      <c r="BE45" s="121" t="s">
        <v>1618</v>
      </c>
      <c r="BF45" s="121" t="s">
        <v>1618</v>
      </c>
      <c r="BG45" s="121" t="s">
        <v>1618</v>
      </c>
    </row>
    <row r="46" spans="1:59">
      <c r="A46" s="109" t="s">
        <v>1618</v>
      </c>
      <c r="B46" s="109" t="s">
        <v>1618</v>
      </c>
      <c r="C46" s="109" t="s">
        <v>1618</v>
      </c>
      <c r="D46" s="109" t="s">
        <v>1618</v>
      </c>
      <c r="E46" s="109" t="s">
        <v>1618</v>
      </c>
      <c r="F46" s="109" t="s">
        <v>1618</v>
      </c>
      <c r="G46" s="109" t="s">
        <v>1618</v>
      </c>
      <c r="H46" s="109" t="s">
        <v>1618</v>
      </c>
      <c r="I46" s="109" t="s">
        <v>1618</v>
      </c>
      <c r="J46" s="109" t="s">
        <v>1618</v>
      </c>
      <c r="K46" s="109" t="s">
        <v>1618</v>
      </c>
      <c r="L46" s="109" t="s">
        <v>1618</v>
      </c>
      <c r="M46" s="109" t="s">
        <v>1618</v>
      </c>
      <c r="N46" s="109" t="s">
        <v>1618</v>
      </c>
      <c r="O46" s="109" t="s">
        <v>1618</v>
      </c>
      <c r="P46" s="109" t="s">
        <v>1618</v>
      </c>
      <c r="Q46" s="109" t="s">
        <v>1618</v>
      </c>
      <c r="R46" s="106" t="s">
        <v>1618</v>
      </c>
      <c r="S46" s="106" t="s">
        <v>1618</v>
      </c>
      <c r="T46" s="106" t="s">
        <v>1618</v>
      </c>
      <c r="U46" s="106" t="s">
        <v>1618</v>
      </c>
      <c r="V46" s="106" t="s">
        <v>1618</v>
      </c>
      <c r="W46" s="106" t="s">
        <v>1618</v>
      </c>
      <c r="X46" s="106" t="s">
        <v>1618</v>
      </c>
      <c r="Y46" s="106" t="s">
        <v>1618</v>
      </c>
      <c r="Z46" s="106" t="s">
        <v>1618</v>
      </c>
      <c r="AA46" s="106" t="s">
        <v>1618</v>
      </c>
      <c r="AB46" s="106" t="s">
        <v>1618</v>
      </c>
      <c r="AC46" s="106" t="s">
        <v>1618</v>
      </c>
      <c r="AD46" s="106" t="s">
        <v>1618</v>
      </c>
      <c r="AE46" s="106" t="s">
        <v>1618</v>
      </c>
      <c r="AF46" s="106" t="s">
        <v>1618</v>
      </c>
      <c r="AG46" s="114" t="s">
        <v>1618</v>
      </c>
      <c r="AH46" s="114" t="s">
        <v>1618</v>
      </c>
      <c r="AI46" s="114" t="s">
        <v>1618</v>
      </c>
      <c r="AJ46" s="114" t="s">
        <v>1618</v>
      </c>
      <c r="AK46" s="114" t="s">
        <v>1618</v>
      </c>
      <c r="AL46" s="114" t="s">
        <v>1618</v>
      </c>
      <c r="AM46" s="114" t="s">
        <v>1618</v>
      </c>
      <c r="AN46" s="114" t="s">
        <v>1618</v>
      </c>
      <c r="AO46" s="114" t="s">
        <v>1618</v>
      </c>
      <c r="AP46" s="114" t="s">
        <v>1618</v>
      </c>
      <c r="AQ46" s="114" t="s">
        <v>1618</v>
      </c>
      <c r="AR46" s="114" t="s">
        <v>1618</v>
      </c>
      <c r="AS46" s="114" t="s">
        <v>1618</v>
      </c>
      <c r="AT46" s="114" t="s">
        <v>1618</v>
      </c>
      <c r="AU46" s="114" t="s">
        <v>1618</v>
      </c>
      <c r="AV46" s="114" t="s">
        <v>1618</v>
      </c>
      <c r="AW46" s="114" t="s">
        <v>1618</v>
      </c>
      <c r="AX46" s="121" t="s">
        <v>1618</v>
      </c>
      <c r="AY46" s="121" t="s">
        <v>1618</v>
      </c>
      <c r="AZ46" s="121" t="s">
        <v>1618</v>
      </c>
      <c r="BA46" s="121" t="s">
        <v>1618</v>
      </c>
      <c r="BB46" s="121" t="s">
        <v>1618</v>
      </c>
      <c r="BC46" s="121" t="s">
        <v>1618</v>
      </c>
      <c r="BD46" s="121" t="s">
        <v>1618</v>
      </c>
      <c r="BE46" s="121" t="s">
        <v>1618</v>
      </c>
      <c r="BF46" s="121" t="s">
        <v>1618</v>
      </c>
      <c r="BG46" s="121" t="s">
        <v>1618</v>
      </c>
    </row>
    <row r="47" spans="1:59">
      <c r="A47" s="109" t="s">
        <v>1618</v>
      </c>
      <c r="B47" s="109" t="s">
        <v>1618</v>
      </c>
      <c r="C47" s="109" t="s">
        <v>1618</v>
      </c>
      <c r="D47" s="109" t="s">
        <v>1618</v>
      </c>
      <c r="E47" s="109" t="s">
        <v>1618</v>
      </c>
      <c r="F47" s="109" t="s">
        <v>1618</v>
      </c>
      <c r="G47" s="109" t="s">
        <v>1618</v>
      </c>
      <c r="H47" s="109" t="s">
        <v>1618</v>
      </c>
      <c r="I47" s="109" t="s">
        <v>1618</v>
      </c>
      <c r="J47" s="109" t="s">
        <v>1618</v>
      </c>
      <c r="K47" s="109" t="s">
        <v>1618</v>
      </c>
      <c r="L47" s="109" t="s">
        <v>1618</v>
      </c>
      <c r="M47" s="109" t="s">
        <v>1618</v>
      </c>
      <c r="N47" s="109" t="s">
        <v>1618</v>
      </c>
      <c r="O47" s="109" t="s">
        <v>1618</v>
      </c>
      <c r="P47" s="109" t="s">
        <v>1618</v>
      </c>
      <c r="Q47" s="109" t="s">
        <v>1618</v>
      </c>
      <c r="R47" s="106" t="s">
        <v>1618</v>
      </c>
      <c r="S47" s="106" t="s">
        <v>1618</v>
      </c>
      <c r="T47" s="106" t="s">
        <v>1618</v>
      </c>
      <c r="U47" s="106" t="s">
        <v>1618</v>
      </c>
      <c r="V47" s="106" t="s">
        <v>1618</v>
      </c>
      <c r="W47" s="106" t="s">
        <v>1618</v>
      </c>
      <c r="X47" s="106" t="s">
        <v>1618</v>
      </c>
      <c r="Y47" s="106" t="s">
        <v>1618</v>
      </c>
      <c r="Z47" s="106" t="s">
        <v>1618</v>
      </c>
      <c r="AA47" s="106" t="s">
        <v>1618</v>
      </c>
      <c r="AB47" s="106" t="s">
        <v>1618</v>
      </c>
      <c r="AC47" s="106" t="s">
        <v>1618</v>
      </c>
      <c r="AD47" s="106" t="s">
        <v>1618</v>
      </c>
      <c r="AE47" s="106" t="s">
        <v>1618</v>
      </c>
      <c r="AF47" s="106" t="s">
        <v>1618</v>
      </c>
      <c r="AG47" s="114" t="s">
        <v>1618</v>
      </c>
      <c r="AH47" s="114" t="s">
        <v>1618</v>
      </c>
      <c r="AI47" s="114" t="s">
        <v>1618</v>
      </c>
      <c r="AJ47" s="114" t="s">
        <v>1618</v>
      </c>
      <c r="AK47" s="114" t="s">
        <v>1618</v>
      </c>
      <c r="AL47" s="114" t="s">
        <v>1618</v>
      </c>
      <c r="AM47" s="114" t="s">
        <v>1618</v>
      </c>
      <c r="AN47" s="114" t="s">
        <v>1618</v>
      </c>
      <c r="AO47" s="114" t="s">
        <v>1618</v>
      </c>
      <c r="AP47" s="114" t="s">
        <v>1618</v>
      </c>
      <c r="AQ47" s="114" t="s">
        <v>1618</v>
      </c>
      <c r="AR47" s="114" t="s">
        <v>1618</v>
      </c>
      <c r="AS47" s="114" t="s">
        <v>1618</v>
      </c>
      <c r="AT47" s="114" t="s">
        <v>1618</v>
      </c>
      <c r="AU47" s="114" t="s">
        <v>1618</v>
      </c>
      <c r="AV47" s="114" t="s">
        <v>1618</v>
      </c>
      <c r="AW47" s="114" t="s">
        <v>1618</v>
      </c>
      <c r="AX47" s="121" t="s">
        <v>1618</v>
      </c>
      <c r="AY47" s="121" t="s">
        <v>1618</v>
      </c>
      <c r="AZ47" s="121" t="s">
        <v>1618</v>
      </c>
      <c r="BA47" s="121" t="s">
        <v>1618</v>
      </c>
      <c r="BB47" s="121" t="s">
        <v>1618</v>
      </c>
      <c r="BC47" s="121" t="s">
        <v>1618</v>
      </c>
      <c r="BD47" s="121" t="s">
        <v>1618</v>
      </c>
      <c r="BE47" s="121" t="s">
        <v>1618</v>
      </c>
      <c r="BF47" s="121" t="s">
        <v>1618</v>
      </c>
      <c r="BG47" s="121" t="s">
        <v>1618</v>
      </c>
    </row>
    <row r="48" spans="1:59">
      <c r="A48" s="109" t="s">
        <v>1618</v>
      </c>
      <c r="B48" s="109" t="s">
        <v>1618</v>
      </c>
      <c r="C48" s="109" t="s">
        <v>1618</v>
      </c>
      <c r="D48" s="109" t="s">
        <v>1618</v>
      </c>
      <c r="E48" s="109" t="s">
        <v>1618</v>
      </c>
      <c r="F48" s="109" t="s">
        <v>1618</v>
      </c>
      <c r="G48" s="109" t="s">
        <v>1618</v>
      </c>
      <c r="H48" s="109" t="s">
        <v>1618</v>
      </c>
      <c r="I48" s="109" t="s">
        <v>1618</v>
      </c>
      <c r="J48" s="109" t="s">
        <v>1618</v>
      </c>
      <c r="K48" s="109" t="s">
        <v>1618</v>
      </c>
      <c r="L48" s="109" t="s">
        <v>1618</v>
      </c>
      <c r="M48" s="109" t="s">
        <v>1618</v>
      </c>
      <c r="N48" s="109" t="s">
        <v>1618</v>
      </c>
      <c r="O48" s="109" t="s">
        <v>1618</v>
      </c>
      <c r="P48" s="109" t="s">
        <v>1618</v>
      </c>
      <c r="Q48" s="109" t="s">
        <v>1618</v>
      </c>
      <c r="R48" s="106" t="s">
        <v>1618</v>
      </c>
      <c r="S48" s="106" t="s">
        <v>1618</v>
      </c>
      <c r="T48" s="106" t="s">
        <v>1618</v>
      </c>
      <c r="U48" s="106" t="s">
        <v>1618</v>
      </c>
      <c r="V48" s="106" t="s">
        <v>1618</v>
      </c>
      <c r="W48" s="106" t="s">
        <v>1618</v>
      </c>
      <c r="X48" s="106" t="s">
        <v>1618</v>
      </c>
      <c r="Y48" s="106" t="s">
        <v>1618</v>
      </c>
      <c r="Z48" s="106" t="s">
        <v>1618</v>
      </c>
      <c r="AA48" s="106" t="s">
        <v>1618</v>
      </c>
      <c r="AB48" s="106" t="s">
        <v>1618</v>
      </c>
      <c r="AC48" s="106" t="s">
        <v>1618</v>
      </c>
      <c r="AD48" s="106" t="s">
        <v>1618</v>
      </c>
      <c r="AE48" s="106" t="s">
        <v>1618</v>
      </c>
      <c r="AF48" s="106" t="s">
        <v>1618</v>
      </c>
      <c r="AG48" s="114" t="s">
        <v>1618</v>
      </c>
      <c r="AH48" s="114" t="s">
        <v>1618</v>
      </c>
      <c r="AI48" s="114" t="s">
        <v>1618</v>
      </c>
      <c r="AJ48" s="114" t="s">
        <v>1618</v>
      </c>
      <c r="AK48" s="114" t="s">
        <v>1618</v>
      </c>
      <c r="AL48" s="114" t="s">
        <v>1618</v>
      </c>
      <c r="AM48" s="114" t="s">
        <v>1618</v>
      </c>
      <c r="AN48" s="114" t="s">
        <v>1618</v>
      </c>
      <c r="AO48" s="114" t="s">
        <v>1618</v>
      </c>
      <c r="AP48" s="114" t="s">
        <v>1618</v>
      </c>
      <c r="AQ48" s="114" t="s">
        <v>1618</v>
      </c>
      <c r="AR48" s="114" t="s">
        <v>1618</v>
      </c>
      <c r="AS48" s="114" t="s">
        <v>1618</v>
      </c>
      <c r="AT48" s="114" t="s">
        <v>1618</v>
      </c>
      <c r="AU48" s="114" t="s">
        <v>1618</v>
      </c>
      <c r="AV48" s="114" t="s">
        <v>1618</v>
      </c>
      <c r="AW48" s="114" t="s">
        <v>1618</v>
      </c>
      <c r="AX48" s="121" t="s">
        <v>1618</v>
      </c>
      <c r="AY48" s="121" t="s">
        <v>1618</v>
      </c>
      <c r="AZ48" s="121" t="s">
        <v>1618</v>
      </c>
      <c r="BA48" s="121" t="s">
        <v>1618</v>
      </c>
      <c r="BB48" s="121" t="s">
        <v>1618</v>
      </c>
      <c r="BC48" s="121" t="s">
        <v>1618</v>
      </c>
      <c r="BD48" s="121" t="s">
        <v>1618</v>
      </c>
      <c r="BE48" s="121" t="s">
        <v>1618</v>
      </c>
      <c r="BF48" s="121" t="s">
        <v>1618</v>
      </c>
      <c r="BG48" s="121" t="s">
        <v>1618</v>
      </c>
    </row>
    <row r="49" spans="1:59">
      <c r="A49" s="109" t="s">
        <v>1618</v>
      </c>
      <c r="B49" s="109" t="s">
        <v>1618</v>
      </c>
      <c r="C49" s="109" t="s">
        <v>1618</v>
      </c>
      <c r="D49" s="109" t="s">
        <v>1618</v>
      </c>
      <c r="E49" s="109" t="s">
        <v>1618</v>
      </c>
      <c r="F49" s="109" t="s">
        <v>1618</v>
      </c>
      <c r="G49" s="109" t="s">
        <v>1618</v>
      </c>
      <c r="H49" s="109" t="s">
        <v>1618</v>
      </c>
      <c r="I49" s="109" t="s">
        <v>1618</v>
      </c>
      <c r="J49" s="109" t="s">
        <v>1618</v>
      </c>
      <c r="K49" s="109" t="s">
        <v>1618</v>
      </c>
      <c r="L49" s="109" t="s">
        <v>1618</v>
      </c>
      <c r="M49" s="109" t="s">
        <v>1618</v>
      </c>
      <c r="N49" s="109" t="s">
        <v>1618</v>
      </c>
      <c r="O49" s="109" t="s">
        <v>1618</v>
      </c>
      <c r="P49" s="109" t="s">
        <v>1618</v>
      </c>
      <c r="Q49" s="109" t="s">
        <v>1618</v>
      </c>
      <c r="R49" s="106" t="s">
        <v>1618</v>
      </c>
      <c r="S49" s="106" t="s">
        <v>1618</v>
      </c>
      <c r="T49" s="106" t="s">
        <v>1618</v>
      </c>
      <c r="U49" s="106" t="s">
        <v>1618</v>
      </c>
      <c r="V49" s="106" t="s">
        <v>1618</v>
      </c>
      <c r="W49" s="106" t="s">
        <v>1618</v>
      </c>
      <c r="X49" s="106" t="s">
        <v>1618</v>
      </c>
      <c r="Y49" s="106" t="s">
        <v>1618</v>
      </c>
      <c r="Z49" s="106" t="s">
        <v>1618</v>
      </c>
      <c r="AA49" s="106" t="s">
        <v>1618</v>
      </c>
      <c r="AB49" s="106" t="s">
        <v>1618</v>
      </c>
      <c r="AC49" s="106" t="s">
        <v>1618</v>
      </c>
      <c r="AD49" s="106" t="s">
        <v>1618</v>
      </c>
      <c r="AE49" s="106" t="s">
        <v>1618</v>
      </c>
      <c r="AF49" s="106" t="s">
        <v>1618</v>
      </c>
      <c r="AG49" s="114" t="s">
        <v>1618</v>
      </c>
      <c r="AH49" s="114" t="s">
        <v>1618</v>
      </c>
      <c r="AI49" s="114" t="s">
        <v>1618</v>
      </c>
      <c r="AJ49" s="114" t="s">
        <v>1618</v>
      </c>
      <c r="AK49" s="114" t="s">
        <v>1618</v>
      </c>
      <c r="AL49" s="114" t="s">
        <v>1618</v>
      </c>
      <c r="AM49" s="114" t="s">
        <v>1618</v>
      </c>
      <c r="AN49" s="114" t="s">
        <v>1618</v>
      </c>
      <c r="AO49" s="114" t="s">
        <v>1618</v>
      </c>
      <c r="AP49" s="114" t="s">
        <v>1618</v>
      </c>
      <c r="AQ49" s="114" t="s">
        <v>1618</v>
      </c>
      <c r="AR49" s="114" t="s">
        <v>1618</v>
      </c>
      <c r="AS49" s="114" t="s">
        <v>1618</v>
      </c>
      <c r="AT49" s="114" t="s">
        <v>1618</v>
      </c>
      <c r="AU49" s="114" t="s">
        <v>1618</v>
      </c>
      <c r="AV49" s="114" t="s">
        <v>1618</v>
      </c>
      <c r="AW49" s="114" t="s">
        <v>1618</v>
      </c>
      <c r="AX49" s="121" t="s">
        <v>1618</v>
      </c>
      <c r="AY49" s="121" t="s">
        <v>1618</v>
      </c>
      <c r="AZ49" s="121" t="s">
        <v>1618</v>
      </c>
      <c r="BA49" s="121" t="s">
        <v>1618</v>
      </c>
      <c r="BB49" s="121" t="s">
        <v>1618</v>
      </c>
      <c r="BC49" s="121" t="s">
        <v>1618</v>
      </c>
      <c r="BD49" s="121" t="s">
        <v>1618</v>
      </c>
      <c r="BE49" s="121" t="s">
        <v>1618</v>
      </c>
      <c r="BF49" s="121" t="s">
        <v>1618</v>
      </c>
      <c r="BG49" s="121" t="s">
        <v>1618</v>
      </c>
    </row>
    <row r="50" spans="1:59">
      <c r="A50" s="109" t="s">
        <v>1618</v>
      </c>
      <c r="B50" s="109" t="s">
        <v>1618</v>
      </c>
      <c r="C50" s="109" t="s">
        <v>1618</v>
      </c>
      <c r="D50" s="109" t="s">
        <v>1618</v>
      </c>
      <c r="E50" s="109" t="s">
        <v>1618</v>
      </c>
      <c r="F50" s="109" t="s">
        <v>1618</v>
      </c>
      <c r="G50" s="109" t="s">
        <v>1618</v>
      </c>
      <c r="H50" s="109" t="s">
        <v>1618</v>
      </c>
      <c r="I50" s="109" t="s">
        <v>1618</v>
      </c>
      <c r="J50" s="109" t="s">
        <v>1618</v>
      </c>
      <c r="K50" s="109" t="s">
        <v>1618</v>
      </c>
      <c r="L50" s="109" t="s">
        <v>1618</v>
      </c>
      <c r="M50" s="109" t="s">
        <v>1618</v>
      </c>
      <c r="N50" s="109" t="s">
        <v>1618</v>
      </c>
      <c r="O50" s="109" t="s">
        <v>1618</v>
      </c>
      <c r="P50" s="109" t="s">
        <v>1618</v>
      </c>
      <c r="Q50" s="109" t="s">
        <v>1618</v>
      </c>
      <c r="R50" s="106" t="s">
        <v>1618</v>
      </c>
      <c r="S50" s="106" t="s">
        <v>1618</v>
      </c>
      <c r="T50" s="106" t="s">
        <v>1618</v>
      </c>
      <c r="U50" s="106" t="s">
        <v>1618</v>
      </c>
      <c r="V50" s="106" t="s">
        <v>1618</v>
      </c>
      <c r="W50" s="106" t="s">
        <v>1618</v>
      </c>
      <c r="X50" s="106" t="s">
        <v>1618</v>
      </c>
      <c r="Y50" s="106" t="s">
        <v>1618</v>
      </c>
      <c r="Z50" s="106" t="s">
        <v>1618</v>
      </c>
      <c r="AA50" s="106" t="s">
        <v>1618</v>
      </c>
      <c r="AB50" s="106" t="s">
        <v>1618</v>
      </c>
      <c r="AC50" s="106" t="s">
        <v>1618</v>
      </c>
      <c r="AD50" s="106" t="s">
        <v>1618</v>
      </c>
      <c r="AE50" s="106" t="s">
        <v>1618</v>
      </c>
      <c r="AF50" s="106" t="s">
        <v>1618</v>
      </c>
      <c r="AG50" s="114" t="s">
        <v>1618</v>
      </c>
      <c r="AH50" s="114" t="s">
        <v>1618</v>
      </c>
      <c r="AI50" s="114" t="s">
        <v>1618</v>
      </c>
      <c r="AJ50" s="114" t="s">
        <v>1618</v>
      </c>
      <c r="AK50" s="114" t="s">
        <v>1618</v>
      </c>
      <c r="AL50" s="114" t="s">
        <v>1618</v>
      </c>
      <c r="AM50" s="114" t="s">
        <v>1618</v>
      </c>
      <c r="AN50" s="114" t="s">
        <v>1618</v>
      </c>
      <c r="AO50" s="114" t="s">
        <v>1618</v>
      </c>
      <c r="AP50" s="114" t="s">
        <v>1618</v>
      </c>
      <c r="AQ50" s="114" t="s">
        <v>1618</v>
      </c>
      <c r="AR50" s="114" t="s">
        <v>1618</v>
      </c>
      <c r="AS50" s="114" t="s">
        <v>1618</v>
      </c>
      <c r="AT50" s="114" t="s">
        <v>1618</v>
      </c>
      <c r="AU50" s="114" t="s">
        <v>1618</v>
      </c>
      <c r="AV50" s="114" t="s">
        <v>1618</v>
      </c>
      <c r="AW50" s="114" t="s">
        <v>1618</v>
      </c>
      <c r="AX50" s="99" t="s">
        <v>1618</v>
      </c>
      <c r="AY50" s="99" t="s">
        <v>1618</v>
      </c>
      <c r="AZ50" s="99" t="s">
        <v>1618</v>
      </c>
      <c r="BA50" s="99" t="s">
        <v>1618</v>
      </c>
      <c r="BB50" s="99" t="s">
        <v>1618</v>
      </c>
      <c r="BC50" s="99" t="s">
        <v>1618</v>
      </c>
      <c r="BD50" s="99" t="s">
        <v>1618</v>
      </c>
      <c r="BE50" s="99" t="s">
        <v>1618</v>
      </c>
      <c r="BF50" s="99" t="s">
        <v>1618</v>
      </c>
      <c r="BG50" s="99" t="s">
        <v>1618</v>
      </c>
    </row>
    <row r="51" spans="1:59">
      <c r="A51" s="109" t="s">
        <v>1618</v>
      </c>
      <c r="B51" s="109" t="s">
        <v>1618</v>
      </c>
      <c r="C51" s="109" t="s">
        <v>1618</v>
      </c>
      <c r="D51" s="109" t="s">
        <v>1618</v>
      </c>
      <c r="E51" s="109" t="s">
        <v>1618</v>
      </c>
      <c r="F51" s="109" t="s">
        <v>1618</v>
      </c>
      <c r="G51" s="109" t="s">
        <v>1618</v>
      </c>
      <c r="H51" s="109" t="s">
        <v>1618</v>
      </c>
      <c r="I51" s="109" t="s">
        <v>1618</v>
      </c>
      <c r="J51" s="109" t="s">
        <v>1618</v>
      </c>
      <c r="K51" s="109" t="s">
        <v>1618</v>
      </c>
      <c r="L51" s="109" t="s">
        <v>1618</v>
      </c>
      <c r="M51" s="109" t="s">
        <v>1618</v>
      </c>
      <c r="N51" s="109" t="s">
        <v>1618</v>
      </c>
      <c r="O51" s="109" t="s">
        <v>1618</v>
      </c>
      <c r="P51" s="109" t="s">
        <v>1618</v>
      </c>
      <c r="Q51" s="109" t="s">
        <v>1618</v>
      </c>
      <c r="R51" s="106" t="s">
        <v>1618</v>
      </c>
      <c r="S51" s="106" t="s">
        <v>1618</v>
      </c>
      <c r="T51" s="106" t="s">
        <v>1618</v>
      </c>
      <c r="U51" s="106" t="s">
        <v>1618</v>
      </c>
      <c r="V51" s="106" t="s">
        <v>1618</v>
      </c>
      <c r="W51" s="106" t="s">
        <v>1618</v>
      </c>
      <c r="X51" s="106" t="s">
        <v>1618</v>
      </c>
      <c r="Y51" s="106" t="s">
        <v>1618</v>
      </c>
      <c r="Z51" s="106" t="s">
        <v>1618</v>
      </c>
      <c r="AA51" s="106" t="s">
        <v>1618</v>
      </c>
      <c r="AB51" s="106" t="s">
        <v>1618</v>
      </c>
      <c r="AC51" s="106" t="s">
        <v>1618</v>
      </c>
      <c r="AD51" s="106" t="s">
        <v>1618</v>
      </c>
      <c r="AE51" s="106" t="s">
        <v>1618</v>
      </c>
      <c r="AF51" s="106" t="s">
        <v>1618</v>
      </c>
      <c r="AG51" s="99" t="s">
        <v>1618</v>
      </c>
      <c r="AH51" s="108" t="s">
        <v>1618</v>
      </c>
      <c r="AI51" s="108" t="s">
        <v>1618</v>
      </c>
      <c r="AJ51" s="108" t="s">
        <v>1618</v>
      </c>
      <c r="AK51" s="108" t="s">
        <v>1618</v>
      </c>
      <c r="AL51" s="108" t="s">
        <v>1618</v>
      </c>
      <c r="AM51" s="108" t="s">
        <v>1618</v>
      </c>
      <c r="AN51" s="108" t="s">
        <v>1618</v>
      </c>
      <c r="AO51" s="108" t="s">
        <v>1618</v>
      </c>
      <c r="AP51" s="108" t="s">
        <v>1618</v>
      </c>
      <c r="AQ51" s="108" t="s">
        <v>1618</v>
      </c>
      <c r="AR51" s="108" t="s">
        <v>1618</v>
      </c>
      <c r="AS51" s="108" t="s">
        <v>1618</v>
      </c>
      <c r="AT51" s="108" t="s">
        <v>1618</v>
      </c>
      <c r="AU51" s="108" t="s">
        <v>1618</v>
      </c>
      <c r="AV51" s="108" t="s">
        <v>1618</v>
      </c>
      <c r="AW51" s="108" t="s">
        <v>1618</v>
      </c>
      <c r="AX51" s="108" t="s">
        <v>1618</v>
      </c>
      <c r="AY51" s="99" t="s">
        <v>1618</v>
      </c>
      <c r="AZ51" s="99" t="s">
        <v>1618</v>
      </c>
      <c r="BA51" s="99" t="s">
        <v>1618</v>
      </c>
      <c r="BB51" s="99" t="s">
        <v>1618</v>
      </c>
      <c r="BC51" s="99" t="s">
        <v>1618</v>
      </c>
      <c r="BD51" s="99" t="s">
        <v>1618</v>
      </c>
      <c r="BE51" s="99" t="s">
        <v>1618</v>
      </c>
      <c r="BF51" s="99" t="s">
        <v>1618</v>
      </c>
      <c r="BG51" s="99" t="s">
        <v>1618</v>
      </c>
    </row>
    <row r="52" spans="1:59">
      <c r="A52" s="109" t="s">
        <v>1618</v>
      </c>
      <c r="B52" s="109" t="s">
        <v>1618</v>
      </c>
      <c r="C52" s="109" t="s">
        <v>1618</v>
      </c>
      <c r="D52" s="109" t="s">
        <v>1618</v>
      </c>
      <c r="E52" s="109" t="s">
        <v>1618</v>
      </c>
      <c r="F52" s="109" t="s">
        <v>1618</v>
      </c>
      <c r="G52" s="109" t="s">
        <v>1618</v>
      </c>
      <c r="H52" s="109" t="s">
        <v>1618</v>
      </c>
      <c r="I52" s="109" t="s">
        <v>1618</v>
      </c>
      <c r="J52" s="109" t="s">
        <v>1618</v>
      </c>
      <c r="K52" s="109" t="s">
        <v>1618</v>
      </c>
      <c r="L52" s="109" t="s">
        <v>1618</v>
      </c>
      <c r="M52" s="109" t="s">
        <v>1618</v>
      </c>
      <c r="N52" s="109" t="s">
        <v>1618</v>
      </c>
      <c r="O52" s="109" t="s">
        <v>1618</v>
      </c>
      <c r="P52" s="109" t="s">
        <v>1618</v>
      </c>
      <c r="Q52" s="109" t="s">
        <v>1618</v>
      </c>
      <c r="R52" s="106" t="s">
        <v>1618</v>
      </c>
      <c r="S52" s="106" t="s">
        <v>1618</v>
      </c>
      <c r="T52" s="106" t="s">
        <v>1618</v>
      </c>
      <c r="U52" s="106" t="s">
        <v>1618</v>
      </c>
      <c r="V52" s="106" t="s">
        <v>1618</v>
      </c>
      <c r="W52" s="106" t="s">
        <v>1618</v>
      </c>
      <c r="X52" s="106" t="s">
        <v>1618</v>
      </c>
      <c r="Y52" s="106" t="s">
        <v>1618</v>
      </c>
      <c r="Z52" s="106" t="s">
        <v>1618</v>
      </c>
      <c r="AA52" s="106" t="s">
        <v>1618</v>
      </c>
      <c r="AB52" s="106" t="s">
        <v>1618</v>
      </c>
      <c r="AC52" s="106" t="s">
        <v>1618</v>
      </c>
      <c r="AD52" s="106" t="s">
        <v>1618</v>
      </c>
      <c r="AE52" s="106" t="s">
        <v>1618</v>
      </c>
      <c r="AF52" s="106" t="s">
        <v>1618</v>
      </c>
      <c r="AG52" s="99" t="s">
        <v>1618</v>
      </c>
      <c r="AH52" s="108" t="s">
        <v>1618</v>
      </c>
      <c r="AI52" s="108" t="s">
        <v>1618</v>
      </c>
      <c r="AJ52" s="108" t="s">
        <v>1618</v>
      </c>
      <c r="AK52" s="108" t="s">
        <v>1618</v>
      </c>
      <c r="AL52" s="108" t="s">
        <v>1618</v>
      </c>
      <c r="AM52" s="108" t="s">
        <v>1618</v>
      </c>
      <c r="AN52" s="108" t="s">
        <v>1618</v>
      </c>
      <c r="AO52" s="108" t="s">
        <v>1618</v>
      </c>
      <c r="AP52" s="108" t="s">
        <v>1618</v>
      </c>
      <c r="AQ52" s="108" t="s">
        <v>1618</v>
      </c>
      <c r="AR52" s="108" t="s">
        <v>1618</v>
      </c>
      <c r="AS52" s="108" t="s">
        <v>1618</v>
      </c>
      <c r="AT52" s="108" t="s">
        <v>1618</v>
      </c>
      <c r="AU52" s="108" t="s">
        <v>1618</v>
      </c>
      <c r="AV52" s="108" t="s">
        <v>1618</v>
      </c>
      <c r="AW52" s="108" t="s">
        <v>1618</v>
      </c>
      <c r="AX52" s="108" t="s">
        <v>1618</v>
      </c>
      <c r="AY52" s="99" t="s">
        <v>1618</v>
      </c>
      <c r="AZ52" s="99" t="s">
        <v>1618</v>
      </c>
      <c r="BA52" s="99" t="s">
        <v>1618</v>
      </c>
      <c r="BB52" s="99" t="s">
        <v>1618</v>
      </c>
      <c r="BC52" s="99" t="s">
        <v>1618</v>
      </c>
      <c r="BD52" s="99" t="s">
        <v>1618</v>
      </c>
      <c r="BE52" s="99" t="s">
        <v>1618</v>
      </c>
      <c r="BF52" s="99" t="s">
        <v>1618</v>
      </c>
      <c r="BG52" s="99" t="s">
        <v>1618</v>
      </c>
    </row>
    <row r="53" spans="1:59">
      <c r="A53" s="115" t="s">
        <v>1618</v>
      </c>
      <c r="B53" s="115" t="s">
        <v>1618</v>
      </c>
      <c r="C53" s="115" t="s">
        <v>1618</v>
      </c>
      <c r="D53" s="115" t="s">
        <v>1618</v>
      </c>
      <c r="E53" s="115" t="s">
        <v>1618</v>
      </c>
      <c r="F53" s="115" t="s">
        <v>1618</v>
      </c>
      <c r="G53" s="115" t="s">
        <v>1618</v>
      </c>
      <c r="H53" s="115" t="s">
        <v>1618</v>
      </c>
      <c r="I53" s="115" t="s">
        <v>1618</v>
      </c>
      <c r="J53" s="115" t="s">
        <v>1618</v>
      </c>
      <c r="K53" s="115" t="s">
        <v>1618</v>
      </c>
      <c r="L53" s="115" t="s">
        <v>1618</v>
      </c>
      <c r="M53" s="115" t="s">
        <v>1618</v>
      </c>
      <c r="N53" s="115" t="s">
        <v>1618</v>
      </c>
      <c r="O53" s="115" t="s">
        <v>1618</v>
      </c>
      <c r="P53" s="115" t="s">
        <v>1618</v>
      </c>
      <c r="Q53" s="115" t="s">
        <v>1618</v>
      </c>
      <c r="R53" s="102" t="s">
        <v>1618</v>
      </c>
      <c r="S53" s="102" t="s">
        <v>1618</v>
      </c>
      <c r="T53" s="102" t="s">
        <v>1618</v>
      </c>
      <c r="U53" s="102" t="s">
        <v>1618</v>
      </c>
      <c r="V53" s="102" t="s">
        <v>1618</v>
      </c>
      <c r="W53" s="102" t="s">
        <v>1618</v>
      </c>
      <c r="X53" s="102" t="s">
        <v>1618</v>
      </c>
      <c r="Y53" s="102" t="s">
        <v>1618</v>
      </c>
      <c r="Z53" s="102" t="s">
        <v>1618</v>
      </c>
      <c r="AA53" s="102" t="s">
        <v>1618</v>
      </c>
      <c r="AB53" s="102" t="s">
        <v>1618</v>
      </c>
      <c r="AC53" s="102" t="s">
        <v>1618</v>
      </c>
      <c r="AD53" s="102" t="s">
        <v>1618</v>
      </c>
      <c r="AE53" s="102" t="s">
        <v>1618</v>
      </c>
      <c r="AF53" s="102" t="s">
        <v>1618</v>
      </c>
      <c r="AG53" s="102" t="s">
        <v>1618</v>
      </c>
      <c r="AH53" s="108" t="s">
        <v>1618</v>
      </c>
      <c r="AI53" s="108" t="s">
        <v>1618</v>
      </c>
      <c r="AJ53" s="108" t="s">
        <v>1618</v>
      </c>
      <c r="AK53" s="108" t="s">
        <v>1618</v>
      </c>
      <c r="AL53" s="108" t="s">
        <v>1618</v>
      </c>
      <c r="AM53" s="108" t="s">
        <v>1618</v>
      </c>
      <c r="AN53" s="108" t="s">
        <v>1618</v>
      </c>
      <c r="AO53" s="108" t="s">
        <v>1618</v>
      </c>
      <c r="AP53" s="108" t="s">
        <v>1618</v>
      </c>
      <c r="AQ53" s="108" t="s">
        <v>1618</v>
      </c>
      <c r="AR53" s="108" t="s">
        <v>1618</v>
      </c>
      <c r="AS53" s="108" t="s">
        <v>1618</v>
      </c>
      <c r="AT53" s="108" t="s">
        <v>1618</v>
      </c>
      <c r="AU53" s="108" t="s">
        <v>1618</v>
      </c>
      <c r="AV53" s="108" t="s">
        <v>1618</v>
      </c>
      <c r="AW53" s="108" t="s">
        <v>1618</v>
      </c>
      <c r="AX53" s="108" t="s">
        <v>1618</v>
      </c>
      <c r="AY53" s="99" t="s">
        <v>1618</v>
      </c>
      <c r="AZ53" s="99" t="s">
        <v>1618</v>
      </c>
      <c r="BA53" s="99" t="s">
        <v>1618</v>
      </c>
      <c r="BB53" s="99" t="s">
        <v>1618</v>
      </c>
      <c r="BC53" s="99" t="s">
        <v>1618</v>
      </c>
      <c r="BD53" s="99" t="s">
        <v>1618</v>
      </c>
      <c r="BE53" s="99" t="s">
        <v>1618</v>
      </c>
      <c r="BF53" s="99" t="s">
        <v>1618</v>
      </c>
      <c r="BG53" s="99" t="s">
        <v>1618</v>
      </c>
    </row>
    <row r="54" spans="1:59">
      <c r="A54" s="115" t="s">
        <v>1618</v>
      </c>
      <c r="B54" s="115" t="s">
        <v>1618</v>
      </c>
      <c r="C54" s="115" t="s">
        <v>1618</v>
      </c>
      <c r="D54" s="115" t="s">
        <v>1618</v>
      </c>
      <c r="E54" s="115" t="s">
        <v>1618</v>
      </c>
      <c r="F54" s="115" t="s">
        <v>1618</v>
      </c>
      <c r="G54" s="115" t="s">
        <v>1618</v>
      </c>
      <c r="H54" s="115" t="s">
        <v>1618</v>
      </c>
      <c r="I54" s="115" t="s">
        <v>1618</v>
      </c>
      <c r="J54" s="115" t="s">
        <v>1618</v>
      </c>
      <c r="K54" s="115" t="s">
        <v>1618</v>
      </c>
      <c r="L54" s="115" t="s">
        <v>1618</v>
      </c>
      <c r="M54" s="115" t="s">
        <v>1618</v>
      </c>
      <c r="N54" s="115" t="s">
        <v>1618</v>
      </c>
      <c r="O54" s="115" t="s">
        <v>1618</v>
      </c>
      <c r="P54" s="115" t="s">
        <v>1618</v>
      </c>
      <c r="Q54" s="115" t="s">
        <v>1618</v>
      </c>
      <c r="R54" s="102" t="s">
        <v>1618</v>
      </c>
      <c r="S54" s="102" t="s">
        <v>1618</v>
      </c>
      <c r="T54" s="102" t="s">
        <v>1618</v>
      </c>
      <c r="U54" s="102" t="s">
        <v>1618</v>
      </c>
      <c r="V54" s="102" t="s">
        <v>1618</v>
      </c>
      <c r="W54" s="102" t="s">
        <v>1618</v>
      </c>
      <c r="X54" s="102" t="s">
        <v>1618</v>
      </c>
      <c r="Y54" s="102" t="s">
        <v>1618</v>
      </c>
      <c r="Z54" s="102" t="s">
        <v>1618</v>
      </c>
      <c r="AA54" s="102" t="s">
        <v>1618</v>
      </c>
      <c r="AB54" s="102" t="s">
        <v>1618</v>
      </c>
      <c r="AC54" s="102" t="s">
        <v>1618</v>
      </c>
      <c r="AD54" s="102" t="s">
        <v>1618</v>
      </c>
      <c r="AE54" s="102" t="s">
        <v>1618</v>
      </c>
      <c r="AF54" s="102" t="s">
        <v>1618</v>
      </c>
      <c r="AG54" s="102" t="s">
        <v>1618</v>
      </c>
      <c r="AH54" s="108" t="s">
        <v>1618</v>
      </c>
      <c r="AI54" s="108" t="s">
        <v>1618</v>
      </c>
      <c r="AJ54" s="108" t="s">
        <v>1618</v>
      </c>
      <c r="AK54" s="108" t="s">
        <v>1618</v>
      </c>
      <c r="AL54" s="108" t="s">
        <v>1618</v>
      </c>
      <c r="AM54" s="108" t="s">
        <v>1618</v>
      </c>
      <c r="AN54" s="108" t="s">
        <v>1618</v>
      </c>
      <c r="AO54" s="108" t="s">
        <v>1618</v>
      </c>
      <c r="AP54" s="108" t="s">
        <v>1618</v>
      </c>
      <c r="AQ54" s="108" t="s">
        <v>1618</v>
      </c>
      <c r="AR54" s="108" t="s">
        <v>1618</v>
      </c>
      <c r="AS54" s="108" t="s">
        <v>1618</v>
      </c>
      <c r="AT54" s="108" t="s">
        <v>1618</v>
      </c>
      <c r="AU54" s="108" t="s">
        <v>1618</v>
      </c>
      <c r="AV54" s="108" t="s">
        <v>1618</v>
      </c>
      <c r="AW54" s="108" t="s">
        <v>1618</v>
      </c>
      <c r="AX54" s="108" t="s">
        <v>1618</v>
      </c>
      <c r="AY54" s="99" t="s">
        <v>1618</v>
      </c>
      <c r="AZ54" s="99" t="s">
        <v>1618</v>
      </c>
      <c r="BA54" s="99" t="s">
        <v>1618</v>
      </c>
      <c r="BB54" s="99" t="s">
        <v>1618</v>
      </c>
      <c r="BC54" s="99" t="s">
        <v>1618</v>
      </c>
      <c r="BD54" s="99" t="s">
        <v>1618</v>
      </c>
      <c r="BE54" s="99" t="s">
        <v>1618</v>
      </c>
      <c r="BF54" s="99" t="s">
        <v>1618</v>
      </c>
      <c r="BG54" s="99" t="s">
        <v>1618</v>
      </c>
    </row>
    <row r="55" spans="1:59">
      <c r="A55" s="115" t="s">
        <v>1618</v>
      </c>
      <c r="B55" s="115" t="s">
        <v>1618</v>
      </c>
      <c r="C55" s="115" t="s">
        <v>1618</v>
      </c>
      <c r="D55" s="115" t="s">
        <v>1618</v>
      </c>
      <c r="E55" s="115" t="s">
        <v>1618</v>
      </c>
      <c r="F55" s="115" t="s">
        <v>1618</v>
      </c>
      <c r="G55" s="115" t="s">
        <v>1618</v>
      </c>
      <c r="H55" s="115" t="s">
        <v>1618</v>
      </c>
      <c r="I55" s="115" t="s">
        <v>1618</v>
      </c>
      <c r="J55" s="115" t="s">
        <v>1618</v>
      </c>
      <c r="K55" s="115" t="s">
        <v>1618</v>
      </c>
      <c r="L55" s="115" t="s">
        <v>1618</v>
      </c>
      <c r="M55" s="115" t="s">
        <v>1618</v>
      </c>
      <c r="N55" s="115" t="s">
        <v>1618</v>
      </c>
      <c r="O55" s="115" t="s">
        <v>1618</v>
      </c>
      <c r="P55" s="115" t="s">
        <v>1618</v>
      </c>
      <c r="Q55" s="115" t="s">
        <v>1618</v>
      </c>
      <c r="R55" s="102" t="s">
        <v>1618</v>
      </c>
      <c r="S55" s="102" t="s">
        <v>1618</v>
      </c>
      <c r="T55" s="102" t="s">
        <v>1618</v>
      </c>
      <c r="U55" s="102" t="s">
        <v>1618</v>
      </c>
      <c r="V55" s="102" t="s">
        <v>1618</v>
      </c>
      <c r="W55" s="102" t="s">
        <v>1618</v>
      </c>
      <c r="X55" s="102" t="s">
        <v>1618</v>
      </c>
      <c r="Y55" s="102" t="s">
        <v>1618</v>
      </c>
      <c r="Z55" s="102" t="s">
        <v>1618</v>
      </c>
      <c r="AA55" s="102" t="s">
        <v>1618</v>
      </c>
      <c r="AB55" s="102" t="s">
        <v>1618</v>
      </c>
      <c r="AC55" s="102" t="s">
        <v>1618</v>
      </c>
      <c r="AD55" s="102" t="s">
        <v>1618</v>
      </c>
      <c r="AE55" s="102" t="s">
        <v>1618</v>
      </c>
      <c r="AF55" s="102" t="s">
        <v>1618</v>
      </c>
      <c r="AG55" s="102" t="s">
        <v>1618</v>
      </c>
      <c r="AH55" s="108" t="s">
        <v>1618</v>
      </c>
      <c r="AI55" s="108" t="s">
        <v>1618</v>
      </c>
      <c r="AJ55" s="108" t="s">
        <v>1618</v>
      </c>
      <c r="AK55" s="108" t="s">
        <v>1618</v>
      </c>
      <c r="AL55" s="108" t="s">
        <v>1618</v>
      </c>
      <c r="AM55" s="108" t="s">
        <v>1618</v>
      </c>
      <c r="AN55" s="108" t="s">
        <v>1618</v>
      </c>
      <c r="AO55" s="108" t="s">
        <v>1618</v>
      </c>
      <c r="AP55" s="108" t="s">
        <v>1618</v>
      </c>
      <c r="AQ55" s="108" t="s">
        <v>1618</v>
      </c>
      <c r="AR55" s="108" t="s">
        <v>1618</v>
      </c>
      <c r="AS55" s="108" t="s">
        <v>1618</v>
      </c>
      <c r="AT55" s="108" t="s">
        <v>1618</v>
      </c>
      <c r="AU55" s="108" t="s">
        <v>1618</v>
      </c>
      <c r="AV55" s="108" t="s">
        <v>1618</v>
      </c>
      <c r="AW55" s="108" t="s">
        <v>1618</v>
      </c>
      <c r="AX55" s="108" t="s">
        <v>1618</v>
      </c>
      <c r="AY55" s="99" t="s">
        <v>1618</v>
      </c>
      <c r="AZ55" s="99" t="s">
        <v>1618</v>
      </c>
      <c r="BA55" s="99" t="s">
        <v>1618</v>
      </c>
      <c r="BB55" s="99" t="s">
        <v>1618</v>
      </c>
      <c r="BC55" s="99" t="s">
        <v>1618</v>
      </c>
      <c r="BD55" s="99" t="s">
        <v>1618</v>
      </c>
      <c r="BE55" s="99" t="s">
        <v>1618</v>
      </c>
      <c r="BF55" s="99" t="s">
        <v>1618</v>
      </c>
      <c r="BG55" s="99" t="s">
        <v>1618</v>
      </c>
    </row>
    <row r="56" spans="1:59">
      <c r="A56" s="115" t="s">
        <v>1618</v>
      </c>
      <c r="B56" s="115" t="s">
        <v>1618</v>
      </c>
      <c r="C56" s="115" t="s">
        <v>1618</v>
      </c>
      <c r="D56" s="115" t="s">
        <v>1618</v>
      </c>
      <c r="E56" s="115" t="s">
        <v>1618</v>
      </c>
      <c r="F56" s="115" t="s">
        <v>1618</v>
      </c>
      <c r="G56" s="115" t="s">
        <v>1618</v>
      </c>
      <c r="H56" s="115" t="s">
        <v>1618</v>
      </c>
      <c r="I56" s="115" t="s">
        <v>1618</v>
      </c>
      <c r="J56" s="115" t="s">
        <v>1618</v>
      </c>
      <c r="K56" s="115" t="s">
        <v>1618</v>
      </c>
      <c r="L56" s="115" t="s">
        <v>1618</v>
      </c>
      <c r="M56" s="115" t="s">
        <v>1618</v>
      </c>
      <c r="N56" s="115" t="s">
        <v>1618</v>
      </c>
      <c r="O56" s="115" t="s">
        <v>1618</v>
      </c>
      <c r="P56" s="115" t="s">
        <v>1618</v>
      </c>
      <c r="Q56" s="115" t="s">
        <v>1618</v>
      </c>
      <c r="R56" s="102" t="s">
        <v>1618</v>
      </c>
      <c r="S56" s="102" t="s">
        <v>1618</v>
      </c>
      <c r="T56" s="102" t="s">
        <v>1618</v>
      </c>
      <c r="U56" s="102" t="s">
        <v>1618</v>
      </c>
      <c r="V56" s="102" t="s">
        <v>1618</v>
      </c>
      <c r="W56" s="102" t="s">
        <v>1618</v>
      </c>
      <c r="X56" s="102" t="s">
        <v>1618</v>
      </c>
      <c r="Y56" s="102" t="s">
        <v>1618</v>
      </c>
      <c r="Z56" s="102" t="s">
        <v>1618</v>
      </c>
      <c r="AA56" s="102" t="s">
        <v>1618</v>
      </c>
      <c r="AB56" s="102" t="s">
        <v>1618</v>
      </c>
      <c r="AC56" s="102" t="s">
        <v>1618</v>
      </c>
      <c r="AD56" s="102" t="s">
        <v>1618</v>
      </c>
      <c r="AE56" s="102" t="s">
        <v>1618</v>
      </c>
      <c r="AF56" s="102" t="s">
        <v>1618</v>
      </c>
      <c r="AG56" s="102" t="s">
        <v>1618</v>
      </c>
      <c r="AH56" s="108" t="s">
        <v>1618</v>
      </c>
      <c r="AI56" s="108" t="s">
        <v>1618</v>
      </c>
      <c r="AJ56" s="108" t="s">
        <v>1618</v>
      </c>
      <c r="AK56" s="108" t="s">
        <v>1618</v>
      </c>
      <c r="AL56" s="108" t="s">
        <v>1618</v>
      </c>
      <c r="AM56" s="108" t="s">
        <v>1618</v>
      </c>
      <c r="AN56" s="108" t="s">
        <v>1618</v>
      </c>
      <c r="AO56" s="108" t="s">
        <v>1618</v>
      </c>
      <c r="AP56" s="108" t="s">
        <v>1618</v>
      </c>
      <c r="AQ56" s="108" t="s">
        <v>1618</v>
      </c>
      <c r="AR56" s="108" t="s">
        <v>1618</v>
      </c>
      <c r="AS56" s="108" t="s">
        <v>1618</v>
      </c>
      <c r="AT56" s="108" t="s">
        <v>1618</v>
      </c>
      <c r="AU56" s="108" t="s">
        <v>1618</v>
      </c>
      <c r="AV56" s="108" t="s">
        <v>1618</v>
      </c>
      <c r="AW56" s="108" t="s">
        <v>1618</v>
      </c>
      <c r="AX56" s="108" t="s">
        <v>1618</v>
      </c>
      <c r="AY56" s="99" t="s">
        <v>1618</v>
      </c>
      <c r="AZ56" s="99" t="s">
        <v>1618</v>
      </c>
      <c r="BA56" s="99" t="s">
        <v>1618</v>
      </c>
      <c r="BB56" s="99" t="s">
        <v>1618</v>
      </c>
      <c r="BC56" s="99" t="s">
        <v>1618</v>
      </c>
      <c r="BD56" s="99" t="s">
        <v>1618</v>
      </c>
      <c r="BE56" s="99" t="s">
        <v>1618</v>
      </c>
      <c r="BF56" s="99" t="s">
        <v>1618</v>
      </c>
      <c r="BG56" s="99" t="s">
        <v>1618</v>
      </c>
    </row>
    <row r="57" spans="1:59">
      <c r="A57" s="115" t="s">
        <v>1618</v>
      </c>
      <c r="B57" s="115" t="s">
        <v>1618</v>
      </c>
      <c r="C57" s="115" t="s">
        <v>1618</v>
      </c>
      <c r="D57" s="115" t="s">
        <v>1618</v>
      </c>
      <c r="E57" s="115" t="s">
        <v>1618</v>
      </c>
      <c r="F57" s="115" t="s">
        <v>1618</v>
      </c>
      <c r="G57" s="115" t="s">
        <v>1618</v>
      </c>
      <c r="H57" s="115" t="s">
        <v>1618</v>
      </c>
      <c r="I57" s="115" t="s">
        <v>1618</v>
      </c>
      <c r="J57" s="115" t="s">
        <v>1618</v>
      </c>
      <c r="K57" s="115" t="s">
        <v>1618</v>
      </c>
      <c r="L57" s="115" t="s">
        <v>1618</v>
      </c>
      <c r="M57" s="115" t="s">
        <v>1618</v>
      </c>
      <c r="N57" s="115" t="s">
        <v>1618</v>
      </c>
      <c r="O57" s="115" t="s">
        <v>1618</v>
      </c>
      <c r="P57" s="115" t="s">
        <v>1618</v>
      </c>
      <c r="Q57" s="115" t="s">
        <v>1618</v>
      </c>
      <c r="R57" s="102" t="s">
        <v>1618</v>
      </c>
      <c r="S57" s="102" t="s">
        <v>1618</v>
      </c>
      <c r="T57" s="102" t="s">
        <v>1618</v>
      </c>
      <c r="U57" s="102" t="s">
        <v>1618</v>
      </c>
      <c r="V57" s="102" t="s">
        <v>1618</v>
      </c>
      <c r="W57" s="102" t="s">
        <v>1618</v>
      </c>
      <c r="X57" s="102" t="s">
        <v>1618</v>
      </c>
      <c r="Y57" s="102" t="s">
        <v>1618</v>
      </c>
      <c r="Z57" s="102" t="s">
        <v>1618</v>
      </c>
      <c r="AA57" s="102" t="s">
        <v>1618</v>
      </c>
      <c r="AB57" s="102" t="s">
        <v>1618</v>
      </c>
      <c r="AC57" s="102" t="s">
        <v>1618</v>
      </c>
      <c r="AD57" s="102" t="s">
        <v>1618</v>
      </c>
      <c r="AE57" s="102" t="s">
        <v>1618</v>
      </c>
      <c r="AF57" s="102" t="s">
        <v>1618</v>
      </c>
      <c r="AG57" s="102" t="s">
        <v>1618</v>
      </c>
      <c r="AH57" s="108" t="s">
        <v>1618</v>
      </c>
      <c r="AI57" s="108" t="s">
        <v>1618</v>
      </c>
      <c r="AJ57" s="108" t="s">
        <v>1618</v>
      </c>
      <c r="AK57" s="108" t="s">
        <v>1618</v>
      </c>
      <c r="AL57" s="108" t="s">
        <v>1618</v>
      </c>
      <c r="AM57" s="108" t="s">
        <v>1618</v>
      </c>
      <c r="AN57" s="108" t="s">
        <v>1618</v>
      </c>
      <c r="AO57" s="108" t="s">
        <v>1618</v>
      </c>
      <c r="AP57" s="108" t="s">
        <v>1618</v>
      </c>
      <c r="AQ57" s="108" t="s">
        <v>1618</v>
      </c>
      <c r="AR57" s="108" t="s">
        <v>1618</v>
      </c>
      <c r="AS57" s="108" t="s">
        <v>1618</v>
      </c>
      <c r="AT57" s="108" t="s">
        <v>1618</v>
      </c>
      <c r="AU57" s="108" t="s">
        <v>1618</v>
      </c>
      <c r="AV57" s="108" t="s">
        <v>1618</v>
      </c>
      <c r="AW57" s="108" t="s">
        <v>1618</v>
      </c>
      <c r="AX57" s="108" t="s">
        <v>1618</v>
      </c>
      <c r="AY57" s="99" t="s">
        <v>1618</v>
      </c>
      <c r="AZ57" s="99" t="s">
        <v>1618</v>
      </c>
      <c r="BA57" s="99" t="s">
        <v>1618</v>
      </c>
      <c r="BB57" s="99" t="s">
        <v>1618</v>
      </c>
      <c r="BC57" s="99" t="s">
        <v>1618</v>
      </c>
      <c r="BD57" s="99" t="s">
        <v>1618</v>
      </c>
      <c r="BE57" s="99" t="s">
        <v>1618</v>
      </c>
      <c r="BF57" s="99" t="s">
        <v>1618</v>
      </c>
      <c r="BG57" s="99" t="s">
        <v>1618</v>
      </c>
    </row>
    <row r="58" spans="1:59">
      <c r="A58" s="115" t="s">
        <v>1618</v>
      </c>
      <c r="B58" s="115" t="s">
        <v>1618</v>
      </c>
      <c r="C58" s="115" t="s">
        <v>1618</v>
      </c>
      <c r="D58" s="115" t="s">
        <v>1618</v>
      </c>
      <c r="E58" s="115" t="s">
        <v>1618</v>
      </c>
      <c r="F58" s="115" t="s">
        <v>1618</v>
      </c>
      <c r="G58" s="115" t="s">
        <v>1618</v>
      </c>
      <c r="H58" s="115" t="s">
        <v>1618</v>
      </c>
      <c r="I58" s="115" t="s">
        <v>1618</v>
      </c>
      <c r="J58" s="115" t="s">
        <v>1618</v>
      </c>
      <c r="K58" s="115" t="s">
        <v>1618</v>
      </c>
      <c r="L58" s="115" t="s">
        <v>1618</v>
      </c>
      <c r="M58" s="115" t="s">
        <v>1618</v>
      </c>
      <c r="N58" s="115" t="s">
        <v>1618</v>
      </c>
      <c r="O58" s="115" t="s">
        <v>1618</v>
      </c>
      <c r="P58" s="115" t="s">
        <v>1618</v>
      </c>
      <c r="Q58" s="115" t="s">
        <v>1618</v>
      </c>
      <c r="R58" s="102" t="s">
        <v>1618</v>
      </c>
      <c r="S58" s="102" t="s">
        <v>1618</v>
      </c>
      <c r="T58" s="102" t="s">
        <v>1618</v>
      </c>
      <c r="U58" s="102" t="s">
        <v>1618</v>
      </c>
      <c r="V58" s="102" t="s">
        <v>1618</v>
      </c>
      <c r="W58" s="102" t="s">
        <v>1618</v>
      </c>
      <c r="X58" s="102" t="s">
        <v>1618</v>
      </c>
      <c r="Y58" s="102" t="s">
        <v>1618</v>
      </c>
      <c r="Z58" s="102" t="s">
        <v>1618</v>
      </c>
      <c r="AA58" s="102" t="s">
        <v>1618</v>
      </c>
      <c r="AB58" s="102" t="s">
        <v>1618</v>
      </c>
      <c r="AC58" s="102" t="s">
        <v>1618</v>
      </c>
      <c r="AD58" s="102" t="s">
        <v>1618</v>
      </c>
      <c r="AE58" s="102" t="s">
        <v>1618</v>
      </c>
      <c r="AF58" s="102" t="s">
        <v>1618</v>
      </c>
      <c r="AG58" s="102" t="s">
        <v>1618</v>
      </c>
      <c r="AH58" s="108" t="s">
        <v>1618</v>
      </c>
      <c r="AI58" s="108" t="s">
        <v>1618</v>
      </c>
      <c r="AJ58" s="108" t="s">
        <v>1618</v>
      </c>
      <c r="AK58" s="108" t="s">
        <v>1618</v>
      </c>
      <c r="AL58" s="108" t="s">
        <v>1618</v>
      </c>
      <c r="AM58" s="108" t="s">
        <v>1618</v>
      </c>
      <c r="AN58" s="108" t="s">
        <v>1618</v>
      </c>
      <c r="AO58" s="108" t="s">
        <v>1618</v>
      </c>
      <c r="AP58" s="108" t="s">
        <v>1618</v>
      </c>
      <c r="AQ58" s="108" t="s">
        <v>1618</v>
      </c>
      <c r="AR58" s="108" t="s">
        <v>1618</v>
      </c>
      <c r="AS58" s="108" t="s">
        <v>1618</v>
      </c>
      <c r="AT58" s="108" t="s">
        <v>1618</v>
      </c>
      <c r="AU58" s="108" t="s">
        <v>1618</v>
      </c>
      <c r="AV58" s="108" t="s">
        <v>1618</v>
      </c>
      <c r="AW58" s="108" t="s">
        <v>1618</v>
      </c>
      <c r="AX58" s="108" t="s">
        <v>1618</v>
      </c>
      <c r="AY58" s="99" t="s">
        <v>1618</v>
      </c>
      <c r="AZ58" s="99" t="s">
        <v>1618</v>
      </c>
      <c r="BA58" s="99" t="s">
        <v>1618</v>
      </c>
      <c r="BB58" s="99" t="s">
        <v>1618</v>
      </c>
      <c r="BC58" s="99" t="s">
        <v>1618</v>
      </c>
      <c r="BD58" s="99" t="s">
        <v>1618</v>
      </c>
      <c r="BE58" s="99" t="s">
        <v>1618</v>
      </c>
      <c r="BF58" s="99" t="s">
        <v>1618</v>
      </c>
      <c r="BG58" s="99" t="s">
        <v>1618</v>
      </c>
    </row>
    <row r="59" spans="1:59">
      <c r="A59" s="115" t="s">
        <v>1618</v>
      </c>
      <c r="B59" s="115" t="s">
        <v>1618</v>
      </c>
      <c r="C59" s="115" t="s">
        <v>1618</v>
      </c>
      <c r="D59" s="115" t="s">
        <v>1618</v>
      </c>
      <c r="E59" s="115" t="s">
        <v>1618</v>
      </c>
      <c r="F59" s="115" t="s">
        <v>1618</v>
      </c>
      <c r="G59" s="115" t="s">
        <v>1618</v>
      </c>
      <c r="H59" s="115" t="s">
        <v>1618</v>
      </c>
      <c r="I59" s="115" t="s">
        <v>1618</v>
      </c>
      <c r="J59" s="115" t="s">
        <v>1618</v>
      </c>
      <c r="K59" s="115" t="s">
        <v>1618</v>
      </c>
      <c r="L59" s="115" t="s">
        <v>1618</v>
      </c>
      <c r="M59" s="115" t="s">
        <v>1618</v>
      </c>
      <c r="N59" s="115" t="s">
        <v>1618</v>
      </c>
      <c r="O59" s="115" t="s">
        <v>1618</v>
      </c>
      <c r="P59" s="115" t="s">
        <v>1618</v>
      </c>
      <c r="Q59" s="115" t="s">
        <v>1618</v>
      </c>
      <c r="R59" s="102" t="s">
        <v>1618</v>
      </c>
      <c r="S59" s="102" t="s">
        <v>1618</v>
      </c>
      <c r="T59" s="102" t="s">
        <v>1618</v>
      </c>
      <c r="U59" s="102" t="s">
        <v>1618</v>
      </c>
      <c r="V59" s="102" t="s">
        <v>1618</v>
      </c>
      <c r="W59" s="102" t="s">
        <v>1618</v>
      </c>
      <c r="X59" s="102" t="s">
        <v>1618</v>
      </c>
      <c r="Y59" s="102" t="s">
        <v>1618</v>
      </c>
      <c r="Z59" s="102" t="s">
        <v>1618</v>
      </c>
      <c r="AA59" s="102" t="s">
        <v>1618</v>
      </c>
      <c r="AB59" s="102" t="s">
        <v>1618</v>
      </c>
      <c r="AC59" s="102" t="s">
        <v>1618</v>
      </c>
      <c r="AD59" s="102" t="s">
        <v>1618</v>
      </c>
      <c r="AE59" s="102" t="s">
        <v>1618</v>
      </c>
      <c r="AF59" s="102" t="s">
        <v>1618</v>
      </c>
      <c r="AG59" s="102" t="s">
        <v>1618</v>
      </c>
      <c r="AH59" s="108" t="s">
        <v>1618</v>
      </c>
      <c r="AI59" s="108" t="s">
        <v>1618</v>
      </c>
      <c r="AJ59" s="108" t="s">
        <v>1618</v>
      </c>
      <c r="AK59" s="108" t="s">
        <v>1618</v>
      </c>
      <c r="AL59" s="108" t="s">
        <v>1618</v>
      </c>
      <c r="AM59" s="108" t="s">
        <v>1618</v>
      </c>
      <c r="AN59" s="108" t="s">
        <v>1618</v>
      </c>
      <c r="AO59" s="108" t="s">
        <v>1618</v>
      </c>
      <c r="AP59" s="108" t="s">
        <v>1618</v>
      </c>
      <c r="AQ59" s="108" t="s">
        <v>1618</v>
      </c>
      <c r="AR59" s="108" t="s">
        <v>1618</v>
      </c>
      <c r="AS59" s="108" t="s">
        <v>1618</v>
      </c>
      <c r="AT59" s="108" t="s">
        <v>1618</v>
      </c>
      <c r="AU59" s="108" t="s">
        <v>1618</v>
      </c>
      <c r="AV59" s="108" t="s">
        <v>1618</v>
      </c>
      <c r="AW59" s="108" t="s">
        <v>1618</v>
      </c>
      <c r="AX59" s="108" t="s">
        <v>1618</v>
      </c>
      <c r="AY59" s="99" t="s">
        <v>1618</v>
      </c>
      <c r="AZ59" s="99" t="s">
        <v>1618</v>
      </c>
      <c r="BA59" s="99" t="s">
        <v>1618</v>
      </c>
      <c r="BB59" s="99" t="s">
        <v>1618</v>
      </c>
      <c r="BC59" s="99" t="s">
        <v>1618</v>
      </c>
      <c r="BD59" s="99" t="s">
        <v>1618</v>
      </c>
      <c r="BE59" s="99" t="s">
        <v>1618</v>
      </c>
      <c r="BF59" s="99" t="s">
        <v>1618</v>
      </c>
      <c r="BG59" s="99" t="s">
        <v>1618</v>
      </c>
    </row>
    <row r="60" spans="1:59">
      <c r="A60" s="115" t="s">
        <v>1618</v>
      </c>
      <c r="B60" s="115" t="s">
        <v>1618</v>
      </c>
      <c r="C60" s="115" t="s">
        <v>1618</v>
      </c>
      <c r="D60" s="115" t="s">
        <v>1618</v>
      </c>
      <c r="E60" s="115" t="s">
        <v>1618</v>
      </c>
      <c r="F60" s="115" t="s">
        <v>1618</v>
      </c>
      <c r="G60" s="115" t="s">
        <v>1618</v>
      </c>
      <c r="H60" s="115" t="s">
        <v>1618</v>
      </c>
      <c r="I60" s="115" t="s">
        <v>1618</v>
      </c>
      <c r="J60" s="115" t="s">
        <v>1618</v>
      </c>
      <c r="K60" s="115" t="s">
        <v>1618</v>
      </c>
      <c r="L60" s="115" t="s">
        <v>1618</v>
      </c>
      <c r="M60" s="115" t="s">
        <v>1618</v>
      </c>
      <c r="N60" s="115" t="s">
        <v>1618</v>
      </c>
      <c r="O60" s="115" t="s">
        <v>1618</v>
      </c>
      <c r="P60" s="115" t="s">
        <v>1618</v>
      </c>
      <c r="Q60" s="115" t="s">
        <v>1618</v>
      </c>
      <c r="R60" s="102" t="s">
        <v>1618</v>
      </c>
      <c r="S60" s="102" t="s">
        <v>1618</v>
      </c>
      <c r="T60" s="102" t="s">
        <v>1618</v>
      </c>
      <c r="U60" s="102" t="s">
        <v>1618</v>
      </c>
      <c r="V60" s="102" t="s">
        <v>1618</v>
      </c>
      <c r="W60" s="102" t="s">
        <v>1618</v>
      </c>
      <c r="X60" s="102" t="s">
        <v>1618</v>
      </c>
      <c r="Y60" s="102" t="s">
        <v>1618</v>
      </c>
      <c r="Z60" s="102" t="s">
        <v>1618</v>
      </c>
      <c r="AA60" s="102" t="s">
        <v>1618</v>
      </c>
      <c r="AB60" s="102" t="s">
        <v>1618</v>
      </c>
      <c r="AC60" s="102" t="s">
        <v>1618</v>
      </c>
      <c r="AD60" s="102" t="s">
        <v>1618</v>
      </c>
      <c r="AE60" s="102" t="s">
        <v>1618</v>
      </c>
      <c r="AF60" s="102" t="s">
        <v>1618</v>
      </c>
      <c r="AG60" s="102" t="s">
        <v>1618</v>
      </c>
      <c r="AH60" s="108" t="s">
        <v>1618</v>
      </c>
      <c r="AI60" s="108" t="s">
        <v>1618</v>
      </c>
      <c r="AJ60" s="108" t="s">
        <v>1618</v>
      </c>
      <c r="AK60" s="108" t="s">
        <v>1618</v>
      </c>
      <c r="AL60" s="108" t="s">
        <v>1618</v>
      </c>
      <c r="AM60" s="108" t="s">
        <v>1618</v>
      </c>
      <c r="AN60" s="108" t="s">
        <v>1618</v>
      </c>
      <c r="AO60" s="108" t="s">
        <v>1618</v>
      </c>
      <c r="AP60" s="108" t="s">
        <v>1618</v>
      </c>
      <c r="AQ60" s="108" t="s">
        <v>1618</v>
      </c>
      <c r="AR60" s="108" t="s">
        <v>1618</v>
      </c>
      <c r="AS60" s="108" t="s">
        <v>1618</v>
      </c>
      <c r="AT60" s="108" t="s">
        <v>1618</v>
      </c>
      <c r="AU60" s="108" t="s">
        <v>1618</v>
      </c>
      <c r="AV60" s="108" t="s">
        <v>1618</v>
      </c>
      <c r="AW60" s="108" t="s">
        <v>1618</v>
      </c>
      <c r="AX60" s="108" t="s">
        <v>1618</v>
      </c>
      <c r="AY60" s="99" t="s">
        <v>1618</v>
      </c>
      <c r="AZ60" s="99" t="s">
        <v>1618</v>
      </c>
      <c r="BA60" s="99" t="s">
        <v>1618</v>
      </c>
      <c r="BB60" s="99" t="s">
        <v>1618</v>
      </c>
      <c r="BC60" s="99" t="s">
        <v>1618</v>
      </c>
      <c r="BD60" s="99" t="s">
        <v>1618</v>
      </c>
      <c r="BE60" s="99" t="s">
        <v>1618</v>
      </c>
      <c r="BF60" s="99" t="s">
        <v>1618</v>
      </c>
      <c r="BG60" s="99" t="s">
        <v>1618</v>
      </c>
    </row>
    <row r="61" spans="1:59">
      <c r="A61" s="115" t="s">
        <v>1618</v>
      </c>
      <c r="B61" s="115" t="s">
        <v>1618</v>
      </c>
      <c r="C61" s="115" t="s">
        <v>1618</v>
      </c>
      <c r="D61" s="115" t="s">
        <v>1618</v>
      </c>
      <c r="E61" s="115" t="s">
        <v>1618</v>
      </c>
      <c r="F61" s="115" t="s">
        <v>1618</v>
      </c>
      <c r="G61" s="115" t="s">
        <v>1618</v>
      </c>
      <c r="H61" s="115" t="s">
        <v>1618</v>
      </c>
      <c r="I61" s="115" t="s">
        <v>1618</v>
      </c>
      <c r="J61" s="115" t="s">
        <v>1618</v>
      </c>
      <c r="K61" s="115" t="s">
        <v>1618</v>
      </c>
      <c r="L61" s="115" t="s">
        <v>1618</v>
      </c>
      <c r="M61" s="115" t="s">
        <v>1618</v>
      </c>
      <c r="N61" s="115" t="s">
        <v>1618</v>
      </c>
      <c r="O61" s="115" t="s">
        <v>1618</v>
      </c>
      <c r="P61" s="115" t="s">
        <v>1618</v>
      </c>
      <c r="Q61" s="115" t="s">
        <v>1618</v>
      </c>
      <c r="R61" s="102" t="s">
        <v>1618</v>
      </c>
      <c r="S61" s="102" t="s">
        <v>1618</v>
      </c>
      <c r="T61" s="102" t="s">
        <v>1618</v>
      </c>
      <c r="U61" s="102" t="s">
        <v>1618</v>
      </c>
      <c r="V61" s="102" t="s">
        <v>1618</v>
      </c>
      <c r="W61" s="102" t="s">
        <v>1618</v>
      </c>
      <c r="X61" s="102" t="s">
        <v>1618</v>
      </c>
      <c r="Y61" s="102" t="s">
        <v>1618</v>
      </c>
      <c r="Z61" s="102" t="s">
        <v>1618</v>
      </c>
      <c r="AA61" s="102" t="s">
        <v>1618</v>
      </c>
      <c r="AB61" s="102" t="s">
        <v>1618</v>
      </c>
      <c r="AC61" s="102" t="s">
        <v>1618</v>
      </c>
      <c r="AD61" s="102" t="s">
        <v>1618</v>
      </c>
      <c r="AE61" s="102" t="s">
        <v>1618</v>
      </c>
      <c r="AF61" s="102" t="s">
        <v>1618</v>
      </c>
      <c r="AG61" s="102" t="s">
        <v>1618</v>
      </c>
      <c r="AH61" s="108" t="s">
        <v>1618</v>
      </c>
      <c r="AI61" s="108" t="s">
        <v>1618</v>
      </c>
      <c r="AJ61" s="108" t="s">
        <v>1618</v>
      </c>
      <c r="AK61" s="108" t="s">
        <v>1618</v>
      </c>
      <c r="AL61" s="108" t="s">
        <v>1618</v>
      </c>
      <c r="AM61" s="108" t="s">
        <v>1618</v>
      </c>
      <c r="AN61" s="108" t="s">
        <v>1618</v>
      </c>
      <c r="AO61" s="108" t="s">
        <v>1618</v>
      </c>
      <c r="AP61" s="108" t="s">
        <v>1618</v>
      </c>
      <c r="AQ61" s="108" t="s">
        <v>1618</v>
      </c>
      <c r="AR61" s="108" t="s">
        <v>1618</v>
      </c>
      <c r="AS61" s="108" t="s">
        <v>1618</v>
      </c>
      <c r="AT61" s="108" t="s">
        <v>1618</v>
      </c>
      <c r="AU61" s="108" t="s">
        <v>1618</v>
      </c>
      <c r="AV61" s="108" t="s">
        <v>1618</v>
      </c>
      <c r="AW61" s="108" t="s">
        <v>1618</v>
      </c>
      <c r="AX61" s="108" t="s">
        <v>1618</v>
      </c>
      <c r="AY61" s="99" t="s">
        <v>1618</v>
      </c>
      <c r="AZ61" s="99" t="s">
        <v>1618</v>
      </c>
      <c r="BA61" s="99" t="s">
        <v>1618</v>
      </c>
      <c r="BB61" s="99" t="s">
        <v>1618</v>
      </c>
      <c r="BC61" s="99" t="s">
        <v>1618</v>
      </c>
      <c r="BD61" s="99" t="s">
        <v>1618</v>
      </c>
      <c r="BE61" s="99" t="s">
        <v>1618</v>
      </c>
      <c r="BF61" s="99" t="s">
        <v>1618</v>
      </c>
      <c r="BG61" s="99" t="s">
        <v>1618</v>
      </c>
    </row>
    <row r="62" spans="1:59">
      <c r="A62" s="115" t="s">
        <v>1618</v>
      </c>
      <c r="B62" s="115" t="s">
        <v>1618</v>
      </c>
      <c r="C62" s="115" t="s">
        <v>1618</v>
      </c>
      <c r="D62" s="115" t="s">
        <v>1618</v>
      </c>
      <c r="E62" s="115" t="s">
        <v>1618</v>
      </c>
      <c r="F62" s="115" t="s">
        <v>1618</v>
      </c>
      <c r="G62" s="115" t="s">
        <v>1618</v>
      </c>
      <c r="H62" s="115" t="s">
        <v>1618</v>
      </c>
      <c r="I62" s="115" t="s">
        <v>1618</v>
      </c>
      <c r="J62" s="115" t="s">
        <v>1618</v>
      </c>
      <c r="K62" s="115" t="s">
        <v>1618</v>
      </c>
      <c r="L62" s="115" t="s">
        <v>1618</v>
      </c>
      <c r="M62" s="115" t="s">
        <v>1618</v>
      </c>
      <c r="N62" s="115" t="s">
        <v>1618</v>
      </c>
      <c r="O62" s="115" t="s">
        <v>1618</v>
      </c>
      <c r="P62" s="115" t="s">
        <v>1618</v>
      </c>
      <c r="Q62" s="115" t="s">
        <v>1618</v>
      </c>
      <c r="R62" s="102" t="s">
        <v>1618</v>
      </c>
      <c r="S62" s="102" t="s">
        <v>1618</v>
      </c>
      <c r="T62" s="102" t="s">
        <v>1618</v>
      </c>
      <c r="U62" s="102" t="s">
        <v>1618</v>
      </c>
      <c r="V62" s="102" t="s">
        <v>1618</v>
      </c>
      <c r="W62" s="102" t="s">
        <v>1618</v>
      </c>
      <c r="X62" s="102" t="s">
        <v>1618</v>
      </c>
      <c r="Y62" s="102" t="s">
        <v>1618</v>
      </c>
      <c r="Z62" s="102" t="s">
        <v>1618</v>
      </c>
      <c r="AA62" s="102" t="s">
        <v>1618</v>
      </c>
      <c r="AB62" s="102" t="s">
        <v>1618</v>
      </c>
      <c r="AC62" s="102" t="s">
        <v>1618</v>
      </c>
      <c r="AD62" s="102" t="s">
        <v>1618</v>
      </c>
      <c r="AE62" s="102" t="s">
        <v>1618</v>
      </c>
      <c r="AF62" s="102" t="s">
        <v>1618</v>
      </c>
      <c r="AG62" s="102" t="s">
        <v>1618</v>
      </c>
      <c r="AH62" s="108" t="s">
        <v>1618</v>
      </c>
      <c r="AI62" s="108" t="s">
        <v>1618</v>
      </c>
      <c r="AJ62" s="108" t="s">
        <v>1618</v>
      </c>
      <c r="AK62" s="108" t="s">
        <v>1618</v>
      </c>
      <c r="AL62" s="108" t="s">
        <v>1618</v>
      </c>
      <c r="AM62" s="108" t="s">
        <v>1618</v>
      </c>
      <c r="AN62" s="108" t="s">
        <v>1618</v>
      </c>
      <c r="AO62" s="108" t="s">
        <v>1618</v>
      </c>
      <c r="AP62" s="108" t="s">
        <v>1618</v>
      </c>
      <c r="AQ62" s="108" t="s">
        <v>1618</v>
      </c>
      <c r="AR62" s="108" t="s">
        <v>1618</v>
      </c>
      <c r="AS62" s="108" t="s">
        <v>1618</v>
      </c>
      <c r="AT62" s="108" t="s">
        <v>1618</v>
      </c>
      <c r="AU62" s="108" t="s">
        <v>1618</v>
      </c>
      <c r="AV62" s="108" t="s">
        <v>1618</v>
      </c>
      <c r="AW62" s="108" t="s">
        <v>1618</v>
      </c>
      <c r="AX62" s="108" t="s">
        <v>1618</v>
      </c>
      <c r="AY62" s="99" t="s">
        <v>1618</v>
      </c>
      <c r="AZ62" s="99" t="s">
        <v>1618</v>
      </c>
      <c r="BA62" s="99" t="s">
        <v>1618</v>
      </c>
      <c r="BB62" s="99" t="s">
        <v>1618</v>
      </c>
      <c r="BC62" s="99" t="s">
        <v>1618</v>
      </c>
      <c r="BD62" s="99" t="s">
        <v>1618</v>
      </c>
      <c r="BE62" s="99" t="s">
        <v>1618</v>
      </c>
      <c r="BF62" s="99" t="s">
        <v>1618</v>
      </c>
      <c r="BG62" s="99" t="s">
        <v>1618</v>
      </c>
    </row>
    <row r="63" spans="1:59">
      <c r="A63" s="104" t="s">
        <v>1618</v>
      </c>
      <c r="B63" s="104" t="s">
        <v>1618</v>
      </c>
      <c r="C63" s="104" t="s">
        <v>1618</v>
      </c>
      <c r="D63" s="104" t="s">
        <v>1618</v>
      </c>
      <c r="E63" s="104" t="s">
        <v>1618</v>
      </c>
      <c r="F63" s="104" t="s">
        <v>1618</v>
      </c>
      <c r="G63" s="104" t="s">
        <v>1618</v>
      </c>
      <c r="H63" s="104" t="s">
        <v>1618</v>
      </c>
      <c r="I63" s="104" t="s">
        <v>1618</v>
      </c>
      <c r="J63" s="104" t="s">
        <v>1618</v>
      </c>
      <c r="K63" s="104" t="s">
        <v>1618</v>
      </c>
      <c r="L63" s="104" t="s">
        <v>1618</v>
      </c>
      <c r="M63" s="104" t="s">
        <v>1618</v>
      </c>
      <c r="N63" s="104" t="s">
        <v>1618</v>
      </c>
      <c r="O63" s="99" t="s">
        <v>1618</v>
      </c>
      <c r="P63" s="99" t="s">
        <v>1618</v>
      </c>
      <c r="Q63" s="99" t="s">
        <v>1618</v>
      </c>
      <c r="R63" s="102" t="s">
        <v>1618</v>
      </c>
      <c r="S63" s="102" t="s">
        <v>1618</v>
      </c>
      <c r="T63" s="102" t="s">
        <v>1618</v>
      </c>
      <c r="U63" s="102" t="s">
        <v>1618</v>
      </c>
      <c r="V63" s="102" t="s">
        <v>1618</v>
      </c>
      <c r="W63" s="102" t="s">
        <v>1618</v>
      </c>
      <c r="X63" s="102" t="s">
        <v>1618</v>
      </c>
      <c r="Y63" s="102" t="s">
        <v>1618</v>
      </c>
      <c r="Z63" s="102" t="s">
        <v>1618</v>
      </c>
      <c r="AA63" s="102" t="s">
        <v>1618</v>
      </c>
      <c r="AB63" s="102" t="s">
        <v>1618</v>
      </c>
      <c r="AC63" s="102" t="s">
        <v>1618</v>
      </c>
      <c r="AD63" s="102" t="s">
        <v>1618</v>
      </c>
      <c r="AE63" s="102" t="s">
        <v>1618</v>
      </c>
      <c r="AF63" s="102" t="s">
        <v>1618</v>
      </c>
      <c r="AG63" s="102" t="s">
        <v>1618</v>
      </c>
      <c r="AH63" s="119" t="s">
        <v>1618</v>
      </c>
      <c r="AI63" s="119" t="s">
        <v>1618</v>
      </c>
      <c r="AJ63" s="119" t="s">
        <v>1618</v>
      </c>
      <c r="AK63" s="119" t="s">
        <v>1618</v>
      </c>
      <c r="AL63" s="119" t="s">
        <v>1618</v>
      </c>
      <c r="AM63" s="119" t="s">
        <v>1618</v>
      </c>
      <c r="AN63" s="119" t="s">
        <v>1618</v>
      </c>
      <c r="AO63" s="119" t="s">
        <v>1618</v>
      </c>
      <c r="AP63" s="119" t="s">
        <v>1618</v>
      </c>
      <c r="AQ63" s="119" t="s">
        <v>1618</v>
      </c>
      <c r="AR63" s="119" t="s">
        <v>1618</v>
      </c>
      <c r="AS63" s="120" t="s">
        <v>1618</v>
      </c>
      <c r="AT63" s="120" t="s">
        <v>1618</v>
      </c>
      <c r="AU63" s="120" t="s">
        <v>1618</v>
      </c>
      <c r="AV63" s="120" t="s">
        <v>1618</v>
      </c>
      <c r="AW63" s="120" t="s">
        <v>1618</v>
      </c>
      <c r="AX63" s="120" t="s">
        <v>1618</v>
      </c>
      <c r="AY63" s="120" t="s">
        <v>1618</v>
      </c>
      <c r="AZ63" s="120" t="s">
        <v>1618</v>
      </c>
      <c r="BA63" s="120" t="s">
        <v>1618</v>
      </c>
      <c r="BB63" s="120" t="s">
        <v>1618</v>
      </c>
      <c r="BC63" s="120" t="s">
        <v>1618</v>
      </c>
      <c r="BD63" s="120" t="s">
        <v>1618</v>
      </c>
      <c r="BE63" s="120" t="s">
        <v>1618</v>
      </c>
      <c r="BF63" s="120" t="s">
        <v>1618</v>
      </c>
      <c r="BG63" s="120" t="s">
        <v>1618</v>
      </c>
    </row>
    <row r="64" spans="1:59">
      <c r="A64" s="104" t="s">
        <v>1618</v>
      </c>
      <c r="B64" s="104" t="s">
        <v>1618</v>
      </c>
      <c r="C64" s="104" t="s">
        <v>1618</v>
      </c>
      <c r="D64" s="104" t="s">
        <v>1618</v>
      </c>
      <c r="E64" s="104" t="s">
        <v>1618</v>
      </c>
      <c r="F64" s="104" t="s">
        <v>1618</v>
      </c>
      <c r="G64" s="104" t="s">
        <v>1618</v>
      </c>
      <c r="H64" s="104" t="s">
        <v>1618</v>
      </c>
      <c r="I64" s="104" t="s">
        <v>1618</v>
      </c>
      <c r="J64" s="104" t="s">
        <v>1618</v>
      </c>
      <c r="K64" s="104" t="s">
        <v>1618</v>
      </c>
      <c r="L64" s="104" t="s">
        <v>1618</v>
      </c>
      <c r="M64" s="104" t="s">
        <v>1618</v>
      </c>
      <c r="N64" s="104" t="s">
        <v>1618</v>
      </c>
      <c r="O64" s="99" t="s">
        <v>1618</v>
      </c>
      <c r="P64" s="99" t="s">
        <v>1618</v>
      </c>
      <c r="Q64" s="99" t="s">
        <v>1618</v>
      </c>
      <c r="R64" s="102" t="s">
        <v>1618</v>
      </c>
      <c r="S64" s="102" t="s">
        <v>1618</v>
      </c>
      <c r="T64" s="102" t="s">
        <v>1618</v>
      </c>
      <c r="U64" s="102" t="s">
        <v>1618</v>
      </c>
      <c r="V64" s="102" t="s">
        <v>1618</v>
      </c>
      <c r="W64" s="102" t="s">
        <v>1618</v>
      </c>
      <c r="X64" s="102" t="s">
        <v>1618</v>
      </c>
      <c r="Y64" s="102" t="s">
        <v>1618</v>
      </c>
      <c r="Z64" s="102" t="s">
        <v>1618</v>
      </c>
      <c r="AA64" s="102" t="s">
        <v>1618</v>
      </c>
      <c r="AB64" s="102" t="s">
        <v>1618</v>
      </c>
      <c r="AC64" s="102" t="s">
        <v>1618</v>
      </c>
      <c r="AD64" s="102" t="s">
        <v>1618</v>
      </c>
      <c r="AE64" s="102" t="s">
        <v>1618</v>
      </c>
      <c r="AF64" s="102" t="s">
        <v>1618</v>
      </c>
      <c r="AG64" s="102" t="s">
        <v>1618</v>
      </c>
      <c r="AH64" s="119" t="s">
        <v>1618</v>
      </c>
      <c r="AI64" s="119" t="s">
        <v>1618</v>
      </c>
      <c r="AJ64" s="119" t="s">
        <v>1618</v>
      </c>
      <c r="AK64" s="119" t="s">
        <v>1618</v>
      </c>
      <c r="AL64" s="119" t="s">
        <v>1618</v>
      </c>
      <c r="AM64" s="119" t="s">
        <v>1618</v>
      </c>
      <c r="AN64" s="119" t="s">
        <v>1618</v>
      </c>
      <c r="AO64" s="119" t="s">
        <v>1618</v>
      </c>
      <c r="AP64" s="119" t="s">
        <v>1618</v>
      </c>
      <c r="AQ64" s="119" t="s">
        <v>1618</v>
      </c>
      <c r="AR64" s="119" t="s">
        <v>1618</v>
      </c>
      <c r="AS64" s="120" t="s">
        <v>1618</v>
      </c>
      <c r="AT64" s="120" t="s">
        <v>1618</v>
      </c>
      <c r="AU64" s="120" t="s">
        <v>1618</v>
      </c>
      <c r="AV64" s="120" t="s">
        <v>1618</v>
      </c>
      <c r="AW64" s="120" t="s">
        <v>1618</v>
      </c>
      <c r="AX64" s="120" t="s">
        <v>1618</v>
      </c>
      <c r="AY64" s="120" t="s">
        <v>1618</v>
      </c>
      <c r="AZ64" s="120" t="s">
        <v>1618</v>
      </c>
      <c r="BA64" s="120" t="s">
        <v>1618</v>
      </c>
      <c r="BB64" s="120" t="s">
        <v>1618</v>
      </c>
      <c r="BC64" s="120" t="s">
        <v>1618</v>
      </c>
      <c r="BD64" s="120" t="s">
        <v>1618</v>
      </c>
      <c r="BE64" s="120" t="s">
        <v>1618</v>
      </c>
      <c r="BF64" s="120" t="s">
        <v>1618</v>
      </c>
      <c r="BG64" s="120" t="s">
        <v>1618</v>
      </c>
    </row>
    <row r="65" spans="1:59">
      <c r="A65" s="104" t="s">
        <v>1618</v>
      </c>
      <c r="B65" s="104" t="s">
        <v>1618</v>
      </c>
      <c r="C65" s="104" t="s">
        <v>1618</v>
      </c>
      <c r="D65" s="104" t="s">
        <v>1618</v>
      </c>
      <c r="E65" s="104" t="s">
        <v>1618</v>
      </c>
      <c r="F65" s="104" t="s">
        <v>1618</v>
      </c>
      <c r="G65" s="104" t="s">
        <v>1618</v>
      </c>
      <c r="H65" s="104" t="s">
        <v>1618</v>
      </c>
      <c r="I65" s="104" t="s">
        <v>1618</v>
      </c>
      <c r="J65" s="104" t="s">
        <v>1618</v>
      </c>
      <c r="K65" s="104" t="s">
        <v>1618</v>
      </c>
      <c r="L65" s="104" t="s">
        <v>1618</v>
      </c>
      <c r="M65" s="104" t="s">
        <v>1618</v>
      </c>
      <c r="N65" s="104" t="s">
        <v>1618</v>
      </c>
      <c r="O65" s="99" t="s">
        <v>1618</v>
      </c>
      <c r="P65" s="99" t="s">
        <v>1618</v>
      </c>
      <c r="Q65" s="99" t="s">
        <v>1618</v>
      </c>
      <c r="R65" s="102" t="s">
        <v>1618</v>
      </c>
      <c r="S65" s="102" t="s">
        <v>1618</v>
      </c>
      <c r="T65" s="102" t="s">
        <v>1618</v>
      </c>
      <c r="U65" s="102" t="s">
        <v>1618</v>
      </c>
      <c r="V65" s="102" t="s">
        <v>1618</v>
      </c>
      <c r="W65" s="102" t="s">
        <v>1618</v>
      </c>
      <c r="X65" s="102" t="s">
        <v>1618</v>
      </c>
      <c r="Y65" s="102" t="s">
        <v>1618</v>
      </c>
      <c r="Z65" s="102" t="s">
        <v>1618</v>
      </c>
      <c r="AA65" s="102" t="s">
        <v>1618</v>
      </c>
      <c r="AB65" s="102" t="s">
        <v>1618</v>
      </c>
      <c r="AC65" s="102" t="s">
        <v>1618</v>
      </c>
      <c r="AD65" s="102" t="s">
        <v>1618</v>
      </c>
      <c r="AE65" s="102" t="s">
        <v>1618</v>
      </c>
      <c r="AF65" s="102" t="s">
        <v>1618</v>
      </c>
      <c r="AG65" s="102" t="s">
        <v>1618</v>
      </c>
      <c r="AH65" s="119" t="s">
        <v>1618</v>
      </c>
      <c r="AI65" s="119" t="s">
        <v>1618</v>
      </c>
      <c r="AJ65" s="119" t="s">
        <v>1618</v>
      </c>
      <c r="AK65" s="119" t="s">
        <v>1618</v>
      </c>
      <c r="AL65" s="119" t="s">
        <v>1618</v>
      </c>
      <c r="AM65" s="119" t="s">
        <v>1618</v>
      </c>
      <c r="AN65" s="119" t="s">
        <v>1618</v>
      </c>
      <c r="AO65" s="119" t="s">
        <v>1618</v>
      </c>
      <c r="AP65" s="119" t="s">
        <v>1618</v>
      </c>
      <c r="AQ65" s="119" t="s">
        <v>1618</v>
      </c>
      <c r="AR65" s="119" t="s">
        <v>1618</v>
      </c>
      <c r="AS65" s="120" t="s">
        <v>1618</v>
      </c>
      <c r="AT65" s="120" t="s">
        <v>1618</v>
      </c>
      <c r="AU65" s="120" t="s">
        <v>1618</v>
      </c>
      <c r="AV65" s="120" t="s">
        <v>1618</v>
      </c>
      <c r="AW65" s="120" t="s">
        <v>1618</v>
      </c>
      <c r="AX65" s="120" t="s">
        <v>1618</v>
      </c>
      <c r="AY65" s="120" t="s">
        <v>1618</v>
      </c>
      <c r="AZ65" s="120" t="s">
        <v>1618</v>
      </c>
      <c r="BA65" s="120" t="s">
        <v>1618</v>
      </c>
      <c r="BB65" s="120" t="s">
        <v>1618</v>
      </c>
      <c r="BC65" s="120" t="s">
        <v>1618</v>
      </c>
      <c r="BD65" s="120" t="s">
        <v>1618</v>
      </c>
      <c r="BE65" s="120" t="s">
        <v>1618</v>
      </c>
      <c r="BF65" s="120" t="s">
        <v>1618</v>
      </c>
      <c r="BG65" s="120" t="s">
        <v>1618</v>
      </c>
    </row>
    <row r="66" spans="1:59">
      <c r="A66" s="104" t="s">
        <v>1618</v>
      </c>
      <c r="B66" s="104" t="s">
        <v>1618</v>
      </c>
      <c r="C66" s="104" t="s">
        <v>1618</v>
      </c>
      <c r="D66" s="104" t="s">
        <v>1618</v>
      </c>
      <c r="E66" s="104" t="s">
        <v>1618</v>
      </c>
      <c r="F66" s="104" t="s">
        <v>1618</v>
      </c>
      <c r="G66" s="104" t="s">
        <v>1618</v>
      </c>
      <c r="H66" s="104" t="s">
        <v>1618</v>
      </c>
      <c r="I66" s="104" t="s">
        <v>1618</v>
      </c>
      <c r="J66" s="104" t="s">
        <v>1618</v>
      </c>
      <c r="K66" s="104" t="s">
        <v>1618</v>
      </c>
      <c r="L66" s="104" t="s">
        <v>1618</v>
      </c>
      <c r="M66" s="104" t="s">
        <v>1618</v>
      </c>
      <c r="N66" s="104" t="s">
        <v>1618</v>
      </c>
      <c r="O66" s="99" t="s">
        <v>1618</v>
      </c>
      <c r="P66" s="99" t="s">
        <v>1618</v>
      </c>
      <c r="Q66" s="99" t="s">
        <v>1618</v>
      </c>
      <c r="R66" s="102" t="s">
        <v>1618</v>
      </c>
      <c r="S66" s="102" t="s">
        <v>1618</v>
      </c>
      <c r="T66" s="102" t="s">
        <v>1618</v>
      </c>
      <c r="U66" s="102" t="s">
        <v>1618</v>
      </c>
      <c r="V66" s="102" t="s">
        <v>1618</v>
      </c>
      <c r="W66" s="102" t="s">
        <v>1618</v>
      </c>
      <c r="X66" s="102" t="s">
        <v>1618</v>
      </c>
      <c r="Y66" s="102" t="s">
        <v>1618</v>
      </c>
      <c r="Z66" s="102" t="s">
        <v>1618</v>
      </c>
      <c r="AA66" s="102" t="s">
        <v>1618</v>
      </c>
      <c r="AB66" s="102" t="s">
        <v>1618</v>
      </c>
      <c r="AC66" s="102" t="s">
        <v>1618</v>
      </c>
      <c r="AD66" s="102" t="s">
        <v>1618</v>
      </c>
      <c r="AE66" s="102" t="s">
        <v>1618</v>
      </c>
      <c r="AF66" s="102" t="s">
        <v>1618</v>
      </c>
      <c r="AG66" s="102" t="s">
        <v>1618</v>
      </c>
      <c r="AH66" s="119" t="s">
        <v>1618</v>
      </c>
      <c r="AI66" s="119" t="s">
        <v>1618</v>
      </c>
      <c r="AJ66" s="119" t="s">
        <v>1618</v>
      </c>
      <c r="AK66" s="119" t="s">
        <v>1618</v>
      </c>
      <c r="AL66" s="119" t="s">
        <v>1618</v>
      </c>
      <c r="AM66" s="119" t="s">
        <v>1618</v>
      </c>
      <c r="AN66" s="119" t="s">
        <v>1618</v>
      </c>
      <c r="AO66" s="119" t="s">
        <v>1618</v>
      </c>
      <c r="AP66" s="119" t="s">
        <v>1618</v>
      </c>
      <c r="AQ66" s="119" t="s">
        <v>1618</v>
      </c>
      <c r="AR66" s="119" t="s">
        <v>1618</v>
      </c>
      <c r="AS66" s="120" t="s">
        <v>1618</v>
      </c>
      <c r="AT66" s="120" t="s">
        <v>1618</v>
      </c>
      <c r="AU66" s="120" t="s">
        <v>1618</v>
      </c>
      <c r="AV66" s="120" t="s">
        <v>1618</v>
      </c>
      <c r="AW66" s="120" t="s">
        <v>1618</v>
      </c>
      <c r="AX66" s="120" t="s">
        <v>1618</v>
      </c>
      <c r="AY66" s="120" t="s">
        <v>1618</v>
      </c>
      <c r="AZ66" s="120" t="s">
        <v>1618</v>
      </c>
      <c r="BA66" s="120" t="s">
        <v>1618</v>
      </c>
      <c r="BB66" s="120" t="s">
        <v>1618</v>
      </c>
      <c r="BC66" s="120" t="s">
        <v>1618</v>
      </c>
      <c r="BD66" s="120" t="s">
        <v>1618</v>
      </c>
      <c r="BE66" s="120" t="s">
        <v>1618</v>
      </c>
      <c r="BF66" s="120" t="s">
        <v>1618</v>
      </c>
      <c r="BG66" s="120" t="s">
        <v>1618</v>
      </c>
    </row>
    <row r="67" spans="1:59">
      <c r="A67" s="104" t="s">
        <v>1618</v>
      </c>
      <c r="B67" s="104" t="s">
        <v>1618</v>
      </c>
      <c r="C67" s="104" t="s">
        <v>1618</v>
      </c>
      <c r="D67" s="104" t="s">
        <v>1618</v>
      </c>
      <c r="E67" s="104" t="s">
        <v>1618</v>
      </c>
      <c r="F67" s="104" t="s">
        <v>1618</v>
      </c>
      <c r="G67" s="104" t="s">
        <v>1618</v>
      </c>
      <c r="H67" s="104" t="s">
        <v>1618</v>
      </c>
      <c r="I67" s="104" t="s">
        <v>1618</v>
      </c>
      <c r="J67" s="104" t="s">
        <v>1618</v>
      </c>
      <c r="K67" s="104" t="s">
        <v>1618</v>
      </c>
      <c r="L67" s="104" t="s">
        <v>1618</v>
      </c>
      <c r="M67" s="104" t="s">
        <v>1618</v>
      </c>
      <c r="N67" s="104" t="s">
        <v>1618</v>
      </c>
      <c r="O67" s="99" t="s">
        <v>1618</v>
      </c>
      <c r="P67" s="99" t="s">
        <v>1618</v>
      </c>
      <c r="Q67" s="99" t="s">
        <v>1618</v>
      </c>
      <c r="R67" s="102" t="s">
        <v>1618</v>
      </c>
      <c r="S67" s="102" t="s">
        <v>1618</v>
      </c>
      <c r="T67" s="102" t="s">
        <v>1618</v>
      </c>
      <c r="U67" s="102" t="s">
        <v>1618</v>
      </c>
      <c r="V67" s="102" t="s">
        <v>1618</v>
      </c>
      <c r="W67" s="102" t="s">
        <v>1618</v>
      </c>
      <c r="X67" s="102" t="s">
        <v>1618</v>
      </c>
      <c r="Y67" s="102" t="s">
        <v>1618</v>
      </c>
      <c r="Z67" s="102" t="s">
        <v>1618</v>
      </c>
      <c r="AA67" s="102" t="s">
        <v>1618</v>
      </c>
      <c r="AB67" s="102" t="s">
        <v>1618</v>
      </c>
      <c r="AC67" s="102" t="s">
        <v>1618</v>
      </c>
      <c r="AD67" s="102" t="s">
        <v>1618</v>
      </c>
      <c r="AE67" s="102" t="s">
        <v>1618</v>
      </c>
      <c r="AF67" s="102" t="s">
        <v>1618</v>
      </c>
      <c r="AG67" s="102" t="s">
        <v>1618</v>
      </c>
      <c r="AH67" s="119" t="s">
        <v>1618</v>
      </c>
      <c r="AI67" s="119" t="s">
        <v>1618</v>
      </c>
      <c r="AJ67" s="119" t="s">
        <v>1618</v>
      </c>
      <c r="AK67" s="119" t="s">
        <v>1618</v>
      </c>
      <c r="AL67" s="119" t="s">
        <v>1618</v>
      </c>
      <c r="AM67" s="119" t="s">
        <v>1618</v>
      </c>
      <c r="AN67" s="119" t="s">
        <v>1618</v>
      </c>
      <c r="AO67" s="119" t="s">
        <v>1618</v>
      </c>
      <c r="AP67" s="119" t="s">
        <v>1618</v>
      </c>
      <c r="AQ67" s="119" t="s">
        <v>1618</v>
      </c>
      <c r="AR67" s="119" t="s">
        <v>1618</v>
      </c>
      <c r="AS67" s="120" t="s">
        <v>1618</v>
      </c>
      <c r="AT67" s="120" t="s">
        <v>1618</v>
      </c>
      <c r="AU67" s="120" t="s">
        <v>1618</v>
      </c>
      <c r="AV67" s="120" t="s">
        <v>1618</v>
      </c>
      <c r="AW67" s="120" t="s">
        <v>1618</v>
      </c>
      <c r="AX67" s="120" t="s">
        <v>1618</v>
      </c>
      <c r="AY67" s="120" t="s">
        <v>1618</v>
      </c>
      <c r="AZ67" s="120" t="s">
        <v>1618</v>
      </c>
      <c r="BA67" s="120" t="s">
        <v>1618</v>
      </c>
      <c r="BB67" s="120" t="s">
        <v>1618</v>
      </c>
      <c r="BC67" s="120" t="s">
        <v>1618</v>
      </c>
      <c r="BD67" s="120" t="s">
        <v>1618</v>
      </c>
      <c r="BE67" s="120" t="s">
        <v>1618</v>
      </c>
      <c r="BF67" s="120" t="s">
        <v>1618</v>
      </c>
      <c r="BG67" s="120" t="s">
        <v>1618</v>
      </c>
    </row>
    <row r="68" spans="1:59">
      <c r="A68" s="104" t="s">
        <v>1618</v>
      </c>
      <c r="B68" s="104" t="s">
        <v>1618</v>
      </c>
      <c r="C68" s="104" t="s">
        <v>1618</v>
      </c>
      <c r="D68" s="104" t="s">
        <v>1618</v>
      </c>
      <c r="E68" s="104" t="s">
        <v>1618</v>
      </c>
      <c r="F68" s="104" t="s">
        <v>1618</v>
      </c>
      <c r="G68" s="104" t="s">
        <v>1618</v>
      </c>
      <c r="H68" s="104" t="s">
        <v>1618</v>
      </c>
      <c r="I68" s="104" t="s">
        <v>1618</v>
      </c>
      <c r="J68" s="104" t="s">
        <v>1618</v>
      </c>
      <c r="K68" s="104" t="s">
        <v>1618</v>
      </c>
      <c r="L68" s="104" t="s">
        <v>1618</v>
      </c>
      <c r="M68" s="104" t="s">
        <v>1618</v>
      </c>
      <c r="N68" s="104" t="s">
        <v>1618</v>
      </c>
      <c r="O68" s="99" t="s">
        <v>1618</v>
      </c>
      <c r="P68" s="99" t="s">
        <v>1618</v>
      </c>
      <c r="Q68" s="99" t="s">
        <v>1618</v>
      </c>
      <c r="R68" s="102" t="s">
        <v>1618</v>
      </c>
      <c r="S68" s="102" t="s">
        <v>1618</v>
      </c>
      <c r="T68" s="102" t="s">
        <v>1618</v>
      </c>
      <c r="U68" s="102" t="s">
        <v>1618</v>
      </c>
      <c r="V68" s="102" t="s">
        <v>1618</v>
      </c>
      <c r="W68" s="102" t="s">
        <v>1618</v>
      </c>
      <c r="X68" s="102" t="s">
        <v>1618</v>
      </c>
      <c r="Y68" s="102" t="s">
        <v>1618</v>
      </c>
      <c r="Z68" s="102" t="s">
        <v>1618</v>
      </c>
      <c r="AA68" s="102" t="s">
        <v>1618</v>
      </c>
      <c r="AB68" s="102" t="s">
        <v>1618</v>
      </c>
      <c r="AC68" s="102" t="s">
        <v>1618</v>
      </c>
      <c r="AD68" s="102" t="s">
        <v>1618</v>
      </c>
      <c r="AE68" s="102" t="s">
        <v>1618</v>
      </c>
      <c r="AF68" s="102" t="s">
        <v>1618</v>
      </c>
      <c r="AG68" s="102" t="s">
        <v>1618</v>
      </c>
      <c r="AH68" s="119" t="s">
        <v>1618</v>
      </c>
      <c r="AI68" s="119" t="s">
        <v>1618</v>
      </c>
      <c r="AJ68" s="119" t="s">
        <v>1618</v>
      </c>
      <c r="AK68" s="119" t="s">
        <v>1618</v>
      </c>
      <c r="AL68" s="119" t="s">
        <v>1618</v>
      </c>
      <c r="AM68" s="119" t="s">
        <v>1618</v>
      </c>
      <c r="AN68" s="119" t="s">
        <v>1618</v>
      </c>
      <c r="AO68" s="119" t="s">
        <v>1618</v>
      </c>
      <c r="AP68" s="119" t="s">
        <v>1618</v>
      </c>
      <c r="AQ68" s="119" t="s">
        <v>1618</v>
      </c>
      <c r="AR68" s="119" t="s">
        <v>1618</v>
      </c>
      <c r="AS68" s="120" t="s">
        <v>1618</v>
      </c>
      <c r="AT68" s="120" t="s">
        <v>1618</v>
      </c>
      <c r="AU68" s="120" t="s">
        <v>1618</v>
      </c>
      <c r="AV68" s="120" t="s">
        <v>1618</v>
      </c>
      <c r="AW68" s="120" t="s">
        <v>1618</v>
      </c>
      <c r="AX68" s="120" t="s">
        <v>1618</v>
      </c>
      <c r="AY68" s="120" t="s">
        <v>1618</v>
      </c>
      <c r="AZ68" s="120" t="s">
        <v>1618</v>
      </c>
      <c r="BA68" s="120" t="s">
        <v>1618</v>
      </c>
      <c r="BB68" s="120" t="s">
        <v>1618</v>
      </c>
      <c r="BC68" s="120" t="s">
        <v>1618</v>
      </c>
      <c r="BD68" s="120" t="s">
        <v>1618</v>
      </c>
      <c r="BE68" s="120" t="s">
        <v>1618</v>
      </c>
      <c r="BF68" s="120" t="s">
        <v>1618</v>
      </c>
      <c r="BG68" s="120" t="s">
        <v>1618</v>
      </c>
    </row>
    <row r="69" spans="1:59">
      <c r="A69" s="104" t="s">
        <v>1618</v>
      </c>
      <c r="B69" s="104" t="s">
        <v>1618</v>
      </c>
      <c r="C69" s="104" t="s">
        <v>1618</v>
      </c>
      <c r="D69" s="104" t="s">
        <v>1618</v>
      </c>
      <c r="E69" s="104" t="s">
        <v>1618</v>
      </c>
      <c r="F69" s="104" t="s">
        <v>1618</v>
      </c>
      <c r="G69" s="104" t="s">
        <v>1618</v>
      </c>
      <c r="H69" s="104" t="s">
        <v>1618</v>
      </c>
      <c r="I69" s="104" t="s">
        <v>1618</v>
      </c>
      <c r="J69" s="104" t="s">
        <v>1618</v>
      </c>
      <c r="K69" s="104" t="s">
        <v>1618</v>
      </c>
      <c r="L69" s="104" t="s">
        <v>1618</v>
      </c>
      <c r="M69" s="104" t="s">
        <v>1618</v>
      </c>
      <c r="N69" s="104" t="s">
        <v>1618</v>
      </c>
      <c r="O69" s="99" t="s">
        <v>1618</v>
      </c>
      <c r="P69" s="99" t="s">
        <v>1618</v>
      </c>
      <c r="Q69" s="99" t="s">
        <v>1618</v>
      </c>
      <c r="R69" s="102" t="s">
        <v>1618</v>
      </c>
      <c r="S69" s="102" t="s">
        <v>1618</v>
      </c>
      <c r="T69" s="102" t="s">
        <v>1618</v>
      </c>
      <c r="U69" s="102" t="s">
        <v>1618</v>
      </c>
      <c r="V69" s="102" t="s">
        <v>1618</v>
      </c>
      <c r="W69" s="102" t="s">
        <v>1618</v>
      </c>
      <c r="X69" s="102" t="s">
        <v>1618</v>
      </c>
      <c r="Y69" s="102" t="s">
        <v>1618</v>
      </c>
      <c r="Z69" s="102" t="s">
        <v>1618</v>
      </c>
      <c r="AA69" s="102" t="s">
        <v>1618</v>
      </c>
      <c r="AB69" s="102" t="s">
        <v>1618</v>
      </c>
      <c r="AC69" s="102" t="s">
        <v>1618</v>
      </c>
      <c r="AD69" s="102" t="s">
        <v>1618</v>
      </c>
      <c r="AE69" s="102" t="s">
        <v>1618</v>
      </c>
      <c r="AF69" s="102" t="s">
        <v>1618</v>
      </c>
      <c r="AG69" s="102" t="s">
        <v>1618</v>
      </c>
      <c r="AH69" s="119" t="s">
        <v>1618</v>
      </c>
      <c r="AI69" s="119" t="s">
        <v>1618</v>
      </c>
      <c r="AJ69" s="119" t="s">
        <v>1618</v>
      </c>
      <c r="AK69" s="119" t="s">
        <v>1618</v>
      </c>
      <c r="AL69" s="119" t="s">
        <v>1618</v>
      </c>
      <c r="AM69" s="119" t="s">
        <v>1618</v>
      </c>
      <c r="AN69" s="119" t="s">
        <v>1618</v>
      </c>
      <c r="AO69" s="119" t="s">
        <v>1618</v>
      </c>
      <c r="AP69" s="119" t="s">
        <v>1618</v>
      </c>
      <c r="AQ69" s="119" t="s">
        <v>1618</v>
      </c>
      <c r="AR69" s="119" t="s">
        <v>1618</v>
      </c>
      <c r="AS69" s="120" t="s">
        <v>1618</v>
      </c>
      <c r="AT69" s="120" t="s">
        <v>1618</v>
      </c>
      <c r="AU69" s="120" t="s">
        <v>1618</v>
      </c>
      <c r="AV69" s="120" t="s">
        <v>1618</v>
      </c>
      <c r="AW69" s="120" t="s">
        <v>1618</v>
      </c>
      <c r="AX69" s="120" t="s">
        <v>1618</v>
      </c>
      <c r="AY69" s="120" t="s">
        <v>1618</v>
      </c>
      <c r="AZ69" s="120" t="s">
        <v>1618</v>
      </c>
      <c r="BA69" s="120" t="s">
        <v>1618</v>
      </c>
      <c r="BB69" s="120" t="s">
        <v>1618</v>
      </c>
      <c r="BC69" s="120" t="s">
        <v>1618</v>
      </c>
      <c r="BD69" s="120" t="s">
        <v>1618</v>
      </c>
      <c r="BE69" s="120" t="s">
        <v>1618</v>
      </c>
      <c r="BF69" s="120" t="s">
        <v>1618</v>
      </c>
      <c r="BG69" s="120" t="s">
        <v>1618</v>
      </c>
    </row>
    <row r="70" spans="1:59">
      <c r="A70" s="104" t="s">
        <v>1618</v>
      </c>
      <c r="B70" s="104" t="s">
        <v>1618</v>
      </c>
      <c r="C70" s="104" t="s">
        <v>1618</v>
      </c>
      <c r="D70" s="104" t="s">
        <v>1618</v>
      </c>
      <c r="E70" s="104" t="s">
        <v>1618</v>
      </c>
      <c r="F70" s="104" t="s">
        <v>1618</v>
      </c>
      <c r="G70" s="104" t="s">
        <v>1618</v>
      </c>
      <c r="H70" s="104" t="s">
        <v>1618</v>
      </c>
      <c r="I70" s="104" t="s">
        <v>1618</v>
      </c>
      <c r="J70" s="104" t="s">
        <v>1618</v>
      </c>
      <c r="K70" s="104" t="s">
        <v>1618</v>
      </c>
      <c r="L70" s="104" t="s">
        <v>1618</v>
      </c>
      <c r="M70" s="104" t="s">
        <v>1618</v>
      </c>
      <c r="N70" s="104" t="s">
        <v>1618</v>
      </c>
      <c r="O70" s="99" t="s">
        <v>1618</v>
      </c>
      <c r="P70" s="99" t="s">
        <v>1618</v>
      </c>
      <c r="Q70" s="99" t="s">
        <v>1618</v>
      </c>
      <c r="R70" s="102" t="s">
        <v>1618</v>
      </c>
      <c r="S70" s="102" t="s">
        <v>1618</v>
      </c>
      <c r="T70" s="102" t="s">
        <v>1618</v>
      </c>
      <c r="U70" s="102" t="s">
        <v>1618</v>
      </c>
      <c r="V70" s="102" t="s">
        <v>1618</v>
      </c>
      <c r="W70" s="102" t="s">
        <v>1618</v>
      </c>
      <c r="X70" s="102" t="s">
        <v>1618</v>
      </c>
      <c r="Y70" s="102" t="s">
        <v>1618</v>
      </c>
      <c r="Z70" s="102" t="s">
        <v>1618</v>
      </c>
      <c r="AA70" s="102" t="s">
        <v>1618</v>
      </c>
      <c r="AB70" s="102" t="s">
        <v>1618</v>
      </c>
      <c r="AC70" s="102" t="s">
        <v>1618</v>
      </c>
      <c r="AD70" s="102" t="s">
        <v>1618</v>
      </c>
      <c r="AE70" s="102" t="s">
        <v>1618</v>
      </c>
      <c r="AF70" s="102" t="s">
        <v>1618</v>
      </c>
      <c r="AG70" s="102" t="s">
        <v>1618</v>
      </c>
      <c r="AH70" s="119" t="s">
        <v>1618</v>
      </c>
      <c r="AI70" s="119" t="s">
        <v>1618</v>
      </c>
      <c r="AJ70" s="119" t="s">
        <v>1618</v>
      </c>
      <c r="AK70" s="119" t="s">
        <v>1618</v>
      </c>
      <c r="AL70" s="119" t="s">
        <v>1618</v>
      </c>
      <c r="AM70" s="119" t="s">
        <v>1618</v>
      </c>
      <c r="AN70" s="119" t="s">
        <v>1618</v>
      </c>
      <c r="AO70" s="119" t="s">
        <v>1618</v>
      </c>
      <c r="AP70" s="119" t="s">
        <v>1618</v>
      </c>
      <c r="AQ70" s="119" t="s">
        <v>1618</v>
      </c>
      <c r="AR70" s="119" t="s">
        <v>1618</v>
      </c>
      <c r="AS70" s="120" t="s">
        <v>1618</v>
      </c>
      <c r="AT70" s="120" t="s">
        <v>1618</v>
      </c>
      <c r="AU70" s="120" t="s">
        <v>1618</v>
      </c>
      <c r="AV70" s="120" t="s">
        <v>1618</v>
      </c>
      <c r="AW70" s="120" t="s">
        <v>1618</v>
      </c>
      <c r="AX70" s="120" t="s">
        <v>1618</v>
      </c>
      <c r="AY70" s="120" t="s">
        <v>1618</v>
      </c>
      <c r="AZ70" s="120" t="s">
        <v>1618</v>
      </c>
      <c r="BA70" s="120" t="s">
        <v>1618</v>
      </c>
      <c r="BB70" s="120" t="s">
        <v>1618</v>
      </c>
      <c r="BC70" s="120" t="s">
        <v>1618</v>
      </c>
      <c r="BD70" s="120" t="s">
        <v>1618</v>
      </c>
      <c r="BE70" s="120" t="s">
        <v>1618</v>
      </c>
      <c r="BF70" s="120" t="s">
        <v>1618</v>
      </c>
      <c r="BG70" s="120" t="s">
        <v>1618</v>
      </c>
    </row>
    <row r="71" spans="1:59">
      <c r="A71" s="104" t="s">
        <v>1618</v>
      </c>
      <c r="B71" s="104" t="s">
        <v>1618</v>
      </c>
      <c r="C71" s="104" t="s">
        <v>1618</v>
      </c>
      <c r="D71" s="104" t="s">
        <v>1618</v>
      </c>
      <c r="E71" s="104" t="s">
        <v>1618</v>
      </c>
      <c r="F71" s="104" t="s">
        <v>1618</v>
      </c>
      <c r="G71" s="104" t="s">
        <v>1618</v>
      </c>
      <c r="H71" s="104" t="s">
        <v>1618</v>
      </c>
      <c r="I71" s="104" t="s">
        <v>1618</v>
      </c>
      <c r="J71" s="104" t="s">
        <v>1618</v>
      </c>
      <c r="K71" s="104" t="s">
        <v>1618</v>
      </c>
      <c r="L71" s="104" t="s">
        <v>1618</v>
      </c>
      <c r="M71" s="104" t="s">
        <v>1618</v>
      </c>
      <c r="N71" s="104" t="s">
        <v>1618</v>
      </c>
      <c r="O71" s="99" t="s">
        <v>1618</v>
      </c>
      <c r="P71" s="99" t="s">
        <v>1618</v>
      </c>
      <c r="Q71" s="99" t="s">
        <v>1618</v>
      </c>
      <c r="R71" s="102" t="s">
        <v>1618</v>
      </c>
      <c r="S71" s="102" t="s">
        <v>1618</v>
      </c>
      <c r="T71" s="102" t="s">
        <v>1618</v>
      </c>
      <c r="U71" s="102" t="s">
        <v>1618</v>
      </c>
      <c r="V71" s="102" t="s">
        <v>1618</v>
      </c>
      <c r="W71" s="102" t="s">
        <v>1618</v>
      </c>
      <c r="X71" s="102" t="s">
        <v>1618</v>
      </c>
      <c r="Y71" s="102" t="s">
        <v>1618</v>
      </c>
      <c r="Z71" s="102" t="s">
        <v>1618</v>
      </c>
      <c r="AA71" s="102" t="s">
        <v>1618</v>
      </c>
      <c r="AB71" s="102" t="s">
        <v>1618</v>
      </c>
      <c r="AC71" s="102" t="s">
        <v>1618</v>
      </c>
      <c r="AD71" s="102" t="s">
        <v>1618</v>
      </c>
      <c r="AE71" s="102" t="s">
        <v>1618</v>
      </c>
      <c r="AF71" s="102" t="s">
        <v>1618</v>
      </c>
      <c r="AG71" s="102" t="s">
        <v>1618</v>
      </c>
      <c r="AH71" s="119" t="s">
        <v>1618</v>
      </c>
      <c r="AI71" s="119" t="s">
        <v>1618</v>
      </c>
      <c r="AJ71" s="119" t="s">
        <v>1618</v>
      </c>
      <c r="AK71" s="119" t="s">
        <v>1618</v>
      </c>
      <c r="AL71" s="119" t="s">
        <v>1618</v>
      </c>
      <c r="AM71" s="119" t="s">
        <v>1618</v>
      </c>
      <c r="AN71" s="119" t="s">
        <v>1618</v>
      </c>
      <c r="AO71" s="119" t="s">
        <v>1618</v>
      </c>
      <c r="AP71" s="119" t="s">
        <v>1618</v>
      </c>
      <c r="AQ71" s="119" t="s">
        <v>1618</v>
      </c>
      <c r="AR71" s="119" t="s">
        <v>1618</v>
      </c>
      <c r="AS71" s="120" t="s">
        <v>1618</v>
      </c>
      <c r="AT71" s="120" t="s">
        <v>1618</v>
      </c>
      <c r="AU71" s="120" t="s">
        <v>1618</v>
      </c>
      <c r="AV71" s="120" t="s">
        <v>1618</v>
      </c>
      <c r="AW71" s="120" t="s">
        <v>1618</v>
      </c>
      <c r="AX71" s="120" t="s">
        <v>1618</v>
      </c>
      <c r="AY71" s="120" t="s">
        <v>1618</v>
      </c>
      <c r="AZ71" s="120" t="s">
        <v>1618</v>
      </c>
      <c r="BA71" s="120" t="s">
        <v>1618</v>
      </c>
      <c r="BB71" s="120" t="s">
        <v>1618</v>
      </c>
      <c r="BC71" s="120" t="s">
        <v>1618</v>
      </c>
      <c r="BD71" s="120" t="s">
        <v>1618</v>
      </c>
      <c r="BE71" s="120" t="s">
        <v>1618</v>
      </c>
      <c r="BF71" s="120" t="s">
        <v>1618</v>
      </c>
      <c r="BG71" s="120" t="s">
        <v>1618</v>
      </c>
    </row>
    <row r="72" spans="1:59">
      <c r="A72" s="112" t="s">
        <v>1618</v>
      </c>
      <c r="B72" s="112" t="s">
        <v>1618</v>
      </c>
      <c r="C72" s="112" t="s">
        <v>1618</v>
      </c>
      <c r="D72" s="112" t="s">
        <v>1618</v>
      </c>
      <c r="E72" s="112" t="s">
        <v>1618</v>
      </c>
      <c r="F72" s="112" t="s">
        <v>1618</v>
      </c>
      <c r="G72" s="112" t="s">
        <v>1618</v>
      </c>
      <c r="H72" s="112" t="s">
        <v>1618</v>
      </c>
      <c r="I72" s="112" t="s">
        <v>1618</v>
      </c>
      <c r="J72" s="112" t="s">
        <v>1618</v>
      </c>
      <c r="K72" s="107" t="s">
        <v>1618</v>
      </c>
      <c r="L72" s="107" t="s">
        <v>1618</v>
      </c>
      <c r="M72" s="107" t="s">
        <v>1618</v>
      </c>
      <c r="N72" s="107" t="s">
        <v>1618</v>
      </c>
      <c r="O72" s="107" t="s">
        <v>1618</v>
      </c>
      <c r="P72" s="107" t="s">
        <v>1618</v>
      </c>
      <c r="Q72" s="107" t="s">
        <v>1618</v>
      </c>
      <c r="R72" s="107" t="s">
        <v>1618</v>
      </c>
      <c r="S72" s="107" t="s">
        <v>1618</v>
      </c>
      <c r="T72" s="107" t="s">
        <v>1618</v>
      </c>
      <c r="U72" s="122" t="s">
        <v>1618</v>
      </c>
      <c r="V72" s="122" t="s">
        <v>1618</v>
      </c>
      <c r="W72" s="122" t="s">
        <v>1618</v>
      </c>
      <c r="X72" s="122" t="s">
        <v>1618</v>
      </c>
      <c r="Y72" s="122" t="s">
        <v>1618</v>
      </c>
      <c r="Z72" s="122" t="s">
        <v>1618</v>
      </c>
      <c r="AA72" s="122" t="s">
        <v>1618</v>
      </c>
      <c r="AB72" s="122" t="s">
        <v>1618</v>
      </c>
      <c r="AC72" s="122" t="s">
        <v>1618</v>
      </c>
      <c r="AD72" s="122" t="s">
        <v>1618</v>
      </c>
      <c r="AE72" s="122" t="s">
        <v>1618</v>
      </c>
      <c r="AF72" s="122" t="s">
        <v>1618</v>
      </c>
      <c r="AG72" s="122" t="s">
        <v>1618</v>
      </c>
      <c r="AH72" s="119" t="s">
        <v>1618</v>
      </c>
      <c r="AI72" s="119" t="s">
        <v>1618</v>
      </c>
      <c r="AJ72" s="119" t="s">
        <v>1618</v>
      </c>
      <c r="AK72" s="119" t="s">
        <v>1618</v>
      </c>
      <c r="AL72" s="119" t="s">
        <v>1618</v>
      </c>
      <c r="AM72" s="119" t="s">
        <v>1618</v>
      </c>
      <c r="AN72" s="119" t="s">
        <v>1618</v>
      </c>
      <c r="AO72" s="119" t="s">
        <v>1618</v>
      </c>
      <c r="AP72" s="119" t="s">
        <v>1618</v>
      </c>
      <c r="AQ72" s="119" t="s">
        <v>1618</v>
      </c>
      <c r="AR72" s="119" t="s">
        <v>1618</v>
      </c>
      <c r="AS72" s="120" t="s">
        <v>1618</v>
      </c>
      <c r="AT72" s="120" t="s">
        <v>1618</v>
      </c>
      <c r="AU72" s="120" t="s">
        <v>1618</v>
      </c>
      <c r="AV72" s="120" t="s">
        <v>1618</v>
      </c>
      <c r="AW72" s="120" t="s">
        <v>1618</v>
      </c>
      <c r="AX72" s="120" t="s">
        <v>1618</v>
      </c>
      <c r="AY72" s="120" t="s">
        <v>1618</v>
      </c>
      <c r="AZ72" s="120" t="s">
        <v>1618</v>
      </c>
      <c r="BA72" s="120" t="s">
        <v>1618</v>
      </c>
      <c r="BB72" s="120" t="s">
        <v>1618</v>
      </c>
      <c r="BC72" s="120" t="s">
        <v>1618</v>
      </c>
      <c r="BD72" s="120" t="s">
        <v>1618</v>
      </c>
      <c r="BE72" s="120" t="s">
        <v>1618</v>
      </c>
      <c r="BF72" s="120" t="s">
        <v>1618</v>
      </c>
      <c r="BG72" s="120" t="s">
        <v>1618</v>
      </c>
    </row>
    <row r="73" spans="1:59">
      <c r="A73" s="112" t="s">
        <v>1618</v>
      </c>
      <c r="B73" s="112" t="s">
        <v>1618</v>
      </c>
      <c r="C73" s="112" t="s">
        <v>1618</v>
      </c>
      <c r="D73" s="112" t="s">
        <v>1618</v>
      </c>
      <c r="E73" s="112" t="s">
        <v>1618</v>
      </c>
      <c r="F73" s="112" t="s">
        <v>1618</v>
      </c>
      <c r="G73" s="112" t="s">
        <v>1618</v>
      </c>
      <c r="H73" s="112" t="s">
        <v>1618</v>
      </c>
      <c r="I73" s="112" t="s">
        <v>1618</v>
      </c>
      <c r="J73" s="112" t="s">
        <v>1618</v>
      </c>
      <c r="K73" s="107" t="s">
        <v>1618</v>
      </c>
      <c r="L73" s="107" t="s">
        <v>1618</v>
      </c>
      <c r="M73" s="107" t="s">
        <v>1618</v>
      </c>
      <c r="N73" s="107" t="s">
        <v>1618</v>
      </c>
      <c r="O73" s="107" t="s">
        <v>1618</v>
      </c>
      <c r="P73" s="107" t="s">
        <v>1618</v>
      </c>
      <c r="Q73" s="107" t="s">
        <v>1618</v>
      </c>
      <c r="R73" s="107" t="s">
        <v>1618</v>
      </c>
      <c r="S73" s="107" t="s">
        <v>1618</v>
      </c>
      <c r="T73" s="107" t="s">
        <v>1618</v>
      </c>
      <c r="U73" s="122" t="s">
        <v>1618</v>
      </c>
      <c r="V73" s="122" t="s">
        <v>1618</v>
      </c>
      <c r="W73" s="122" t="s">
        <v>1618</v>
      </c>
      <c r="X73" s="122" t="s">
        <v>1618</v>
      </c>
      <c r="Y73" s="122" t="s">
        <v>1618</v>
      </c>
      <c r="Z73" s="122" t="s">
        <v>1618</v>
      </c>
      <c r="AA73" s="122" t="s">
        <v>1618</v>
      </c>
      <c r="AB73" s="122" t="s">
        <v>1618</v>
      </c>
      <c r="AC73" s="122" t="s">
        <v>1618</v>
      </c>
      <c r="AD73" s="122" t="s">
        <v>1618</v>
      </c>
      <c r="AE73" s="122" t="s">
        <v>1618</v>
      </c>
      <c r="AF73" s="122" t="s">
        <v>1618</v>
      </c>
      <c r="AG73" s="122" t="s">
        <v>1618</v>
      </c>
      <c r="AH73" s="119" t="s">
        <v>1618</v>
      </c>
      <c r="AI73" s="119" t="s">
        <v>1618</v>
      </c>
      <c r="AJ73" s="119" t="s">
        <v>1618</v>
      </c>
      <c r="AK73" s="119" t="s">
        <v>1618</v>
      </c>
      <c r="AL73" s="119" t="s">
        <v>1618</v>
      </c>
      <c r="AM73" s="119" t="s">
        <v>1618</v>
      </c>
      <c r="AN73" s="119" t="s">
        <v>1618</v>
      </c>
      <c r="AO73" s="119" t="s">
        <v>1618</v>
      </c>
      <c r="AP73" s="119" t="s">
        <v>1618</v>
      </c>
      <c r="AQ73" s="119" t="s">
        <v>1618</v>
      </c>
      <c r="AR73" s="119" t="s">
        <v>1618</v>
      </c>
      <c r="AS73" s="120" t="s">
        <v>1618</v>
      </c>
      <c r="AT73" s="120" t="s">
        <v>1618</v>
      </c>
      <c r="AU73" s="120" t="s">
        <v>1618</v>
      </c>
      <c r="AV73" s="120" t="s">
        <v>1618</v>
      </c>
      <c r="AW73" s="120" t="s">
        <v>1618</v>
      </c>
      <c r="AX73" s="120" t="s">
        <v>1618</v>
      </c>
      <c r="AY73" s="120" t="s">
        <v>1618</v>
      </c>
      <c r="AZ73" s="120" t="s">
        <v>1618</v>
      </c>
      <c r="BA73" s="120" t="s">
        <v>1618</v>
      </c>
      <c r="BB73" s="120" t="s">
        <v>1618</v>
      </c>
      <c r="BC73" s="120" t="s">
        <v>1618</v>
      </c>
      <c r="BD73" s="120" t="s">
        <v>1618</v>
      </c>
      <c r="BE73" s="120" t="s">
        <v>1618</v>
      </c>
      <c r="BF73" s="120" t="s">
        <v>1618</v>
      </c>
      <c r="BG73" s="120" t="s">
        <v>1618</v>
      </c>
    </row>
    <row r="74" spans="1:59">
      <c r="A74" s="112" t="s">
        <v>1618</v>
      </c>
      <c r="B74" s="112" t="s">
        <v>1618</v>
      </c>
      <c r="C74" s="112" t="s">
        <v>1618</v>
      </c>
      <c r="D74" s="112" t="s">
        <v>1618</v>
      </c>
      <c r="E74" s="112" t="s">
        <v>1618</v>
      </c>
      <c r="F74" s="112" t="s">
        <v>1618</v>
      </c>
      <c r="G74" s="112" t="s">
        <v>1618</v>
      </c>
      <c r="H74" s="112" t="s">
        <v>1618</v>
      </c>
      <c r="I74" s="112" t="s">
        <v>1618</v>
      </c>
      <c r="J74" s="112" t="s">
        <v>1618</v>
      </c>
      <c r="K74" s="107" t="s">
        <v>1618</v>
      </c>
      <c r="L74" s="107" t="s">
        <v>1618</v>
      </c>
      <c r="M74" s="107" t="s">
        <v>1618</v>
      </c>
      <c r="N74" s="107" t="s">
        <v>1618</v>
      </c>
      <c r="O74" s="107" t="s">
        <v>1618</v>
      </c>
      <c r="P74" s="107" t="s">
        <v>1618</v>
      </c>
      <c r="Q74" s="107" t="s">
        <v>1618</v>
      </c>
      <c r="R74" s="107" t="s">
        <v>1618</v>
      </c>
      <c r="S74" s="107" t="s">
        <v>1618</v>
      </c>
      <c r="T74" s="107" t="s">
        <v>1618</v>
      </c>
      <c r="U74" s="122" t="s">
        <v>1618</v>
      </c>
      <c r="V74" s="122" t="s">
        <v>1618</v>
      </c>
      <c r="W74" s="122" t="s">
        <v>1618</v>
      </c>
      <c r="X74" s="122" t="s">
        <v>1618</v>
      </c>
      <c r="Y74" s="122" t="s">
        <v>1618</v>
      </c>
      <c r="Z74" s="122" t="s">
        <v>1618</v>
      </c>
      <c r="AA74" s="122" t="s">
        <v>1618</v>
      </c>
      <c r="AB74" s="122" t="s">
        <v>1618</v>
      </c>
      <c r="AC74" s="122" t="s">
        <v>1618</v>
      </c>
      <c r="AD74" s="122" t="s">
        <v>1618</v>
      </c>
      <c r="AE74" s="122" t="s">
        <v>1618</v>
      </c>
      <c r="AF74" s="122" t="s">
        <v>1618</v>
      </c>
      <c r="AG74" s="122" t="s">
        <v>1618</v>
      </c>
      <c r="AH74" s="119" t="s">
        <v>1618</v>
      </c>
      <c r="AI74" s="119" t="s">
        <v>1618</v>
      </c>
      <c r="AJ74" s="119" t="s">
        <v>1618</v>
      </c>
      <c r="AK74" s="119" t="s">
        <v>1618</v>
      </c>
      <c r="AL74" s="119" t="s">
        <v>1618</v>
      </c>
      <c r="AM74" s="119" t="s">
        <v>1618</v>
      </c>
      <c r="AN74" s="119" t="s">
        <v>1618</v>
      </c>
      <c r="AO74" s="119" t="s">
        <v>1618</v>
      </c>
      <c r="AP74" s="119" t="s">
        <v>1618</v>
      </c>
      <c r="AQ74" s="119" t="s">
        <v>1618</v>
      </c>
      <c r="AR74" s="119" t="s">
        <v>1618</v>
      </c>
      <c r="AS74" s="120" t="s">
        <v>1618</v>
      </c>
      <c r="AT74" s="120" t="s">
        <v>1618</v>
      </c>
      <c r="AU74" s="120" t="s">
        <v>1618</v>
      </c>
      <c r="AV74" s="120" t="s">
        <v>1618</v>
      </c>
      <c r="AW74" s="120" t="s">
        <v>1618</v>
      </c>
      <c r="AX74" s="120" t="s">
        <v>1618</v>
      </c>
      <c r="AY74" s="120" t="s">
        <v>1618</v>
      </c>
      <c r="AZ74" s="120" t="s">
        <v>1618</v>
      </c>
      <c r="BA74" s="120" t="s">
        <v>1618</v>
      </c>
      <c r="BB74" s="120" t="s">
        <v>1618</v>
      </c>
      <c r="BC74" s="120" t="s">
        <v>1618</v>
      </c>
      <c r="BD74" s="120" t="s">
        <v>1618</v>
      </c>
      <c r="BE74" s="120" t="s">
        <v>1618</v>
      </c>
      <c r="BF74" s="120" t="s">
        <v>1618</v>
      </c>
      <c r="BG74" s="120" t="s">
        <v>1618</v>
      </c>
    </row>
    <row r="75" spans="1:59">
      <c r="A75" s="112" t="s">
        <v>1618</v>
      </c>
      <c r="B75" s="112" t="s">
        <v>1618</v>
      </c>
      <c r="C75" s="112" t="s">
        <v>1618</v>
      </c>
      <c r="D75" s="112" t="s">
        <v>1618</v>
      </c>
      <c r="E75" s="112" t="s">
        <v>1618</v>
      </c>
      <c r="F75" s="112" t="s">
        <v>1618</v>
      </c>
      <c r="G75" s="112" t="s">
        <v>1618</v>
      </c>
      <c r="H75" s="112" t="s">
        <v>1618</v>
      </c>
      <c r="I75" s="112" t="s">
        <v>1618</v>
      </c>
      <c r="J75" s="112" t="s">
        <v>1618</v>
      </c>
      <c r="K75" s="107" t="s">
        <v>1618</v>
      </c>
      <c r="L75" s="107" t="s">
        <v>1618</v>
      </c>
      <c r="M75" s="107" t="s">
        <v>1618</v>
      </c>
      <c r="N75" s="107" t="s">
        <v>1618</v>
      </c>
      <c r="O75" s="107" t="s">
        <v>1618</v>
      </c>
      <c r="P75" s="107" t="s">
        <v>1618</v>
      </c>
      <c r="Q75" s="107" t="s">
        <v>1618</v>
      </c>
      <c r="R75" s="107" t="s">
        <v>1618</v>
      </c>
      <c r="S75" s="107" t="s">
        <v>1618</v>
      </c>
      <c r="T75" s="107" t="s">
        <v>1618</v>
      </c>
      <c r="U75" s="122" t="s">
        <v>1618</v>
      </c>
      <c r="V75" s="122" t="s">
        <v>1618</v>
      </c>
      <c r="W75" s="122" t="s">
        <v>1618</v>
      </c>
      <c r="X75" s="122" t="s">
        <v>1618</v>
      </c>
      <c r="Y75" s="122" t="s">
        <v>1618</v>
      </c>
      <c r="Z75" s="122" t="s">
        <v>1618</v>
      </c>
      <c r="AA75" s="122" t="s">
        <v>1618</v>
      </c>
      <c r="AB75" s="122" t="s">
        <v>1618</v>
      </c>
      <c r="AC75" s="122" t="s">
        <v>1618</v>
      </c>
      <c r="AD75" s="122" t="s">
        <v>1618</v>
      </c>
      <c r="AE75" s="122" t="s">
        <v>1618</v>
      </c>
      <c r="AF75" s="122" t="s">
        <v>1618</v>
      </c>
      <c r="AG75" s="122" t="s">
        <v>1618</v>
      </c>
      <c r="AH75" s="119" t="s">
        <v>1618</v>
      </c>
      <c r="AI75" s="119" t="s">
        <v>1618</v>
      </c>
      <c r="AJ75" s="119" t="s">
        <v>1618</v>
      </c>
      <c r="AK75" s="119" t="s">
        <v>1618</v>
      </c>
      <c r="AL75" s="119" t="s">
        <v>1618</v>
      </c>
      <c r="AM75" s="119" t="s">
        <v>1618</v>
      </c>
      <c r="AN75" s="119" t="s">
        <v>1618</v>
      </c>
      <c r="AO75" s="119" t="s">
        <v>1618</v>
      </c>
      <c r="AP75" s="119" t="s">
        <v>1618</v>
      </c>
      <c r="AQ75" s="119" t="s">
        <v>1618</v>
      </c>
      <c r="AR75" s="119" t="s">
        <v>1618</v>
      </c>
      <c r="AS75" s="120" t="s">
        <v>1618</v>
      </c>
      <c r="AT75" s="120" t="s">
        <v>1618</v>
      </c>
      <c r="AU75" s="120" t="s">
        <v>1618</v>
      </c>
      <c r="AV75" s="120" t="s">
        <v>1618</v>
      </c>
      <c r="AW75" s="120" t="s">
        <v>1618</v>
      </c>
      <c r="AX75" s="120" t="s">
        <v>1618</v>
      </c>
      <c r="AY75" s="120" t="s">
        <v>1618</v>
      </c>
      <c r="AZ75" s="120" t="s">
        <v>1618</v>
      </c>
      <c r="BA75" s="120" t="s">
        <v>1618</v>
      </c>
      <c r="BB75" s="120" t="s">
        <v>1618</v>
      </c>
      <c r="BC75" s="120" t="s">
        <v>1618</v>
      </c>
      <c r="BD75" s="120" t="s">
        <v>1618</v>
      </c>
      <c r="BE75" s="120" t="s">
        <v>1618</v>
      </c>
      <c r="BF75" s="120" t="s">
        <v>1618</v>
      </c>
      <c r="BG75" s="120" t="s">
        <v>1618</v>
      </c>
    </row>
    <row r="76" spans="1:59">
      <c r="A76" s="112" t="s">
        <v>1618</v>
      </c>
      <c r="B76" s="112" t="s">
        <v>1618</v>
      </c>
      <c r="C76" s="112" t="s">
        <v>1618</v>
      </c>
      <c r="D76" s="112" t="s">
        <v>1618</v>
      </c>
      <c r="E76" s="112" t="s">
        <v>1618</v>
      </c>
      <c r="F76" s="112" t="s">
        <v>1618</v>
      </c>
      <c r="G76" s="112" t="s">
        <v>1618</v>
      </c>
      <c r="H76" s="112" t="s">
        <v>1618</v>
      </c>
      <c r="I76" s="112" t="s">
        <v>1618</v>
      </c>
      <c r="J76" s="112" t="s">
        <v>1618</v>
      </c>
      <c r="K76" s="107" t="s">
        <v>1618</v>
      </c>
      <c r="L76" s="107" t="s">
        <v>1618</v>
      </c>
      <c r="M76" s="107" t="s">
        <v>1618</v>
      </c>
      <c r="N76" s="107" t="s">
        <v>1618</v>
      </c>
      <c r="O76" s="107" t="s">
        <v>1618</v>
      </c>
      <c r="P76" s="107" t="s">
        <v>1618</v>
      </c>
      <c r="Q76" s="107" t="s">
        <v>1618</v>
      </c>
      <c r="R76" s="107" t="s">
        <v>1618</v>
      </c>
      <c r="S76" s="107" t="s">
        <v>1618</v>
      </c>
      <c r="T76" s="107" t="s">
        <v>1618</v>
      </c>
      <c r="U76" s="122" t="s">
        <v>1618</v>
      </c>
      <c r="V76" s="122" t="s">
        <v>1618</v>
      </c>
      <c r="W76" s="122" t="s">
        <v>1618</v>
      </c>
      <c r="X76" s="122" t="s">
        <v>1618</v>
      </c>
      <c r="Y76" s="122" t="s">
        <v>1618</v>
      </c>
      <c r="Z76" s="122" t="s">
        <v>1618</v>
      </c>
      <c r="AA76" s="122" t="s">
        <v>1618</v>
      </c>
      <c r="AB76" s="122" t="s">
        <v>1618</v>
      </c>
      <c r="AC76" s="122" t="s">
        <v>1618</v>
      </c>
      <c r="AD76" s="122" t="s">
        <v>1618</v>
      </c>
      <c r="AE76" s="122" t="s">
        <v>1618</v>
      </c>
      <c r="AF76" s="122" t="s">
        <v>1618</v>
      </c>
      <c r="AG76" s="122" t="s">
        <v>1618</v>
      </c>
      <c r="AH76" s="119" t="s">
        <v>1618</v>
      </c>
      <c r="AI76" s="119" t="s">
        <v>1618</v>
      </c>
      <c r="AJ76" s="119" t="s">
        <v>1618</v>
      </c>
      <c r="AK76" s="119" t="s">
        <v>1618</v>
      </c>
      <c r="AL76" s="119" t="s">
        <v>1618</v>
      </c>
      <c r="AM76" s="119" t="s">
        <v>1618</v>
      </c>
      <c r="AN76" s="119" t="s">
        <v>1618</v>
      </c>
      <c r="AO76" s="119" t="s">
        <v>1618</v>
      </c>
      <c r="AP76" s="119" t="s">
        <v>1618</v>
      </c>
      <c r="AQ76" s="119" t="s">
        <v>1618</v>
      </c>
      <c r="AR76" s="119" t="s">
        <v>1618</v>
      </c>
      <c r="AS76" s="120" t="s">
        <v>1618</v>
      </c>
      <c r="AT76" s="120" t="s">
        <v>1618</v>
      </c>
      <c r="AU76" s="120" t="s">
        <v>1618</v>
      </c>
      <c r="AV76" s="120" t="s">
        <v>1618</v>
      </c>
      <c r="AW76" s="120" t="s">
        <v>1618</v>
      </c>
      <c r="AX76" s="120" t="s">
        <v>1618</v>
      </c>
      <c r="AY76" s="120" t="s">
        <v>1618</v>
      </c>
      <c r="AZ76" s="120" t="s">
        <v>1618</v>
      </c>
      <c r="BA76" s="120" t="s">
        <v>1618</v>
      </c>
      <c r="BB76" s="120" t="s">
        <v>1618</v>
      </c>
      <c r="BC76" s="120" t="s">
        <v>1618</v>
      </c>
      <c r="BD76" s="120" t="s">
        <v>1618</v>
      </c>
      <c r="BE76" s="120" t="s">
        <v>1618</v>
      </c>
      <c r="BF76" s="120" t="s">
        <v>1618</v>
      </c>
      <c r="BG76" s="120" t="s">
        <v>1618</v>
      </c>
    </row>
    <row r="77" spans="1:59">
      <c r="A77" s="112" t="s">
        <v>1618</v>
      </c>
      <c r="B77" s="112" t="s">
        <v>1618</v>
      </c>
      <c r="C77" s="112" t="s">
        <v>1618</v>
      </c>
      <c r="D77" s="112" t="s">
        <v>1618</v>
      </c>
      <c r="E77" s="112" t="s">
        <v>1618</v>
      </c>
      <c r="F77" s="112" t="s">
        <v>1618</v>
      </c>
      <c r="G77" s="112" t="s">
        <v>1618</v>
      </c>
      <c r="H77" s="112" t="s">
        <v>1618</v>
      </c>
      <c r="I77" s="112" t="s">
        <v>1618</v>
      </c>
      <c r="J77" s="112" t="s">
        <v>1618</v>
      </c>
      <c r="K77" s="107" t="s">
        <v>1618</v>
      </c>
      <c r="L77" s="107" t="s">
        <v>1618</v>
      </c>
      <c r="M77" s="107" t="s">
        <v>1618</v>
      </c>
      <c r="N77" s="107" t="s">
        <v>1618</v>
      </c>
      <c r="O77" s="107" t="s">
        <v>1618</v>
      </c>
      <c r="P77" s="107" t="s">
        <v>1618</v>
      </c>
      <c r="Q77" s="107" t="s">
        <v>1618</v>
      </c>
      <c r="R77" s="107" t="s">
        <v>1618</v>
      </c>
      <c r="S77" s="107" t="s">
        <v>1618</v>
      </c>
      <c r="T77" s="107" t="s">
        <v>1618</v>
      </c>
      <c r="U77" s="122" t="s">
        <v>1618</v>
      </c>
      <c r="V77" s="122" t="s">
        <v>1618</v>
      </c>
      <c r="W77" s="122" t="s">
        <v>1618</v>
      </c>
      <c r="X77" s="122" t="s">
        <v>1618</v>
      </c>
      <c r="Y77" s="122" t="s">
        <v>1618</v>
      </c>
      <c r="Z77" s="122" t="s">
        <v>1618</v>
      </c>
      <c r="AA77" s="122" t="s">
        <v>1618</v>
      </c>
      <c r="AB77" s="122" t="s">
        <v>1618</v>
      </c>
      <c r="AC77" s="122" t="s">
        <v>1618</v>
      </c>
      <c r="AD77" s="122" t="s">
        <v>1618</v>
      </c>
      <c r="AE77" s="122" t="s">
        <v>1618</v>
      </c>
      <c r="AF77" s="122" t="s">
        <v>1618</v>
      </c>
      <c r="AG77" s="122" t="s">
        <v>1618</v>
      </c>
      <c r="AH77" s="119" t="s">
        <v>1618</v>
      </c>
      <c r="AI77" s="119" t="s">
        <v>1618</v>
      </c>
      <c r="AJ77" s="119" t="s">
        <v>1618</v>
      </c>
      <c r="AK77" s="119" t="s">
        <v>1618</v>
      </c>
      <c r="AL77" s="119" t="s">
        <v>1618</v>
      </c>
      <c r="AM77" s="119" t="s">
        <v>1618</v>
      </c>
      <c r="AN77" s="119" t="s">
        <v>1618</v>
      </c>
      <c r="AO77" s="119" t="s">
        <v>1618</v>
      </c>
      <c r="AP77" s="119" t="s">
        <v>1618</v>
      </c>
      <c r="AQ77" s="119" t="s">
        <v>1618</v>
      </c>
      <c r="AR77" s="119" t="s">
        <v>1618</v>
      </c>
      <c r="AS77" s="120" t="s">
        <v>1618</v>
      </c>
      <c r="AT77" s="120" t="s">
        <v>1618</v>
      </c>
      <c r="AU77" s="120" t="s">
        <v>1618</v>
      </c>
      <c r="AV77" s="120" t="s">
        <v>1618</v>
      </c>
      <c r="AW77" s="120" t="s">
        <v>1618</v>
      </c>
      <c r="AX77" s="120" t="s">
        <v>1618</v>
      </c>
      <c r="AY77" s="120" t="s">
        <v>1618</v>
      </c>
      <c r="AZ77" s="120" t="s">
        <v>1618</v>
      </c>
      <c r="BA77" s="120" t="s">
        <v>1618</v>
      </c>
      <c r="BB77" s="120" t="s">
        <v>1618</v>
      </c>
      <c r="BC77" s="120" t="s">
        <v>1618</v>
      </c>
      <c r="BD77" s="120" t="s">
        <v>1618</v>
      </c>
      <c r="BE77" s="120" t="s">
        <v>1618</v>
      </c>
      <c r="BF77" s="120" t="s">
        <v>1618</v>
      </c>
      <c r="BG77" s="120" t="s">
        <v>1618</v>
      </c>
    </row>
    <row r="78" spans="1:59">
      <c r="A78" s="112" t="s">
        <v>1618</v>
      </c>
      <c r="B78" s="112" t="s">
        <v>1618</v>
      </c>
      <c r="C78" s="112" t="s">
        <v>1618</v>
      </c>
      <c r="D78" s="112" t="s">
        <v>1618</v>
      </c>
      <c r="E78" s="112" t="s">
        <v>1618</v>
      </c>
      <c r="F78" s="112" t="s">
        <v>1618</v>
      </c>
      <c r="G78" s="112" t="s">
        <v>1618</v>
      </c>
      <c r="H78" s="112" t="s">
        <v>1618</v>
      </c>
      <c r="I78" s="112" t="s">
        <v>1618</v>
      </c>
      <c r="J78" s="112" t="s">
        <v>1618</v>
      </c>
      <c r="K78" s="107" t="s">
        <v>1618</v>
      </c>
      <c r="L78" s="107" t="s">
        <v>1618</v>
      </c>
      <c r="M78" s="107" t="s">
        <v>1618</v>
      </c>
      <c r="N78" s="107" t="s">
        <v>1618</v>
      </c>
      <c r="O78" s="107" t="s">
        <v>1618</v>
      </c>
      <c r="P78" s="107" t="s">
        <v>1618</v>
      </c>
      <c r="Q78" s="107" t="s">
        <v>1618</v>
      </c>
      <c r="R78" s="107" t="s">
        <v>1618</v>
      </c>
      <c r="S78" s="107" t="s">
        <v>1618</v>
      </c>
      <c r="T78" s="107" t="s">
        <v>1618</v>
      </c>
      <c r="U78" s="122" t="s">
        <v>1618</v>
      </c>
      <c r="V78" s="122" t="s">
        <v>1618</v>
      </c>
      <c r="W78" s="122" t="s">
        <v>1618</v>
      </c>
      <c r="X78" s="122" t="s">
        <v>1618</v>
      </c>
      <c r="Y78" s="122" t="s">
        <v>1618</v>
      </c>
      <c r="Z78" s="122" t="s">
        <v>1618</v>
      </c>
      <c r="AA78" s="122" t="s">
        <v>1618</v>
      </c>
      <c r="AB78" s="122" t="s">
        <v>1618</v>
      </c>
      <c r="AC78" s="122" t="s">
        <v>1618</v>
      </c>
      <c r="AD78" s="122" t="s">
        <v>1618</v>
      </c>
      <c r="AE78" s="122" t="s">
        <v>1618</v>
      </c>
      <c r="AF78" s="122" t="s">
        <v>1618</v>
      </c>
      <c r="AG78" s="122" t="s">
        <v>1618</v>
      </c>
      <c r="AH78" s="99" t="s">
        <v>1618</v>
      </c>
      <c r="AI78" s="99" t="s">
        <v>1618</v>
      </c>
      <c r="AJ78" s="99" t="s">
        <v>1618</v>
      </c>
      <c r="AK78" s="99" t="s">
        <v>1618</v>
      </c>
      <c r="AL78" s="99" t="s">
        <v>1618</v>
      </c>
      <c r="AM78" s="99" t="s">
        <v>1618</v>
      </c>
      <c r="AN78" s="99" t="s">
        <v>1618</v>
      </c>
      <c r="AO78" s="99" t="s">
        <v>1618</v>
      </c>
      <c r="AP78" s="99" t="s">
        <v>1618</v>
      </c>
      <c r="AQ78" s="99" t="s">
        <v>1618</v>
      </c>
      <c r="AR78" s="99" t="s">
        <v>1618</v>
      </c>
      <c r="AS78" s="120" t="s">
        <v>1618</v>
      </c>
      <c r="AT78" s="120" t="s">
        <v>1618</v>
      </c>
      <c r="AU78" s="120" t="s">
        <v>1618</v>
      </c>
      <c r="AV78" s="120" t="s">
        <v>1618</v>
      </c>
      <c r="AW78" s="120" t="s">
        <v>1618</v>
      </c>
      <c r="AX78" s="120" t="s">
        <v>1618</v>
      </c>
      <c r="AY78" s="120" t="s">
        <v>1618</v>
      </c>
      <c r="AZ78" s="120" t="s">
        <v>1618</v>
      </c>
      <c r="BA78" s="120" t="s">
        <v>1618</v>
      </c>
      <c r="BB78" s="120" t="s">
        <v>1618</v>
      </c>
      <c r="BC78" s="120" t="s">
        <v>1618</v>
      </c>
      <c r="BD78" s="120" t="s">
        <v>1618</v>
      </c>
      <c r="BE78" s="120" t="s">
        <v>1618</v>
      </c>
      <c r="BF78" s="120" t="s">
        <v>1618</v>
      </c>
      <c r="BG78" s="120" t="s">
        <v>1618</v>
      </c>
    </row>
    <row r="79" spans="1:59">
      <c r="A79" s="112" t="s">
        <v>1618</v>
      </c>
      <c r="B79" s="112" t="s">
        <v>1618</v>
      </c>
      <c r="C79" s="112" t="s">
        <v>1618</v>
      </c>
      <c r="D79" s="112" t="s">
        <v>1618</v>
      </c>
      <c r="E79" s="112" t="s">
        <v>1618</v>
      </c>
      <c r="F79" s="112" t="s">
        <v>1618</v>
      </c>
      <c r="G79" s="112" t="s">
        <v>1618</v>
      </c>
      <c r="H79" s="112" t="s">
        <v>1618</v>
      </c>
      <c r="I79" s="112" t="s">
        <v>1618</v>
      </c>
      <c r="J79" s="112" t="s">
        <v>1618</v>
      </c>
      <c r="K79" s="107" t="s">
        <v>1618</v>
      </c>
      <c r="L79" s="107" t="s">
        <v>1618</v>
      </c>
      <c r="M79" s="107" t="s">
        <v>1618</v>
      </c>
      <c r="N79" s="107" t="s">
        <v>1618</v>
      </c>
      <c r="O79" s="107" t="s">
        <v>1618</v>
      </c>
      <c r="P79" s="107" t="s">
        <v>1618</v>
      </c>
      <c r="Q79" s="107" t="s">
        <v>1618</v>
      </c>
      <c r="R79" s="107" t="s">
        <v>1618</v>
      </c>
      <c r="S79" s="107" t="s">
        <v>1618</v>
      </c>
      <c r="T79" s="107" t="s">
        <v>1618</v>
      </c>
      <c r="U79" s="122" t="s">
        <v>1618</v>
      </c>
      <c r="V79" s="122" t="s">
        <v>1618</v>
      </c>
      <c r="W79" s="122" t="s">
        <v>1618</v>
      </c>
      <c r="X79" s="122" t="s">
        <v>1618</v>
      </c>
      <c r="Y79" s="122" t="s">
        <v>1618</v>
      </c>
      <c r="Z79" s="122" t="s">
        <v>1618</v>
      </c>
      <c r="AA79" s="122" t="s">
        <v>1618</v>
      </c>
      <c r="AB79" s="122" t="s">
        <v>1618</v>
      </c>
      <c r="AC79" s="122" t="s">
        <v>1618</v>
      </c>
      <c r="AD79" s="122" t="s">
        <v>1618</v>
      </c>
      <c r="AE79" s="122" t="s">
        <v>1618</v>
      </c>
      <c r="AF79" s="122" t="s">
        <v>1618</v>
      </c>
      <c r="AG79" s="122" t="s">
        <v>1618</v>
      </c>
      <c r="AH79" s="99" t="s">
        <v>1618</v>
      </c>
      <c r="AI79" s="99" t="s">
        <v>1618</v>
      </c>
      <c r="AJ79" s="99" t="s">
        <v>1618</v>
      </c>
      <c r="AK79" s="99" t="s">
        <v>1618</v>
      </c>
      <c r="AL79" s="99" t="s">
        <v>1618</v>
      </c>
      <c r="AM79" s="99" t="s">
        <v>1618</v>
      </c>
      <c r="AN79" s="99" t="s">
        <v>1618</v>
      </c>
      <c r="AO79" s="99" t="s">
        <v>1618</v>
      </c>
      <c r="AP79" s="99" t="s">
        <v>1618</v>
      </c>
      <c r="AQ79" s="99" t="s">
        <v>1618</v>
      </c>
      <c r="AR79" s="99" t="s">
        <v>1618</v>
      </c>
      <c r="AS79" s="120" t="s">
        <v>1618</v>
      </c>
      <c r="AT79" s="120" t="s">
        <v>1618</v>
      </c>
      <c r="AU79" s="120" t="s">
        <v>1618</v>
      </c>
      <c r="AV79" s="120" t="s">
        <v>1618</v>
      </c>
      <c r="AW79" s="120" t="s">
        <v>1618</v>
      </c>
      <c r="AX79" s="120" t="s">
        <v>1618</v>
      </c>
      <c r="AY79" s="120" t="s">
        <v>1618</v>
      </c>
      <c r="AZ79" s="120" t="s">
        <v>1618</v>
      </c>
      <c r="BA79" s="120" t="s">
        <v>1618</v>
      </c>
      <c r="BB79" s="120" t="s">
        <v>1618</v>
      </c>
      <c r="BC79" s="120" t="s">
        <v>1618</v>
      </c>
      <c r="BD79" s="120" t="s">
        <v>1618</v>
      </c>
      <c r="BE79" s="120" t="s">
        <v>1618</v>
      </c>
      <c r="BF79" s="120" t="s">
        <v>1618</v>
      </c>
      <c r="BG79" s="120" t="s">
        <v>1618</v>
      </c>
    </row>
    <row r="80" spans="1:59">
      <c r="A80" s="112" t="s">
        <v>1618</v>
      </c>
      <c r="B80" s="112" t="s">
        <v>1618</v>
      </c>
      <c r="C80" s="112" t="s">
        <v>1618</v>
      </c>
      <c r="D80" s="112" t="s">
        <v>1618</v>
      </c>
      <c r="E80" s="112" t="s">
        <v>1618</v>
      </c>
      <c r="F80" s="112" t="s">
        <v>1618</v>
      </c>
      <c r="G80" s="112" t="s">
        <v>1618</v>
      </c>
      <c r="H80" s="112" t="s">
        <v>1618</v>
      </c>
      <c r="I80" s="112" t="s">
        <v>1618</v>
      </c>
      <c r="J80" s="112" t="s">
        <v>1618</v>
      </c>
      <c r="K80" s="107" t="s">
        <v>1618</v>
      </c>
      <c r="L80" s="107" t="s">
        <v>1618</v>
      </c>
      <c r="M80" s="107" t="s">
        <v>1618</v>
      </c>
      <c r="N80" s="107" t="s">
        <v>1618</v>
      </c>
      <c r="O80" s="107" t="s">
        <v>1618</v>
      </c>
      <c r="P80" s="107" t="s">
        <v>1618</v>
      </c>
      <c r="Q80" s="107" t="s">
        <v>1618</v>
      </c>
      <c r="R80" s="107" t="s">
        <v>1618</v>
      </c>
      <c r="S80" s="107" t="s">
        <v>1618</v>
      </c>
      <c r="T80" s="107" t="s">
        <v>1618</v>
      </c>
    </row>
    <row r="81" spans="1:20">
      <c r="A81" s="112" t="s">
        <v>1618</v>
      </c>
      <c r="B81" s="112" t="s">
        <v>1618</v>
      </c>
      <c r="C81" s="112" t="s">
        <v>1618</v>
      </c>
      <c r="D81" s="112" t="s">
        <v>1618</v>
      </c>
      <c r="E81" s="112" t="s">
        <v>1618</v>
      </c>
      <c r="F81" s="112" t="s">
        <v>1618</v>
      </c>
      <c r="G81" s="112" t="s">
        <v>1618</v>
      </c>
      <c r="H81" s="112" t="s">
        <v>1618</v>
      </c>
      <c r="I81" s="112" t="s">
        <v>1618</v>
      </c>
      <c r="J81" s="112" t="s">
        <v>1618</v>
      </c>
      <c r="K81" s="107" t="s">
        <v>1618</v>
      </c>
      <c r="L81" s="107" t="s">
        <v>1618</v>
      </c>
      <c r="M81" s="107" t="s">
        <v>1618</v>
      </c>
      <c r="N81" s="107" t="s">
        <v>1618</v>
      </c>
      <c r="O81" s="107" t="s">
        <v>1618</v>
      </c>
      <c r="P81" s="107" t="s">
        <v>1618</v>
      </c>
      <c r="Q81" s="107" t="s">
        <v>1618</v>
      </c>
      <c r="R81" s="107" t="s">
        <v>1618</v>
      </c>
      <c r="S81" s="107" t="s">
        <v>1618</v>
      </c>
      <c r="T81" s="107" t="s">
        <v>1618</v>
      </c>
    </row>
    <row r="82" spans="1:20">
      <c r="K82" s="107" t="s">
        <v>1618</v>
      </c>
      <c r="L82" s="107" t="s">
        <v>1618</v>
      </c>
      <c r="M82" s="107" t="s">
        <v>1618</v>
      </c>
      <c r="N82" s="107" t="s">
        <v>1618</v>
      </c>
      <c r="O82" s="107" t="s">
        <v>1618</v>
      </c>
      <c r="P82" s="107" t="s">
        <v>1618</v>
      </c>
      <c r="Q82" s="107" t="s">
        <v>1618</v>
      </c>
      <c r="R82" s="107" t="s">
        <v>1618</v>
      </c>
      <c r="S82" s="107" t="s">
        <v>1618</v>
      </c>
      <c r="T82" s="107" t="s">
        <v>1618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93"/>
  <sheetViews>
    <sheetView topLeftCell="A34" zoomScale="85" zoomScaleNormal="85" workbookViewId="0">
      <selection activeCell="J51" sqref="J51"/>
    </sheetView>
  </sheetViews>
  <sheetFormatPr defaultRowHeight="12.75"/>
  <cols>
    <col min="1" max="1" width="3.7109375" style="1" bestFit="1" customWidth="1"/>
    <col min="2" max="2" width="40" style="1" customWidth="1"/>
    <col min="3" max="3" width="15.28515625" style="181" customWidth="1"/>
    <col min="4" max="4" width="18.5703125" style="181" customWidth="1"/>
    <col min="5" max="5" width="10.7109375" style="182" bestFit="1" customWidth="1"/>
    <col min="6" max="6" width="16.42578125" style="53" bestFit="1" customWidth="1"/>
    <col min="7" max="7" width="10.7109375" style="1" bestFit="1" customWidth="1"/>
    <col min="8" max="16384" width="9.140625" style="1"/>
  </cols>
  <sheetData>
    <row r="1" spans="1:8">
      <c r="B1" s="7" t="s">
        <v>1825</v>
      </c>
    </row>
    <row r="2" spans="1:8">
      <c r="B2" s="1" t="s">
        <v>1707</v>
      </c>
      <c r="C2" s="181" t="s">
        <v>1706</v>
      </c>
      <c r="D2" s="181" t="s">
        <v>1671</v>
      </c>
      <c r="E2" s="182" t="s">
        <v>1672</v>
      </c>
      <c r="G2" s="1" t="s">
        <v>1729</v>
      </c>
      <c r="H2" s="1" t="s">
        <v>1730</v>
      </c>
    </row>
    <row r="3" spans="1:8">
      <c r="A3" s="1" t="s">
        <v>1673</v>
      </c>
      <c r="B3" s="1" t="s">
        <v>1674</v>
      </c>
      <c r="C3" s="181">
        <v>2</v>
      </c>
      <c r="E3" s="182" t="s">
        <v>1709</v>
      </c>
      <c r="F3" s="53">
        <f>15*4</f>
        <v>60</v>
      </c>
      <c r="G3" s="53">
        <f>C3*F3</f>
        <v>120</v>
      </c>
      <c r="H3" s="53">
        <f>D3*F3</f>
        <v>0</v>
      </c>
    </row>
    <row r="4" spans="1:8">
      <c r="A4" s="1" t="s">
        <v>1675</v>
      </c>
      <c r="B4" s="1" t="s">
        <v>1726</v>
      </c>
      <c r="C4" s="181">
        <v>2</v>
      </c>
      <c r="D4" s="181">
        <v>8</v>
      </c>
      <c r="E4" s="182" t="s">
        <v>1710</v>
      </c>
      <c r="F4" s="53">
        <f>10*6.5</f>
        <v>65</v>
      </c>
      <c r="G4" s="53">
        <f t="shared" ref="G4:G16" si="0">C4*F4</f>
        <v>130</v>
      </c>
      <c r="H4" s="53">
        <f t="shared" ref="H4:H16" si="1">D4*F4</f>
        <v>520</v>
      </c>
    </row>
    <row r="5" spans="1:8">
      <c r="A5" s="1" t="s">
        <v>1676</v>
      </c>
      <c r="B5" s="1" t="s">
        <v>1677</v>
      </c>
      <c r="C5" s="181">
        <v>4</v>
      </c>
      <c r="E5" s="182" t="s">
        <v>1711</v>
      </c>
      <c r="F5" s="53">
        <f>10*2</f>
        <v>20</v>
      </c>
      <c r="G5" s="53">
        <f t="shared" si="0"/>
        <v>80</v>
      </c>
      <c r="H5" s="53">
        <f t="shared" si="1"/>
        <v>0</v>
      </c>
    </row>
    <row r="6" spans="1:8">
      <c r="A6" s="1" t="s">
        <v>1678</v>
      </c>
      <c r="B6" s="1" t="s">
        <v>1679</v>
      </c>
      <c r="C6" s="181">
        <v>1</v>
      </c>
      <c r="D6" s="181">
        <v>1</v>
      </c>
      <c r="E6" s="182" t="s">
        <v>1712</v>
      </c>
      <c r="F6" s="53">
        <f>10*5</f>
        <v>50</v>
      </c>
      <c r="G6" s="53">
        <f t="shared" si="0"/>
        <v>50</v>
      </c>
      <c r="H6" s="53">
        <f t="shared" si="1"/>
        <v>50</v>
      </c>
    </row>
    <row r="7" spans="1:8">
      <c r="A7" s="1" t="s">
        <v>1680</v>
      </c>
      <c r="B7" s="1" t="s">
        <v>1681</v>
      </c>
      <c r="C7" s="181">
        <v>2</v>
      </c>
      <c r="E7" s="182" t="s">
        <v>1713</v>
      </c>
      <c r="F7" s="53">
        <f>5*7.5</f>
        <v>37.5</v>
      </c>
      <c r="G7" s="53">
        <f t="shared" si="0"/>
        <v>75</v>
      </c>
      <c r="H7" s="53">
        <f t="shared" si="1"/>
        <v>0</v>
      </c>
    </row>
    <row r="8" spans="1:8">
      <c r="A8" s="1" t="s">
        <v>1682</v>
      </c>
      <c r="B8" s="1" t="s">
        <v>1683</v>
      </c>
      <c r="D8" s="181">
        <v>2</v>
      </c>
      <c r="E8" s="182" t="s">
        <v>1714</v>
      </c>
      <c r="F8" s="53">
        <f>6*6.5</f>
        <v>39</v>
      </c>
      <c r="G8" s="53">
        <f t="shared" si="0"/>
        <v>0</v>
      </c>
      <c r="H8" s="53">
        <f t="shared" si="1"/>
        <v>78</v>
      </c>
    </row>
    <row r="9" spans="1:8">
      <c r="A9" s="1" t="s">
        <v>1684</v>
      </c>
      <c r="B9" s="1" t="s">
        <v>1685</v>
      </c>
      <c r="C9" s="181">
        <v>2</v>
      </c>
      <c r="E9" s="182" t="s">
        <v>1715</v>
      </c>
      <c r="F9" s="53">
        <f>5*2</f>
        <v>10</v>
      </c>
      <c r="G9" s="53">
        <f t="shared" si="0"/>
        <v>20</v>
      </c>
      <c r="H9" s="53">
        <f t="shared" si="1"/>
        <v>0</v>
      </c>
    </row>
    <row r="10" spans="1:8">
      <c r="A10" s="1" t="s">
        <v>1686</v>
      </c>
      <c r="B10" s="1" t="s">
        <v>1727</v>
      </c>
      <c r="C10" s="181">
        <v>3</v>
      </c>
      <c r="E10" s="182" t="s">
        <v>1716</v>
      </c>
      <c r="F10" s="53">
        <f>19*3</f>
        <v>57</v>
      </c>
      <c r="G10" s="53"/>
      <c r="H10" s="53">
        <f t="shared" si="1"/>
        <v>0</v>
      </c>
    </row>
    <row r="11" spans="1:8">
      <c r="A11" s="1" t="s">
        <v>1687</v>
      </c>
      <c r="B11" s="1" t="s">
        <v>1688</v>
      </c>
      <c r="C11" s="181">
        <v>1</v>
      </c>
      <c r="E11" s="182" t="s">
        <v>1717</v>
      </c>
      <c r="F11" s="53">
        <f>10*3</f>
        <v>30</v>
      </c>
      <c r="G11" s="53"/>
      <c r="H11" s="53">
        <f t="shared" si="1"/>
        <v>0</v>
      </c>
    </row>
    <row r="12" spans="1:8">
      <c r="A12" s="1" t="s">
        <v>1689</v>
      </c>
      <c r="B12" s="1" t="s">
        <v>1690</v>
      </c>
      <c r="C12" s="181">
        <v>2</v>
      </c>
      <c r="E12" s="182" t="s">
        <v>1718</v>
      </c>
      <c r="F12" s="53">
        <f>10*2.5</f>
        <v>25</v>
      </c>
      <c r="G12" s="53"/>
      <c r="H12" s="53">
        <f t="shared" si="1"/>
        <v>0</v>
      </c>
    </row>
    <row r="13" spans="1:8">
      <c r="A13" s="1" t="s">
        <v>1691</v>
      </c>
      <c r="B13" s="1" t="s">
        <v>1692</v>
      </c>
      <c r="C13" s="181">
        <v>1</v>
      </c>
      <c r="E13" s="182" t="s">
        <v>1719</v>
      </c>
      <c r="F13" s="53">
        <f>10*1.5</f>
        <v>15</v>
      </c>
      <c r="G13" s="53"/>
      <c r="H13" s="53">
        <f t="shared" si="1"/>
        <v>0</v>
      </c>
    </row>
    <row r="14" spans="1:8" ht="25.5">
      <c r="A14" s="1" t="s">
        <v>1693</v>
      </c>
      <c r="B14" s="17" t="s">
        <v>1728</v>
      </c>
      <c r="C14" s="181">
        <v>1</v>
      </c>
      <c r="D14" s="181">
        <v>1</v>
      </c>
      <c r="E14" s="182" t="s">
        <v>1720</v>
      </c>
      <c r="F14" s="53">
        <f>9.5*7.5</f>
        <v>71.25</v>
      </c>
      <c r="G14" s="53">
        <f t="shared" si="0"/>
        <v>71.25</v>
      </c>
      <c r="H14" s="53">
        <f t="shared" si="1"/>
        <v>71.25</v>
      </c>
    </row>
    <row r="15" spans="1:8">
      <c r="A15" s="1" t="s">
        <v>1694</v>
      </c>
      <c r="B15" s="1" t="s">
        <v>1695</v>
      </c>
      <c r="C15" s="181">
        <v>2</v>
      </c>
      <c r="D15" s="181">
        <v>2</v>
      </c>
      <c r="E15" s="182" t="s">
        <v>1721</v>
      </c>
      <c r="F15" s="53">
        <f>12.5*3</f>
        <v>37.5</v>
      </c>
      <c r="G15" s="53">
        <f t="shared" si="0"/>
        <v>75</v>
      </c>
      <c r="H15" s="53">
        <f t="shared" si="1"/>
        <v>75</v>
      </c>
    </row>
    <row r="16" spans="1:8">
      <c r="A16" s="1" t="s">
        <v>1696</v>
      </c>
      <c r="B16" s="1" t="s">
        <v>1697</v>
      </c>
      <c r="C16" s="181">
        <v>1</v>
      </c>
      <c r="E16" s="182" t="s">
        <v>1722</v>
      </c>
      <c r="F16" s="53">
        <f>2.75*2.75</f>
        <v>7.5625</v>
      </c>
      <c r="G16" s="53">
        <f t="shared" si="0"/>
        <v>7.5625</v>
      </c>
      <c r="H16" s="53">
        <f t="shared" si="1"/>
        <v>0</v>
      </c>
    </row>
    <row r="17" spans="1:13">
      <c r="G17" s="53">
        <f>SUM(G3:G16)</f>
        <v>628.8125</v>
      </c>
      <c r="H17" s="53">
        <f>SUM(H3:H16)</f>
        <v>794.25</v>
      </c>
    </row>
    <row r="18" spans="1:13">
      <c r="C18" s="181" t="s">
        <v>1708</v>
      </c>
    </row>
    <row r="19" spans="1:13">
      <c r="A19" s="1" t="s">
        <v>1698</v>
      </c>
      <c r="B19" s="1" t="s">
        <v>1699</v>
      </c>
      <c r="C19" s="181">
        <v>1</v>
      </c>
      <c r="E19" s="182" t="s">
        <v>1712</v>
      </c>
      <c r="F19" s="53">
        <f>10*5</f>
        <v>50</v>
      </c>
      <c r="G19" s="53">
        <f t="shared" ref="G19:G22" si="2">C19*F19</f>
        <v>50</v>
      </c>
    </row>
    <row r="20" spans="1:13">
      <c r="A20" s="1" t="s">
        <v>1700</v>
      </c>
      <c r="B20" s="1" t="s">
        <v>1701</v>
      </c>
      <c r="C20" s="181">
        <v>2</v>
      </c>
      <c r="E20" s="182" t="s">
        <v>1723</v>
      </c>
      <c r="F20" s="53">
        <f>10*7</f>
        <v>70</v>
      </c>
      <c r="G20" s="53">
        <f t="shared" si="2"/>
        <v>140</v>
      </c>
    </row>
    <row r="21" spans="1:13">
      <c r="A21" s="1" t="s">
        <v>1702</v>
      </c>
      <c r="B21" s="1" t="s">
        <v>1703</v>
      </c>
      <c r="C21" s="181">
        <v>2</v>
      </c>
      <c r="E21" s="182" t="s">
        <v>1724</v>
      </c>
      <c r="F21" s="53">
        <f>5*7</f>
        <v>35</v>
      </c>
      <c r="G21" s="53">
        <f t="shared" si="2"/>
        <v>70</v>
      </c>
    </row>
    <row r="22" spans="1:13">
      <c r="A22" s="1" t="s">
        <v>1704</v>
      </c>
      <c r="B22" s="1" t="s">
        <v>1705</v>
      </c>
      <c r="C22" s="181">
        <v>1</v>
      </c>
      <c r="E22" s="182" t="s">
        <v>1725</v>
      </c>
      <c r="F22" s="53">
        <f>8.5*5</f>
        <v>42.5</v>
      </c>
      <c r="G22" s="53">
        <f t="shared" si="2"/>
        <v>42.5</v>
      </c>
    </row>
    <row r="23" spans="1:13">
      <c r="G23" s="53">
        <f>SUM(G19:G22)</f>
        <v>302.5</v>
      </c>
    </row>
    <row r="27" spans="1:13">
      <c r="B27" s="7" t="s">
        <v>1826</v>
      </c>
    </row>
    <row r="28" spans="1:13" s="17" customFormat="1" ht="38.25">
      <c r="B28" s="222" t="s">
        <v>1707</v>
      </c>
      <c r="C28" s="223" t="s">
        <v>1706</v>
      </c>
      <c r="D28" s="223" t="s">
        <v>1830</v>
      </c>
      <c r="E28" s="222" t="s">
        <v>1827</v>
      </c>
      <c r="F28" s="222" t="s">
        <v>1828</v>
      </c>
      <c r="G28" s="224" t="s">
        <v>1672</v>
      </c>
      <c r="H28" s="225" t="s">
        <v>1121</v>
      </c>
      <c r="I28" s="222" t="s">
        <v>1729</v>
      </c>
      <c r="J28" s="222" t="s">
        <v>1730</v>
      </c>
      <c r="K28" s="222" t="s">
        <v>1827</v>
      </c>
      <c r="L28" s="222" t="s">
        <v>1828</v>
      </c>
    </row>
    <row r="29" spans="1:13">
      <c r="A29" s="1" t="s">
        <v>1673</v>
      </c>
      <c r="B29" s="1" t="s">
        <v>1841</v>
      </c>
      <c r="C29" s="181">
        <v>1</v>
      </c>
      <c r="E29" s="181"/>
      <c r="F29" s="181"/>
      <c r="G29" s="182" t="s">
        <v>1829</v>
      </c>
      <c r="H29" s="53">
        <f>18*9</f>
        <v>162</v>
      </c>
      <c r="I29" s="53">
        <f>C29*$H29</f>
        <v>162</v>
      </c>
      <c r="J29" s="53">
        <f t="shared" ref="J29:J36" si="3">D29*$H29</f>
        <v>0</v>
      </c>
      <c r="K29" s="53">
        <f t="shared" ref="K29:K36" si="4">E29*$H29</f>
        <v>0</v>
      </c>
      <c r="L29" s="53">
        <f t="shared" ref="L29:L36" si="5">F29*$H29</f>
        <v>0</v>
      </c>
      <c r="M29" s="53"/>
    </row>
    <row r="30" spans="1:13">
      <c r="A30" s="1" t="s">
        <v>1675</v>
      </c>
      <c r="B30" s="1" t="s">
        <v>1847</v>
      </c>
      <c r="D30" s="181">
        <v>1</v>
      </c>
      <c r="E30" s="181"/>
      <c r="F30" s="181"/>
      <c r="G30" s="182" t="s">
        <v>1831</v>
      </c>
      <c r="H30" s="53">
        <f>14*9</f>
        <v>126</v>
      </c>
      <c r="I30" s="53">
        <f t="shared" ref="I30:I36" si="6">C30*$H30</f>
        <v>0</v>
      </c>
      <c r="J30" s="53">
        <f t="shared" si="3"/>
        <v>126</v>
      </c>
      <c r="K30" s="53">
        <f t="shared" si="4"/>
        <v>0</v>
      </c>
      <c r="L30" s="53">
        <f t="shared" si="5"/>
        <v>0</v>
      </c>
      <c r="M30" s="53"/>
    </row>
    <row r="31" spans="1:13">
      <c r="A31" s="1" t="s">
        <v>1676</v>
      </c>
      <c r="B31" s="1" t="s">
        <v>1842</v>
      </c>
      <c r="E31" s="181">
        <v>1</v>
      </c>
      <c r="F31" s="181"/>
      <c r="G31" s="182" t="s">
        <v>1832</v>
      </c>
      <c r="H31" s="53">
        <f>5*9</f>
        <v>45</v>
      </c>
      <c r="I31" s="53">
        <f t="shared" si="6"/>
        <v>0</v>
      </c>
      <c r="J31" s="53">
        <f t="shared" si="3"/>
        <v>0</v>
      </c>
      <c r="K31" s="53">
        <f t="shared" si="4"/>
        <v>45</v>
      </c>
      <c r="L31" s="53">
        <f t="shared" si="5"/>
        <v>0</v>
      </c>
      <c r="M31" s="53"/>
    </row>
    <row r="32" spans="1:13">
      <c r="A32" s="1" t="s">
        <v>1678</v>
      </c>
      <c r="B32" s="1" t="s">
        <v>1834</v>
      </c>
      <c r="E32" s="181"/>
      <c r="F32" s="181">
        <v>1</v>
      </c>
      <c r="G32" s="182" t="s">
        <v>1833</v>
      </c>
      <c r="H32" s="53">
        <f>14*4</f>
        <v>56</v>
      </c>
      <c r="I32" s="53">
        <f t="shared" si="6"/>
        <v>0</v>
      </c>
      <c r="J32" s="53">
        <f t="shared" si="3"/>
        <v>0</v>
      </c>
      <c r="K32" s="53">
        <f t="shared" si="4"/>
        <v>0</v>
      </c>
      <c r="L32" s="53">
        <f t="shared" si="5"/>
        <v>56</v>
      </c>
      <c r="M32" s="53"/>
    </row>
    <row r="33" spans="1:13">
      <c r="A33" s="1" t="s">
        <v>1680</v>
      </c>
      <c r="B33" s="1" t="s">
        <v>1565</v>
      </c>
      <c r="E33" s="181"/>
      <c r="F33" s="181">
        <v>3</v>
      </c>
      <c r="G33" s="182" t="s">
        <v>1835</v>
      </c>
      <c r="H33" s="53">
        <f>1.5*22</f>
        <v>33</v>
      </c>
      <c r="I33" s="53">
        <f t="shared" si="6"/>
        <v>0</v>
      </c>
      <c r="J33" s="53">
        <f t="shared" si="3"/>
        <v>0</v>
      </c>
      <c r="K33" s="53">
        <f t="shared" si="4"/>
        <v>0</v>
      </c>
      <c r="L33" s="53">
        <f t="shared" si="5"/>
        <v>99</v>
      </c>
      <c r="M33" s="53"/>
    </row>
    <row r="34" spans="1:13">
      <c r="A34" s="1" t="s">
        <v>1682</v>
      </c>
      <c r="B34" s="1" t="s">
        <v>1836</v>
      </c>
      <c r="E34" s="181"/>
      <c r="F34" s="181">
        <v>2</v>
      </c>
      <c r="G34" s="182" t="s">
        <v>1837</v>
      </c>
      <c r="H34" s="53">
        <f>1*21</f>
        <v>21</v>
      </c>
      <c r="I34" s="53">
        <f t="shared" si="6"/>
        <v>0</v>
      </c>
      <c r="J34" s="53">
        <f t="shared" si="3"/>
        <v>0</v>
      </c>
      <c r="K34" s="53">
        <f t="shared" si="4"/>
        <v>0</v>
      </c>
      <c r="L34" s="53">
        <f t="shared" si="5"/>
        <v>42</v>
      </c>
      <c r="M34" s="53"/>
    </row>
    <row r="35" spans="1:13">
      <c r="A35" s="1" t="s">
        <v>1684</v>
      </c>
      <c r="B35" s="1" t="s">
        <v>1838</v>
      </c>
      <c r="E35" s="181"/>
      <c r="F35" s="181">
        <v>1</v>
      </c>
      <c r="G35" s="182" t="s">
        <v>1839</v>
      </c>
      <c r="H35" s="53">
        <f>1*5</f>
        <v>5</v>
      </c>
      <c r="I35" s="53">
        <f t="shared" si="6"/>
        <v>0</v>
      </c>
      <c r="J35" s="53">
        <f t="shared" si="3"/>
        <v>0</v>
      </c>
      <c r="K35" s="53">
        <f t="shared" si="4"/>
        <v>0</v>
      </c>
      <c r="L35" s="53">
        <f t="shared" si="5"/>
        <v>5</v>
      </c>
      <c r="M35" s="53"/>
    </row>
    <row r="36" spans="1:13">
      <c r="A36" s="1" t="s">
        <v>1686</v>
      </c>
      <c r="B36" s="1" t="s">
        <v>1840</v>
      </c>
      <c r="D36" s="181">
        <v>1</v>
      </c>
      <c r="E36" s="181"/>
      <c r="F36" s="181"/>
      <c r="G36" s="182" t="s">
        <v>1829</v>
      </c>
      <c r="H36" s="53">
        <f>18*9</f>
        <v>162</v>
      </c>
      <c r="I36" s="53">
        <f t="shared" si="6"/>
        <v>0</v>
      </c>
      <c r="J36" s="53">
        <f t="shared" si="3"/>
        <v>162</v>
      </c>
      <c r="K36" s="53">
        <f t="shared" si="4"/>
        <v>0</v>
      </c>
      <c r="L36" s="53">
        <f t="shared" si="5"/>
        <v>0</v>
      </c>
      <c r="M36" s="53"/>
    </row>
    <row r="37" spans="1:13">
      <c r="A37" s="1" t="s">
        <v>1687</v>
      </c>
      <c r="B37" s="1" t="s">
        <v>1843</v>
      </c>
      <c r="C37" s="1"/>
      <c r="D37" s="1">
        <v>1</v>
      </c>
      <c r="E37" s="181"/>
      <c r="F37" s="181"/>
      <c r="G37" s="182" t="s">
        <v>1832</v>
      </c>
      <c r="H37" s="53">
        <f>5*9</f>
        <v>45</v>
      </c>
      <c r="I37" s="53">
        <f t="shared" ref="I37:I44" si="7">C37*$H37</f>
        <v>0</v>
      </c>
      <c r="J37" s="53">
        <f t="shared" ref="J37:J38" si="8">D37*$H37</f>
        <v>45</v>
      </c>
      <c r="K37" s="53">
        <f t="shared" ref="K37:K38" si="9">E37*$H37</f>
        <v>0</v>
      </c>
      <c r="L37" s="53">
        <f t="shared" ref="L37:L38" si="10">F37*$H37</f>
        <v>0</v>
      </c>
    </row>
    <row r="38" spans="1:13">
      <c r="A38" s="1" t="s">
        <v>1689</v>
      </c>
      <c r="B38" s="1" t="s">
        <v>1844</v>
      </c>
      <c r="E38" s="181"/>
      <c r="F38" s="181">
        <v>1</v>
      </c>
      <c r="G38" s="182" t="s">
        <v>1833</v>
      </c>
      <c r="H38" s="53">
        <f>14*4</f>
        <v>56</v>
      </c>
      <c r="I38" s="53">
        <f t="shared" si="7"/>
        <v>0</v>
      </c>
      <c r="J38" s="53">
        <f t="shared" si="8"/>
        <v>0</v>
      </c>
      <c r="K38" s="53">
        <f t="shared" si="9"/>
        <v>0</v>
      </c>
      <c r="L38" s="53">
        <f t="shared" si="10"/>
        <v>56</v>
      </c>
    </row>
    <row r="39" spans="1:13">
      <c r="I39" s="53">
        <f>SUM(I29:I38)</f>
        <v>162</v>
      </c>
      <c r="J39" s="53">
        <f>SUM(J29:J38)</f>
        <v>333</v>
      </c>
      <c r="K39" s="53">
        <f>SUM(K29:K38)</f>
        <v>45</v>
      </c>
      <c r="L39" s="53">
        <f>SUM(L29:L38)</f>
        <v>258</v>
      </c>
    </row>
    <row r="40" spans="1:13">
      <c r="C40" s="181" t="s">
        <v>1845</v>
      </c>
      <c r="I40" s="53"/>
      <c r="J40" s="53"/>
      <c r="K40" s="53"/>
      <c r="L40" s="53"/>
    </row>
    <row r="41" spans="1:13">
      <c r="A41" s="1" t="s">
        <v>1691</v>
      </c>
      <c r="B41" s="1" t="s">
        <v>1846</v>
      </c>
      <c r="C41" s="181">
        <v>1</v>
      </c>
      <c r="G41" s="182" t="s">
        <v>1848</v>
      </c>
      <c r="H41" s="53">
        <f>14*4.5</f>
        <v>63</v>
      </c>
      <c r="I41" s="53">
        <f t="shared" si="7"/>
        <v>63</v>
      </c>
      <c r="J41" s="53"/>
      <c r="K41" s="53"/>
      <c r="L41" s="53"/>
    </row>
    <row r="42" spans="1:13">
      <c r="A42" s="1" t="s">
        <v>1693</v>
      </c>
      <c r="B42" s="1" t="s">
        <v>1842</v>
      </c>
      <c r="C42" s="181">
        <v>2</v>
      </c>
      <c r="G42" s="61" t="s">
        <v>1849</v>
      </c>
      <c r="H42" s="1">
        <f>1.5*8</f>
        <v>12</v>
      </c>
      <c r="I42" s="53">
        <f t="shared" si="7"/>
        <v>24</v>
      </c>
      <c r="J42" s="53"/>
      <c r="K42" s="53"/>
      <c r="L42" s="53"/>
    </row>
    <row r="43" spans="1:13">
      <c r="A43" s="1" t="s">
        <v>1694</v>
      </c>
      <c r="B43" s="1" t="s">
        <v>1852</v>
      </c>
      <c r="C43" s="181">
        <v>1</v>
      </c>
      <c r="G43" s="182" t="s">
        <v>1833</v>
      </c>
      <c r="H43" s="53">
        <f>14*4</f>
        <v>56</v>
      </c>
      <c r="I43" s="53">
        <f t="shared" si="7"/>
        <v>56</v>
      </c>
      <c r="J43" s="53">
        <f>SUM(I41:I43)</f>
        <v>143</v>
      </c>
      <c r="K43" s="53"/>
      <c r="L43" s="53"/>
    </row>
    <row r="44" spans="1:13">
      <c r="A44" s="1" t="s">
        <v>1696</v>
      </c>
      <c r="B44" s="1" t="s">
        <v>1850</v>
      </c>
      <c r="C44" s="181">
        <v>1</v>
      </c>
      <c r="G44" s="61" t="s">
        <v>1851</v>
      </c>
      <c r="H44" s="1">
        <f>17*8</f>
        <v>136</v>
      </c>
      <c r="I44" s="53">
        <f t="shared" si="7"/>
        <v>136</v>
      </c>
      <c r="J44" s="53">
        <f>I44</f>
        <v>136</v>
      </c>
      <c r="K44" s="53"/>
      <c r="L44" s="53"/>
    </row>
    <row r="45" spans="1:13">
      <c r="A45" s="1" t="s">
        <v>1698</v>
      </c>
      <c r="I45" s="53"/>
    </row>
    <row r="46" spans="1:13">
      <c r="A46" s="1" t="s">
        <v>1700</v>
      </c>
    </row>
    <row r="47" spans="1:13">
      <c r="A47" s="1" t="s">
        <v>1702</v>
      </c>
    </row>
    <row r="50" spans="1:6">
      <c r="B50" s="7" t="s">
        <v>1887</v>
      </c>
      <c r="C50" s="53" t="s">
        <v>1610</v>
      </c>
      <c r="D50" s="1" t="s">
        <v>1890</v>
      </c>
    </row>
    <row r="51" spans="1:6">
      <c r="A51" s="1" t="s">
        <v>1673</v>
      </c>
      <c r="B51" s="1" t="s">
        <v>1889</v>
      </c>
      <c r="C51" s="181">
        <v>15</v>
      </c>
      <c r="D51" s="181">
        <v>10</v>
      </c>
      <c r="E51" s="182">
        <f>C51*D51</f>
        <v>150</v>
      </c>
    </row>
    <row r="52" spans="1:6">
      <c r="A52" s="1" t="s">
        <v>1675</v>
      </c>
      <c r="B52" s="1" t="s">
        <v>1888</v>
      </c>
      <c r="C52" s="181">
        <v>3</v>
      </c>
      <c r="D52" s="181">
        <v>10</v>
      </c>
      <c r="E52" s="182">
        <f>C52*D52</f>
        <v>30</v>
      </c>
      <c r="F52" s="53">
        <f>SUM(E51:E52)</f>
        <v>180</v>
      </c>
    </row>
    <row r="53" spans="1:6">
      <c r="A53" s="1" t="s">
        <v>1676</v>
      </c>
      <c r="B53" s="1" t="s">
        <v>1891</v>
      </c>
      <c r="C53" s="181">
        <v>12</v>
      </c>
      <c r="D53" s="181">
        <v>10</v>
      </c>
      <c r="E53" s="182">
        <f t="shared" ref="E53:E57" si="11">C53*D53</f>
        <v>120</v>
      </c>
    </row>
    <row r="54" spans="1:6">
      <c r="A54" s="1" t="s">
        <v>1678</v>
      </c>
      <c r="B54" s="1" t="s">
        <v>1895</v>
      </c>
      <c r="C54" s="181">
        <v>10</v>
      </c>
      <c r="D54" s="181">
        <v>1.5</v>
      </c>
      <c r="E54" s="182">
        <f t="shared" si="11"/>
        <v>15</v>
      </c>
    </row>
    <row r="55" spans="1:6">
      <c r="A55" s="1" t="s">
        <v>1680</v>
      </c>
      <c r="B55" s="1" t="s">
        <v>1892</v>
      </c>
      <c r="C55" s="181">
        <v>12</v>
      </c>
      <c r="D55" s="181">
        <v>10</v>
      </c>
      <c r="E55" s="182">
        <f t="shared" si="11"/>
        <v>120</v>
      </c>
    </row>
    <row r="56" spans="1:6">
      <c r="A56" s="1" t="s">
        <v>1682</v>
      </c>
      <c r="B56" s="1" t="s">
        <v>1893</v>
      </c>
      <c r="C56" s="181">
        <v>6</v>
      </c>
      <c r="D56" s="181">
        <v>11</v>
      </c>
      <c r="E56" s="182">
        <f t="shared" si="11"/>
        <v>66</v>
      </c>
    </row>
    <row r="57" spans="1:6">
      <c r="A57" s="1" t="s">
        <v>1684</v>
      </c>
      <c r="B57" s="1" t="s">
        <v>1894</v>
      </c>
      <c r="C57" s="181">
        <v>10</v>
      </c>
      <c r="D57" s="181">
        <v>10</v>
      </c>
      <c r="E57" s="182">
        <f t="shared" si="11"/>
        <v>100</v>
      </c>
      <c r="F57" s="53">
        <f>SUM(E53:E57)</f>
        <v>421</v>
      </c>
    </row>
    <row r="58" spans="1:6">
      <c r="A58" s="1" t="s">
        <v>1686</v>
      </c>
      <c r="B58" s="1" t="s">
        <v>1898</v>
      </c>
      <c r="E58" s="182">
        <f>SUM(E54:E57)/2+E53</f>
        <v>270.5</v>
      </c>
    </row>
    <row r="60" spans="1:6" ht="14.25">
      <c r="B60" s="92"/>
    </row>
    <row r="61" spans="1:6" ht="14.25">
      <c r="B61" s="92"/>
    </row>
    <row r="62" spans="1:6" ht="14.25">
      <c r="B62" s="92"/>
    </row>
    <row r="63" spans="1:6" ht="14.25">
      <c r="B63" s="92"/>
    </row>
    <row r="64" spans="1:6" ht="15" thickBot="1">
      <c r="B64" s="92"/>
    </row>
    <row r="65" spans="3:5" ht="13.5" thickBot="1">
      <c r="C65" s="478" t="s">
        <v>1975</v>
      </c>
      <c r="D65" s="479"/>
      <c r="E65" s="480"/>
    </row>
    <row r="67" spans="3:5">
      <c r="C67" s="226">
        <v>43066</v>
      </c>
      <c r="E67" s="227">
        <v>40</v>
      </c>
    </row>
    <row r="68" spans="3:5">
      <c r="C68" s="226">
        <v>43073</v>
      </c>
      <c r="E68" s="227">
        <v>-23.8</v>
      </c>
    </row>
    <row r="69" spans="3:5">
      <c r="C69" s="226">
        <v>43073</v>
      </c>
      <c r="E69" s="227">
        <v>-13.1</v>
      </c>
    </row>
    <row r="70" spans="3:5">
      <c r="C70" s="226">
        <v>43075</v>
      </c>
      <c r="E70" s="227">
        <v>-8.9</v>
      </c>
    </row>
    <row r="71" spans="3:5">
      <c r="C71" s="226">
        <v>43081</v>
      </c>
      <c r="E71" s="227">
        <v>-9</v>
      </c>
    </row>
    <row r="72" spans="3:5">
      <c r="C72" s="226">
        <v>43093</v>
      </c>
      <c r="E72" s="227">
        <v>-30</v>
      </c>
    </row>
    <row r="73" spans="3:5">
      <c r="C73" s="226">
        <v>43105</v>
      </c>
      <c r="D73" s="181" t="s">
        <v>1861</v>
      </c>
      <c r="E73" s="227">
        <v>-66.3</v>
      </c>
    </row>
    <row r="74" spans="3:5">
      <c r="C74" s="226">
        <v>43111</v>
      </c>
      <c r="E74" s="227">
        <v>43.9</v>
      </c>
    </row>
    <row r="75" spans="3:5">
      <c r="C75" s="226">
        <v>43113</v>
      </c>
      <c r="D75" s="181" t="s">
        <v>1860</v>
      </c>
      <c r="E75" s="227">
        <v>-82.7</v>
      </c>
    </row>
    <row r="76" spans="3:5">
      <c r="C76" s="226">
        <v>43114</v>
      </c>
      <c r="D76" s="181" t="s">
        <v>1859</v>
      </c>
      <c r="E76" s="227">
        <v>48.9</v>
      </c>
    </row>
    <row r="77" spans="3:5">
      <c r="C77" s="226">
        <v>43123</v>
      </c>
      <c r="D77" s="181" t="s">
        <v>1858</v>
      </c>
      <c r="E77" s="227">
        <v>60</v>
      </c>
    </row>
    <row r="78" spans="3:5">
      <c r="C78" s="226">
        <v>43133</v>
      </c>
      <c r="D78" s="181" t="s">
        <v>1772</v>
      </c>
      <c r="E78" s="227">
        <v>93.9</v>
      </c>
    </row>
    <row r="79" spans="3:5">
      <c r="C79" s="226">
        <v>43141</v>
      </c>
      <c r="D79" s="181" t="s">
        <v>1772</v>
      </c>
      <c r="E79" s="182">
        <v>4.8</v>
      </c>
    </row>
    <row r="80" spans="3:5">
      <c r="C80" s="226">
        <v>43145</v>
      </c>
      <c r="D80" s="181">
        <v>90932209</v>
      </c>
      <c r="E80" s="227">
        <v>-29.8</v>
      </c>
    </row>
    <row r="81" spans="3:6">
      <c r="C81" s="226">
        <v>43153</v>
      </c>
      <c r="D81" s="181">
        <v>93828845</v>
      </c>
      <c r="E81" s="227">
        <v>-25.7</v>
      </c>
    </row>
    <row r="82" spans="3:6">
      <c r="C82" s="226">
        <v>43162</v>
      </c>
      <c r="D82" s="181">
        <v>83333708</v>
      </c>
      <c r="E82" s="227">
        <v>83</v>
      </c>
    </row>
    <row r="83" spans="3:6">
      <c r="C83" s="226">
        <v>43163</v>
      </c>
      <c r="D83" s="181">
        <v>94504502</v>
      </c>
      <c r="E83" s="227">
        <v>-19.7</v>
      </c>
    </row>
    <row r="84" spans="3:6">
      <c r="C84" s="226">
        <v>43165</v>
      </c>
      <c r="D84" s="181">
        <v>97943386</v>
      </c>
      <c r="E84" s="227">
        <v>-13.7</v>
      </c>
    </row>
    <row r="85" spans="3:6">
      <c r="C85" s="226">
        <v>43171</v>
      </c>
      <c r="D85" s="181">
        <v>93627546</v>
      </c>
      <c r="E85" s="227">
        <v>-10.9</v>
      </c>
    </row>
    <row r="86" spans="3:6">
      <c r="C86" s="226">
        <v>43185</v>
      </c>
      <c r="D86" s="181">
        <v>97622617</v>
      </c>
      <c r="E86" s="182">
        <v>-18.8</v>
      </c>
      <c r="F86" s="53" t="s">
        <v>2009</v>
      </c>
    </row>
    <row r="87" spans="3:6">
      <c r="C87" s="226">
        <v>43241</v>
      </c>
      <c r="D87" s="181">
        <v>94595510</v>
      </c>
      <c r="E87" s="182">
        <v>50</v>
      </c>
    </row>
    <row r="88" spans="3:6">
      <c r="C88" s="226">
        <v>43253</v>
      </c>
      <c r="D88" s="181">
        <v>93854952</v>
      </c>
      <c r="E88" s="182">
        <v>45</v>
      </c>
    </row>
    <row r="89" spans="3:6">
      <c r="C89" s="226">
        <v>43306</v>
      </c>
      <c r="D89" s="181" t="s">
        <v>2081</v>
      </c>
      <c r="E89" s="227">
        <v>-41.1</v>
      </c>
    </row>
    <row r="90" spans="3:6">
      <c r="C90" s="239"/>
      <c r="E90" s="227"/>
    </row>
    <row r="91" spans="3:6">
      <c r="C91" s="239"/>
    </row>
    <row r="92" spans="3:6">
      <c r="C92" s="239"/>
    </row>
    <row r="93" spans="3:6">
      <c r="E93" s="182">
        <f>SUM(E67:E89)</f>
        <v>76.000000000000028</v>
      </c>
    </row>
  </sheetData>
  <sortState xmlns:xlrd2="http://schemas.microsoft.com/office/spreadsheetml/2017/richdata2" ref="C67:E80">
    <sortCondition ref="C66"/>
  </sortState>
  <mergeCells count="1">
    <mergeCell ref="C65:E65"/>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39"/>
  <sheetViews>
    <sheetView zoomScale="85" zoomScaleNormal="85" workbookViewId="0">
      <selection activeCell="H26" sqref="H26"/>
    </sheetView>
  </sheetViews>
  <sheetFormatPr defaultColWidth="9.140625" defaultRowHeight="12.75"/>
  <cols>
    <col min="1" max="1" width="8.85546875" style="1" customWidth="1"/>
    <col min="2" max="2" width="11.5703125" style="1" bestFit="1" customWidth="1"/>
    <col min="3" max="3" width="41.140625" style="1" bestFit="1" customWidth="1"/>
    <col min="4" max="4" width="11.5703125" style="1" bestFit="1" customWidth="1"/>
    <col min="5" max="5" width="11.28515625" style="1" bestFit="1" customWidth="1"/>
    <col min="6" max="6" width="11.85546875" style="1" bestFit="1" customWidth="1"/>
    <col min="7" max="7" width="17.28515625" style="1" bestFit="1" customWidth="1"/>
    <col min="8" max="8" width="14" style="1" bestFit="1" customWidth="1"/>
    <col min="9" max="9" width="14.28515625" style="1" bestFit="1" customWidth="1"/>
    <col min="10" max="16384" width="9.140625" style="1"/>
  </cols>
  <sheetData>
    <row r="1" spans="1:10" ht="15" customHeight="1">
      <c r="A1" s="481" t="s">
        <v>758</v>
      </c>
      <c r="B1" s="482"/>
      <c r="C1" s="482"/>
      <c r="D1" s="482"/>
      <c r="E1" s="482"/>
      <c r="F1" s="482"/>
      <c r="G1" s="482"/>
      <c r="H1" s="482"/>
      <c r="I1" s="483"/>
      <c r="J1" s="29"/>
    </row>
    <row r="2" spans="1:10" ht="15" customHeight="1">
      <c r="A2" s="481" t="s">
        <v>759</v>
      </c>
      <c r="B2" s="482"/>
      <c r="C2" s="482"/>
      <c r="D2" s="482"/>
      <c r="E2" s="482"/>
      <c r="F2" s="482"/>
      <c r="G2" s="482"/>
      <c r="H2" s="482"/>
      <c r="I2" s="483"/>
      <c r="J2" s="30"/>
    </row>
    <row r="3" spans="1:10" ht="15" customHeight="1">
      <c r="A3" s="481" t="s">
        <v>760</v>
      </c>
      <c r="B3" s="482"/>
      <c r="C3" s="482"/>
      <c r="D3" s="482"/>
      <c r="E3" s="482"/>
      <c r="F3" s="482"/>
      <c r="G3" s="482"/>
      <c r="H3" s="482"/>
      <c r="I3" s="483"/>
      <c r="J3" s="30"/>
    </row>
    <row r="4" spans="1:10">
      <c r="A4" s="31"/>
      <c r="J4" s="30"/>
    </row>
    <row r="5" spans="1:10" ht="15" customHeight="1">
      <c r="A5" s="481" t="s">
        <v>761</v>
      </c>
      <c r="B5" s="482"/>
      <c r="C5" s="482"/>
      <c r="D5" s="482"/>
      <c r="E5" s="482"/>
      <c r="F5" s="482"/>
      <c r="G5" s="482"/>
      <c r="H5" s="482"/>
      <c r="I5" s="483"/>
      <c r="J5" s="30"/>
    </row>
    <row r="6" spans="1:10" ht="14.25" customHeight="1">
      <c r="A6" s="484" t="s">
        <v>762</v>
      </c>
      <c r="B6" s="485"/>
      <c r="C6" s="485"/>
      <c r="D6" s="485"/>
      <c r="E6" s="485"/>
      <c r="F6" s="485"/>
      <c r="G6" s="485"/>
      <c r="H6" s="485"/>
      <c r="I6" s="486"/>
      <c r="J6" s="30"/>
    </row>
    <row r="7" spans="1:10" ht="14.25" customHeight="1">
      <c r="A7" s="484" t="s">
        <v>763</v>
      </c>
      <c r="B7" s="485"/>
      <c r="C7" s="485"/>
      <c r="D7" s="485"/>
      <c r="E7" s="485"/>
      <c r="F7" s="485"/>
      <c r="G7" s="485"/>
      <c r="H7" s="485"/>
      <c r="I7" s="486"/>
      <c r="J7" s="30"/>
    </row>
    <row r="8" spans="1:10" ht="14.25" customHeight="1">
      <c r="A8" s="484" t="s">
        <v>764</v>
      </c>
      <c r="B8" s="485"/>
      <c r="C8" s="485"/>
      <c r="D8" s="485"/>
      <c r="E8" s="485"/>
      <c r="F8" s="485"/>
      <c r="G8" s="485"/>
      <c r="H8" s="485"/>
      <c r="I8" s="486"/>
      <c r="J8" s="30"/>
    </row>
    <row r="9" spans="1:10" ht="14.25" customHeight="1">
      <c r="A9" s="484" t="s">
        <v>765</v>
      </c>
      <c r="B9" s="485"/>
      <c r="C9" s="485"/>
      <c r="D9" s="485"/>
      <c r="E9" s="485"/>
      <c r="F9" s="485"/>
      <c r="G9" s="485"/>
      <c r="H9" s="485"/>
      <c r="I9" s="486"/>
      <c r="J9" s="30"/>
    </row>
    <row r="10" spans="1:10" ht="14.25" customHeight="1">
      <c r="A10" s="484" t="s">
        <v>766</v>
      </c>
      <c r="B10" s="485"/>
      <c r="C10" s="485"/>
      <c r="D10" s="485"/>
      <c r="E10" s="485"/>
      <c r="F10" s="485"/>
      <c r="G10" s="485"/>
      <c r="H10" s="485"/>
      <c r="I10" s="486"/>
      <c r="J10" s="30"/>
    </row>
    <row r="11" spans="1:10" ht="14.25" customHeight="1">
      <c r="A11" s="484" t="s">
        <v>767</v>
      </c>
      <c r="B11" s="485"/>
      <c r="C11" s="485"/>
      <c r="D11" s="485"/>
      <c r="E11" s="485"/>
      <c r="F11" s="485"/>
      <c r="G11" s="485"/>
      <c r="H11" s="485"/>
      <c r="I11" s="486"/>
      <c r="J11" s="30"/>
    </row>
    <row r="12" spans="1:10" ht="14.25" customHeight="1">
      <c r="A12" s="484" t="s">
        <v>768</v>
      </c>
      <c r="B12" s="485"/>
      <c r="C12" s="485"/>
      <c r="D12" s="485"/>
      <c r="E12" s="485"/>
      <c r="F12" s="485"/>
      <c r="G12" s="485"/>
      <c r="H12" s="485"/>
      <c r="I12" s="486"/>
      <c r="J12" s="30"/>
    </row>
    <row r="13" spans="1:10">
      <c r="A13" s="31"/>
      <c r="J13" s="30"/>
    </row>
    <row r="14" spans="1:10">
      <c r="A14" s="31"/>
      <c r="J14" s="30"/>
    </row>
    <row r="15" spans="1:10" ht="15" customHeight="1">
      <c r="A15" s="481" t="s">
        <v>769</v>
      </c>
      <c r="B15" s="482"/>
      <c r="C15" s="482"/>
      <c r="D15" s="482"/>
      <c r="E15" s="482"/>
      <c r="F15" s="482"/>
      <c r="G15" s="482"/>
      <c r="H15" s="482"/>
      <c r="I15" s="483"/>
      <c r="J15" s="30"/>
    </row>
    <row r="16" spans="1:10" ht="15" customHeight="1">
      <c r="A16" s="481" t="s">
        <v>770</v>
      </c>
      <c r="B16" s="482"/>
      <c r="C16" s="482"/>
      <c r="D16" s="482"/>
      <c r="E16" s="482"/>
      <c r="F16" s="482"/>
      <c r="G16" s="482"/>
      <c r="H16" s="482"/>
      <c r="I16" s="483"/>
      <c r="J16" s="32"/>
    </row>
    <row r="17" spans="1:10">
      <c r="A17" s="33"/>
      <c r="B17" s="34"/>
      <c r="C17" s="34"/>
      <c r="D17" s="34"/>
      <c r="E17" s="34"/>
      <c r="F17" s="34"/>
      <c r="G17" s="34"/>
      <c r="H17" s="34"/>
      <c r="I17" s="34"/>
      <c r="J17" s="35"/>
    </row>
    <row r="18" spans="1:10">
      <c r="A18" s="36" t="s">
        <v>771</v>
      </c>
      <c r="B18" s="36" t="s">
        <v>772</v>
      </c>
      <c r="C18" s="36" t="s">
        <v>773</v>
      </c>
      <c r="D18" s="36" t="s">
        <v>0</v>
      </c>
      <c r="E18" s="36" t="s">
        <v>774</v>
      </c>
      <c r="F18" s="36" t="s">
        <v>775</v>
      </c>
      <c r="G18" s="36" t="s">
        <v>776</v>
      </c>
      <c r="H18" s="36" t="s">
        <v>777</v>
      </c>
      <c r="I18" s="36" t="s">
        <v>778</v>
      </c>
    </row>
    <row r="19" spans="1:10">
      <c r="A19" s="31"/>
      <c r="I19" s="30"/>
    </row>
    <row r="20" spans="1:10">
      <c r="A20" s="32">
        <v>1</v>
      </c>
      <c r="B20" s="37">
        <v>41522</v>
      </c>
      <c r="C20" s="32" t="s">
        <v>779</v>
      </c>
      <c r="D20" s="37">
        <v>41522</v>
      </c>
      <c r="E20" s="32" t="s">
        <v>780</v>
      </c>
      <c r="F20" s="32"/>
      <c r="G20" s="38">
        <v>2809</v>
      </c>
      <c r="H20" s="32"/>
      <c r="I20" s="38">
        <v>95122</v>
      </c>
    </row>
    <row r="21" spans="1:10" ht="25.5">
      <c r="A21" s="32">
        <v>2</v>
      </c>
      <c r="B21" s="37">
        <v>41364</v>
      </c>
      <c r="C21" s="32" t="s">
        <v>781</v>
      </c>
      <c r="D21" s="37">
        <v>41364</v>
      </c>
      <c r="E21" s="32" t="s">
        <v>780</v>
      </c>
      <c r="F21" s="32"/>
      <c r="G21" s="32"/>
      <c r="H21" s="38">
        <v>2293</v>
      </c>
      <c r="I21" s="38">
        <v>97931</v>
      </c>
    </row>
    <row r="22" spans="1:10" ht="25.5">
      <c r="A22" s="32">
        <v>3</v>
      </c>
      <c r="B22" s="37">
        <v>41359</v>
      </c>
      <c r="C22" s="32" t="s">
        <v>782</v>
      </c>
      <c r="D22" s="37">
        <v>41359</v>
      </c>
      <c r="E22" s="32" t="s">
        <v>780</v>
      </c>
      <c r="F22" s="32"/>
      <c r="G22" s="32">
        <v>6</v>
      </c>
      <c r="H22" s="32"/>
      <c r="I22" s="38">
        <v>95638</v>
      </c>
    </row>
    <row r="23" spans="1:10">
      <c r="A23" s="32">
        <v>4</v>
      </c>
      <c r="B23" s="37">
        <v>41359</v>
      </c>
      <c r="C23" s="32" t="s">
        <v>783</v>
      </c>
      <c r="D23" s="37">
        <v>41359</v>
      </c>
      <c r="E23" s="32" t="s">
        <v>780</v>
      </c>
      <c r="F23" s="32"/>
      <c r="G23" s="38">
        <v>20000</v>
      </c>
      <c r="H23" s="32"/>
      <c r="I23" s="38">
        <v>95644</v>
      </c>
    </row>
    <row r="24" spans="1:10" ht="25.5">
      <c r="A24" s="32">
        <v>5</v>
      </c>
      <c r="B24" s="37">
        <v>41181</v>
      </c>
      <c r="C24" s="32" t="s">
        <v>784</v>
      </c>
      <c r="D24" s="37">
        <v>41181</v>
      </c>
      <c r="E24" s="32" t="s">
        <v>780</v>
      </c>
      <c r="F24" s="32"/>
      <c r="G24" s="32"/>
      <c r="H24" s="38">
        <v>1654</v>
      </c>
      <c r="I24" s="38">
        <v>115644</v>
      </c>
    </row>
    <row r="25" spans="1:10">
      <c r="A25" s="32">
        <v>6</v>
      </c>
      <c r="B25" s="37">
        <v>41177</v>
      </c>
      <c r="C25" s="32" t="s">
        <v>785</v>
      </c>
      <c r="D25" s="37">
        <v>41177</v>
      </c>
      <c r="E25" s="32" t="s">
        <v>780</v>
      </c>
      <c r="F25" s="32">
        <v>36444</v>
      </c>
      <c r="G25" s="38">
        <v>400000</v>
      </c>
      <c r="H25" s="32"/>
      <c r="I25" s="38">
        <v>113990</v>
      </c>
    </row>
    <row r="26" spans="1:10">
      <c r="A26" s="32">
        <v>7</v>
      </c>
      <c r="B26" s="37">
        <v>41177</v>
      </c>
      <c r="C26" s="32" t="s">
        <v>786</v>
      </c>
      <c r="D26" s="37">
        <v>41177</v>
      </c>
      <c r="E26" s="32" t="s">
        <v>780</v>
      </c>
      <c r="F26" s="32"/>
      <c r="G26" s="32"/>
      <c r="H26" s="38">
        <v>416737</v>
      </c>
      <c r="I26" s="38">
        <v>513990</v>
      </c>
    </row>
    <row r="27" spans="1:10">
      <c r="A27" s="32">
        <v>8</v>
      </c>
      <c r="B27" s="37">
        <v>41157</v>
      </c>
      <c r="C27" s="32" t="s">
        <v>779</v>
      </c>
      <c r="D27" s="37">
        <v>41157</v>
      </c>
      <c r="E27" s="32" t="s">
        <v>780</v>
      </c>
      <c r="F27" s="32"/>
      <c r="G27" s="38">
        <v>2809</v>
      </c>
      <c r="H27" s="32"/>
      <c r="I27" s="38">
        <v>97253</v>
      </c>
    </row>
    <row r="28" spans="1:10">
      <c r="A28" s="32">
        <v>9</v>
      </c>
      <c r="B28" s="37">
        <v>41081</v>
      </c>
      <c r="C28" s="32" t="s">
        <v>779</v>
      </c>
      <c r="D28" s="37">
        <v>41081</v>
      </c>
      <c r="E28" s="32" t="s">
        <v>780</v>
      </c>
      <c r="F28" s="32"/>
      <c r="G28" s="32">
        <v>736</v>
      </c>
      <c r="H28" s="32"/>
      <c r="I28" s="38">
        <v>100062</v>
      </c>
    </row>
    <row r="29" spans="1:10">
      <c r="A29" s="32">
        <v>10</v>
      </c>
      <c r="B29" s="37">
        <v>41051</v>
      </c>
      <c r="C29" s="32" t="s">
        <v>787</v>
      </c>
      <c r="D29" s="37">
        <v>41051</v>
      </c>
      <c r="E29" s="32" t="s">
        <v>788</v>
      </c>
      <c r="F29" s="32">
        <v>10037011</v>
      </c>
      <c r="G29" s="38">
        <v>180000</v>
      </c>
      <c r="H29" s="32"/>
      <c r="I29" s="38">
        <v>100798</v>
      </c>
    </row>
    <row r="30" spans="1:10" ht="25.5">
      <c r="A30" s="32">
        <v>11</v>
      </c>
      <c r="B30" s="37">
        <v>41051</v>
      </c>
      <c r="C30" s="32" t="s">
        <v>789</v>
      </c>
      <c r="D30" s="37">
        <v>41051</v>
      </c>
      <c r="E30" s="32" t="s">
        <v>780</v>
      </c>
      <c r="F30" s="32"/>
      <c r="G30" s="32">
        <v>6</v>
      </c>
      <c r="H30" s="32"/>
      <c r="I30" s="38">
        <v>280798</v>
      </c>
    </row>
    <row r="31" spans="1:10" ht="25.5">
      <c r="A31" s="32">
        <v>12</v>
      </c>
      <c r="B31" s="37">
        <v>41051</v>
      </c>
      <c r="C31" s="32" t="s">
        <v>790</v>
      </c>
      <c r="D31" s="37">
        <v>41051</v>
      </c>
      <c r="E31" s="32" t="s">
        <v>780</v>
      </c>
      <c r="F31" s="32"/>
      <c r="G31" s="38">
        <v>25000</v>
      </c>
      <c r="H31" s="32"/>
      <c r="I31" s="38">
        <v>280804</v>
      </c>
    </row>
    <row r="32" spans="1:10">
      <c r="A32" s="32">
        <v>13</v>
      </c>
      <c r="B32" s="37">
        <v>41050</v>
      </c>
      <c r="C32" s="32" t="s">
        <v>791</v>
      </c>
      <c r="D32" s="37">
        <v>41050</v>
      </c>
      <c r="E32" s="32" t="s">
        <v>780</v>
      </c>
      <c r="F32" s="32"/>
      <c r="G32" s="32"/>
      <c r="H32" s="38">
        <v>100000</v>
      </c>
      <c r="I32" s="38">
        <v>305804</v>
      </c>
    </row>
    <row r="33" spans="1:9">
      <c r="A33" s="32">
        <v>14</v>
      </c>
      <c r="B33" s="37">
        <v>41043</v>
      </c>
      <c r="C33" s="32" t="s">
        <v>792</v>
      </c>
      <c r="D33" s="37">
        <v>41043</v>
      </c>
      <c r="E33" s="32" t="s">
        <v>780</v>
      </c>
      <c r="F33" s="32"/>
      <c r="G33" s="32"/>
      <c r="H33" s="38">
        <v>203768</v>
      </c>
      <c r="I33" s="38">
        <v>205804</v>
      </c>
    </row>
    <row r="34" spans="1:9" ht="25.5">
      <c r="A34" s="32">
        <v>15</v>
      </c>
      <c r="B34" s="37">
        <v>40999</v>
      </c>
      <c r="C34" s="32" t="s">
        <v>793</v>
      </c>
      <c r="D34" s="37">
        <v>40999</v>
      </c>
      <c r="E34" s="32" t="s">
        <v>780</v>
      </c>
      <c r="F34" s="32"/>
      <c r="G34" s="32"/>
      <c r="H34" s="32">
        <v>30</v>
      </c>
      <c r="I34" s="38">
        <v>2036</v>
      </c>
    </row>
    <row r="35" spans="1:9">
      <c r="A35" s="32">
        <v>16</v>
      </c>
      <c r="B35" s="37">
        <v>40946</v>
      </c>
      <c r="C35" s="32" t="s">
        <v>794</v>
      </c>
      <c r="D35" s="37">
        <v>40946</v>
      </c>
      <c r="E35" s="32" t="s">
        <v>780</v>
      </c>
      <c r="F35" s="32"/>
      <c r="G35" s="38">
        <v>200000</v>
      </c>
      <c r="H35" s="32"/>
      <c r="I35" s="38">
        <v>2006</v>
      </c>
    </row>
    <row r="36" spans="1:9">
      <c r="A36" s="32">
        <v>17</v>
      </c>
      <c r="B36" s="37">
        <v>40946</v>
      </c>
      <c r="C36" s="32" t="s">
        <v>795</v>
      </c>
      <c r="D36" s="37">
        <v>40946</v>
      </c>
      <c r="E36" s="32" t="s">
        <v>780</v>
      </c>
      <c r="F36" s="32"/>
      <c r="G36" s="32"/>
      <c r="H36" s="38">
        <v>200000</v>
      </c>
      <c r="I36" s="38">
        <v>202006</v>
      </c>
    </row>
    <row r="37" spans="1:9">
      <c r="A37" s="32">
        <v>18</v>
      </c>
      <c r="B37" s="37">
        <v>40908</v>
      </c>
      <c r="C37" s="32" t="s">
        <v>796</v>
      </c>
      <c r="D37" s="37">
        <v>40908</v>
      </c>
      <c r="E37" s="32" t="s">
        <v>780</v>
      </c>
      <c r="F37" s="32"/>
      <c r="G37" s="32"/>
      <c r="H37" s="38">
        <v>1000</v>
      </c>
      <c r="I37" s="38">
        <v>2006</v>
      </c>
    </row>
    <row r="38" spans="1:9" ht="25.5">
      <c r="A38" s="32">
        <v>19</v>
      </c>
      <c r="B38" s="37">
        <v>40816</v>
      </c>
      <c r="C38" s="32" t="s">
        <v>797</v>
      </c>
      <c r="D38" s="37">
        <v>40816</v>
      </c>
      <c r="E38" s="32" t="s">
        <v>780</v>
      </c>
      <c r="F38" s="32"/>
      <c r="G38" s="32"/>
      <c r="H38" s="32">
        <v>6</v>
      </c>
      <c r="I38" s="38">
        <v>1006</v>
      </c>
    </row>
    <row r="39" spans="1:9">
      <c r="A39" s="32">
        <v>20</v>
      </c>
      <c r="B39" s="37">
        <v>40761</v>
      </c>
      <c r="C39" s="32" t="s">
        <v>798</v>
      </c>
      <c r="D39" s="37">
        <v>40761</v>
      </c>
      <c r="E39" s="32" t="s">
        <v>780</v>
      </c>
      <c r="F39" s="32"/>
      <c r="G39" s="32"/>
      <c r="H39" s="38">
        <v>1000</v>
      </c>
      <c r="I39" s="38">
        <v>1000</v>
      </c>
    </row>
  </sheetData>
  <mergeCells count="13">
    <mergeCell ref="A7:I7"/>
    <mergeCell ref="A1:I1"/>
    <mergeCell ref="A2:I2"/>
    <mergeCell ref="A3:I3"/>
    <mergeCell ref="A5:I5"/>
    <mergeCell ref="A6:I6"/>
    <mergeCell ref="A16:I16"/>
    <mergeCell ref="A8:I8"/>
    <mergeCell ref="A9:I9"/>
    <mergeCell ref="A10:I10"/>
    <mergeCell ref="A11:I11"/>
    <mergeCell ref="A12:I12"/>
    <mergeCell ref="A15:I15"/>
  </mergeCells>
  <pageMargins left="0.7" right="0.7" top="0.75" bottom="0.75" header="0.3" footer="0.3"/>
  <pageSetup paperSize="9"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5"/>
  <sheetViews>
    <sheetView topLeftCell="B1" workbookViewId="0">
      <selection activeCell="G36" sqref="G36"/>
    </sheetView>
  </sheetViews>
  <sheetFormatPr defaultColWidth="9.140625" defaultRowHeight="12.75"/>
  <cols>
    <col min="1" max="1" width="5.28515625" style="1" bestFit="1" customWidth="1"/>
    <col min="2" max="2" width="24.5703125" style="1" bestFit="1" customWidth="1"/>
    <col min="3" max="3" width="15.7109375" style="1" bestFit="1" customWidth="1"/>
    <col min="4" max="4" width="18.7109375" style="1" bestFit="1" customWidth="1"/>
    <col min="5" max="5" width="19.7109375" style="1" bestFit="1" customWidth="1"/>
    <col min="6" max="6" width="41.28515625" style="1" bestFit="1" customWidth="1"/>
    <col min="7" max="8" width="21.140625" style="1" bestFit="1" customWidth="1"/>
    <col min="9" max="9" width="13.7109375" style="1" bestFit="1" customWidth="1"/>
    <col min="10" max="16384" width="9.140625" style="1"/>
  </cols>
  <sheetData>
    <row r="1" spans="1:8">
      <c r="A1" s="7" t="s">
        <v>1025</v>
      </c>
      <c r="B1" s="7" t="s">
        <v>1024</v>
      </c>
      <c r="C1" s="7" t="s">
        <v>1021</v>
      </c>
      <c r="D1" s="7" t="s">
        <v>1022</v>
      </c>
      <c r="E1" s="7" t="s">
        <v>1023</v>
      </c>
      <c r="F1" s="7" t="s">
        <v>1048</v>
      </c>
      <c r="G1" s="7" t="s">
        <v>1061</v>
      </c>
      <c r="H1" s="7" t="s">
        <v>13</v>
      </c>
    </row>
    <row r="2" spans="1:8">
      <c r="A2" s="1">
        <v>1</v>
      </c>
      <c r="B2" s="1" t="s">
        <v>1027</v>
      </c>
      <c r="C2" s="54" t="s">
        <v>1057</v>
      </c>
      <c r="D2" s="1" t="s">
        <v>1029</v>
      </c>
      <c r="E2" s="1" t="s">
        <v>1034</v>
      </c>
      <c r="F2" s="1" t="s">
        <v>1049</v>
      </c>
      <c r="G2" s="1" t="s">
        <v>1062</v>
      </c>
      <c r="H2" s="1" t="s">
        <v>1066</v>
      </c>
    </row>
    <row r="3" spans="1:8">
      <c r="A3" s="1">
        <v>2</v>
      </c>
      <c r="B3" s="1" t="s">
        <v>1028</v>
      </c>
      <c r="C3" s="1" t="s">
        <v>1026</v>
      </c>
      <c r="D3" s="1" t="s">
        <v>1030</v>
      </c>
      <c r="E3" s="1" t="s">
        <v>1035</v>
      </c>
      <c r="F3" s="1" t="s">
        <v>1050</v>
      </c>
      <c r="G3" s="1" t="s">
        <v>1063</v>
      </c>
      <c r="H3" s="1" t="s">
        <v>1067</v>
      </c>
    </row>
    <row r="4" spans="1:8">
      <c r="A4" s="1">
        <v>3</v>
      </c>
      <c r="B4" s="1" t="s">
        <v>1031</v>
      </c>
      <c r="C4" s="54" t="s">
        <v>1058</v>
      </c>
      <c r="D4" s="1" t="s">
        <v>1038</v>
      </c>
      <c r="E4" s="1" t="s">
        <v>1036</v>
      </c>
      <c r="F4" s="1" t="s">
        <v>1051</v>
      </c>
      <c r="G4" s="1" t="s">
        <v>1064</v>
      </c>
      <c r="H4" s="1" t="s">
        <v>1068</v>
      </c>
    </row>
    <row r="5" spans="1:8">
      <c r="A5" s="1">
        <v>4</v>
      </c>
      <c r="B5" s="1" t="s">
        <v>1107</v>
      </c>
      <c r="C5" s="1" t="s">
        <v>1108</v>
      </c>
      <c r="D5" s="1" t="s">
        <v>1039</v>
      </c>
      <c r="E5" s="1" t="s">
        <v>1037</v>
      </c>
      <c r="F5" s="54" t="s">
        <v>1059</v>
      </c>
      <c r="G5" s="1" t="s">
        <v>1065</v>
      </c>
      <c r="H5" s="1" t="s">
        <v>1072</v>
      </c>
    </row>
    <row r="6" spans="1:8">
      <c r="A6" s="1">
        <v>5</v>
      </c>
      <c r="B6" s="1" t="s">
        <v>1032</v>
      </c>
      <c r="D6" s="1" t="s">
        <v>1040</v>
      </c>
      <c r="E6" s="1" t="s">
        <v>1046</v>
      </c>
      <c r="F6" s="1" t="s">
        <v>1103</v>
      </c>
      <c r="G6" s="1" t="s">
        <v>1066</v>
      </c>
      <c r="H6" s="1" t="s">
        <v>1082</v>
      </c>
    </row>
    <row r="7" spans="1:8">
      <c r="A7" s="1">
        <v>6</v>
      </c>
      <c r="B7" s="1" t="s">
        <v>1033</v>
      </c>
      <c r="D7" s="1" t="s">
        <v>1041</v>
      </c>
      <c r="E7" s="1" t="s">
        <v>1104</v>
      </c>
      <c r="F7" s="1" t="s">
        <v>1053</v>
      </c>
      <c r="G7" s="1" t="s">
        <v>1067</v>
      </c>
      <c r="H7" s="1" t="s">
        <v>1074</v>
      </c>
    </row>
    <row r="8" spans="1:8">
      <c r="A8" s="1">
        <v>7</v>
      </c>
      <c r="B8" s="1" t="s">
        <v>1043</v>
      </c>
      <c r="D8" s="1" t="s">
        <v>1042</v>
      </c>
      <c r="E8" s="1" t="s">
        <v>1105</v>
      </c>
      <c r="F8" s="1" t="s">
        <v>1060</v>
      </c>
      <c r="G8" s="1" t="s">
        <v>1068</v>
      </c>
      <c r="H8" s="1" t="s">
        <v>1075</v>
      </c>
    </row>
    <row r="9" spans="1:8">
      <c r="A9" s="1">
        <v>8</v>
      </c>
      <c r="B9" s="1" t="s">
        <v>1044</v>
      </c>
      <c r="D9" s="1" t="s">
        <v>1047</v>
      </c>
      <c r="F9" s="1" t="s">
        <v>1102</v>
      </c>
      <c r="G9" s="1" t="s">
        <v>1069</v>
      </c>
      <c r="H9" s="1" t="s">
        <v>1076</v>
      </c>
    </row>
    <row r="10" spans="1:8">
      <c r="A10" s="1">
        <v>9</v>
      </c>
      <c r="B10" s="1" t="s">
        <v>1045</v>
      </c>
      <c r="D10" s="1" t="s">
        <v>1052</v>
      </c>
      <c r="F10" s="1" t="s">
        <v>1109</v>
      </c>
      <c r="G10" s="1" t="s">
        <v>1070</v>
      </c>
      <c r="H10" s="1" t="s">
        <v>1077</v>
      </c>
    </row>
    <row r="11" spans="1:8">
      <c r="A11" s="1">
        <v>10</v>
      </c>
      <c r="B11" s="1" t="s">
        <v>1054</v>
      </c>
      <c r="G11" s="1" t="s">
        <v>1071</v>
      </c>
      <c r="H11" s="1" t="s">
        <v>1085</v>
      </c>
    </row>
    <row r="12" spans="1:8">
      <c r="A12" s="1">
        <v>11</v>
      </c>
      <c r="B12" s="1" t="s">
        <v>1055</v>
      </c>
      <c r="G12" s="1" t="s">
        <v>1072</v>
      </c>
      <c r="H12" s="1" t="s">
        <v>1086</v>
      </c>
    </row>
    <row r="13" spans="1:8">
      <c r="A13" s="1">
        <v>12</v>
      </c>
      <c r="B13" s="1" t="s">
        <v>1056</v>
      </c>
      <c r="G13" s="1" t="s">
        <v>1073</v>
      </c>
      <c r="H13" s="1" t="s">
        <v>1081</v>
      </c>
    </row>
    <row r="14" spans="1:8">
      <c r="A14" s="1">
        <v>13</v>
      </c>
      <c r="B14" s="1" t="s">
        <v>1029</v>
      </c>
      <c r="G14" s="1" t="s">
        <v>1074</v>
      </c>
      <c r="H14" s="1" t="s">
        <v>1083</v>
      </c>
    </row>
    <row r="15" spans="1:8">
      <c r="A15" s="1">
        <v>14</v>
      </c>
      <c r="B15" s="1" t="s">
        <v>1092</v>
      </c>
      <c r="G15" s="1" t="s">
        <v>1075</v>
      </c>
      <c r="H15" s="1" t="s">
        <v>1084</v>
      </c>
    </row>
    <row r="16" spans="1:8">
      <c r="B16" s="1" t="s">
        <v>1106</v>
      </c>
      <c r="G16" s="1" t="s">
        <v>1076</v>
      </c>
      <c r="H16" s="1" t="s">
        <v>1089</v>
      </c>
    </row>
    <row r="17" spans="2:9">
      <c r="G17" s="1" t="s">
        <v>1077</v>
      </c>
      <c r="H17" s="1" t="s">
        <v>1090</v>
      </c>
    </row>
    <row r="18" spans="2:9">
      <c r="G18" s="1" t="s">
        <v>1078</v>
      </c>
      <c r="H18" s="1" t="s">
        <v>4</v>
      </c>
    </row>
    <row r="19" spans="2:9">
      <c r="G19" s="1" t="s">
        <v>1079</v>
      </c>
      <c r="H19" s="1" t="s">
        <v>1094</v>
      </c>
    </row>
    <row r="20" spans="2:9">
      <c r="G20" s="1" t="s">
        <v>1086</v>
      </c>
      <c r="H20" s="1" t="s">
        <v>1096</v>
      </c>
    </row>
    <row r="21" spans="2:9">
      <c r="G21" s="1" t="s">
        <v>1080</v>
      </c>
      <c r="H21" s="1" t="s">
        <v>1097</v>
      </c>
      <c r="I21" s="55"/>
    </row>
    <row r="22" spans="2:9">
      <c r="B22" s="17"/>
      <c r="G22" s="1" t="s">
        <v>1081</v>
      </c>
      <c r="H22" s="1" t="s">
        <v>1098</v>
      </c>
    </row>
    <row r="23" spans="2:9">
      <c r="B23" s="3"/>
      <c r="G23" s="1" t="s">
        <v>1088</v>
      </c>
      <c r="H23" s="1" t="s">
        <v>1099</v>
      </c>
    </row>
    <row r="24" spans="2:9">
      <c r="G24" s="1" t="s">
        <v>1087</v>
      </c>
      <c r="H24" s="1" t="s">
        <v>1100</v>
      </c>
    </row>
    <row r="25" spans="2:9">
      <c r="G25" s="1" t="s">
        <v>4</v>
      </c>
    </row>
    <row r="26" spans="2:9">
      <c r="E26" s="3"/>
      <c r="G26" s="1" t="s">
        <v>1091</v>
      </c>
    </row>
    <row r="27" spans="2:9">
      <c r="G27" s="1" t="s">
        <v>1093</v>
      </c>
    </row>
    <row r="28" spans="2:9">
      <c r="G28" s="1" t="s">
        <v>1095</v>
      </c>
    </row>
    <row r="29" spans="2:9">
      <c r="G29" s="1" t="s">
        <v>1096</v>
      </c>
    </row>
    <row r="30" spans="2:9">
      <c r="B30" s="3"/>
      <c r="D30" s="3"/>
      <c r="G30" s="1" t="s">
        <v>1097</v>
      </c>
    </row>
    <row r="31" spans="2:9">
      <c r="G31" s="1" t="s">
        <v>1098</v>
      </c>
    </row>
    <row r="32" spans="2:9">
      <c r="D32" s="3"/>
      <c r="G32" s="1" t="s">
        <v>1099</v>
      </c>
    </row>
    <row r="33" spans="7:7">
      <c r="G33" s="1" t="s">
        <v>1101</v>
      </c>
    </row>
    <row r="34" spans="7:7">
      <c r="G34" s="1" t="s">
        <v>1110</v>
      </c>
    </row>
    <row r="35" spans="7:7">
      <c r="G35" s="1" t="s">
        <v>1111</v>
      </c>
    </row>
  </sheetData>
  <pageMargins left="0.7" right="0.7" top="0.75" bottom="0.75" header="0.3" footer="0.3"/>
  <pageSetup paperSize="9"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57"/>
  <sheetViews>
    <sheetView zoomScale="85" zoomScaleNormal="85" workbookViewId="0">
      <pane ySplit="13" topLeftCell="A47" activePane="bottomLeft" state="frozen"/>
      <selection pane="bottomLeft" activeCell="D45" sqref="D45"/>
    </sheetView>
  </sheetViews>
  <sheetFormatPr defaultColWidth="9.140625" defaultRowHeight="12.75"/>
  <cols>
    <col min="1" max="1" width="11" style="1" bestFit="1" customWidth="1"/>
    <col min="2" max="2" width="13.140625" style="1" customWidth="1"/>
    <col min="3" max="3" width="30.7109375" style="1" bestFit="1" customWidth="1"/>
    <col min="4" max="4" width="9.140625" style="1"/>
    <col min="5" max="5" width="11.5703125" style="1" bestFit="1" customWidth="1"/>
    <col min="6" max="6" width="7" style="1" bestFit="1" customWidth="1"/>
    <col min="7" max="7" width="10.28515625" style="1" bestFit="1" customWidth="1"/>
    <col min="8" max="8" width="9.85546875" style="1" bestFit="1" customWidth="1"/>
    <col min="9" max="9" width="7.7109375" style="1" bestFit="1" customWidth="1"/>
    <col min="10" max="10" width="6.85546875" style="1" bestFit="1" customWidth="1"/>
    <col min="11" max="12" width="9.140625" style="1"/>
    <col min="13" max="13" width="30.7109375" style="1" bestFit="1" customWidth="1"/>
    <col min="14" max="16384" width="9.140625" style="1"/>
  </cols>
  <sheetData>
    <row r="1" spans="1:17">
      <c r="E1" s="1" t="s">
        <v>1297</v>
      </c>
      <c r="F1" s="53">
        <v>500</v>
      </c>
      <c r="H1" s="76" t="s">
        <v>1271</v>
      </c>
      <c r="I1" s="77">
        <f>I26</f>
        <v>1810</v>
      </c>
    </row>
    <row r="2" spans="1:17">
      <c r="E2" s="1" t="s">
        <v>1285</v>
      </c>
      <c r="F2" s="53">
        <v>22</v>
      </c>
      <c r="H2" s="74" t="s">
        <v>1272</v>
      </c>
      <c r="I2" s="75">
        <f>D57</f>
        <v>1157.6200000000003</v>
      </c>
      <c r="M2" s="1" t="s">
        <v>1277</v>
      </c>
      <c r="N2" s="53">
        <v>12</v>
      </c>
      <c r="P2" s="1" t="s">
        <v>1284</v>
      </c>
    </row>
    <row r="3" spans="1:17">
      <c r="F3" s="53">
        <v>1.6</v>
      </c>
      <c r="H3" s="1" t="s">
        <v>1305</v>
      </c>
      <c r="I3" s="53">
        <f>I1-I2</f>
        <v>652.37999999999965</v>
      </c>
      <c r="M3" s="1" t="s">
        <v>1278</v>
      </c>
      <c r="N3" s="53">
        <v>38</v>
      </c>
      <c r="P3" s="1" t="s">
        <v>1284</v>
      </c>
    </row>
    <row r="4" spans="1:17">
      <c r="F4" s="72">
        <f>SUM(F1:F3)</f>
        <v>523.6</v>
      </c>
      <c r="M4" s="1" t="s">
        <v>1279</v>
      </c>
      <c r="N4" s="53">
        <v>50</v>
      </c>
      <c r="O4" s="1" t="s">
        <v>1280</v>
      </c>
    </row>
    <row r="5" spans="1:17">
      <c r="H5" s="1" t="s">
        <v>1285</v>
      </c>
      <c r="I5" s="53">
        <f>F4</f>
        <v>523.6</v>
      </c>
      <c r="N5" s="53">
        <v>20.5</v>
      </c>
      <c r="O5" s="1" t="s">
        <v>1281</v>
      </c>
      <c r="P5" s="47">
        <v>41752</v>
      </c>
    </row>
    <row r="6" spans="1:17">
      <c r="H6" s="1" t="s">
        <v>1306</v>
      </c>
      <c r="I6" s="75">
        <f>I3-I5</f>
        <v>128.77999999999963</v>
      </c>
      <c r="J6" s="1">
        <v>36.1</v>
      </c>
      <c r="N6" s="53">
        <v>50</v>
      </c>
      <c r="O6" s="1" t="s">
        <v>1287</v>
      </c>
      <c r="P6" s="47">
        <v>41804</v>
      </c>
    </row>
    <row r="7" spans="1:17">
      <c r="E7" s="53"/>
      <c r="N7" s="53">
        <v>50</v>
      </c>
      <c r="O7" s="1" t="s">
        <v>1282</v>
      </c>
      <c r="P7" s="1" t="s">
        <v>1283</v>
      </c>
    </row>
    <row r="8" spans="1:17">
      <c r="J8" s="53">
        <f>I6-J6</f>
        <v>92.679999999999637</v>
      </c>
      <c r="N8" s="53">
        <v>50</v>
      </c>
      <c r="O8" s="1" t="s">
        <v>1282</v>
      </c>
      <c r="P8" s="47">
        <v>41882</v>
      </c>
    </row>
    <row r="9" spans="1:17">
      <c r="N9" s="53">
        <f>SUM(N2:N8)</f>
        <v>270.5</v>
      </c>
    </row>
    <row r="12" spans="1:17">
      <c r="E12" s="75"/>
      <c r="F12" s="53"/>
    </row>
    <row r="14" spans="1:17">
      <c r="A14" s="7" t="s">
        <v>1272</v>
      </c>
    </row>
    <row r="15" spans="1:17">
      <c r="A15" s="1" t="s">
        <v>1286</v>
      </c>
      <c r="C15" s="1" t="s">
        <v>1277</v>
      </c>
      <c r="D15" s="53">
        <v>50</v>
      </c>
      <c r="G15" s="1" t="s">
        <v>1271</v>
      </c>
    </row>
    <row r="16" spans="1:17">
      <c r="C16" s="1" t="s">
        <v>1302</v>
      </c>
      <c r="D16" s="53">
        <v>50</v>
      </c>
      <c r="G16" s="1" t="s">
        <v>1288</v>
      </c>
      <c r="H16" s="1">
        <v>50</v>
      </c>
      <c r="P16" s="1" t="s">
        <v>1296</v>
      </c>
      <c r="Q16" s="73">
        <f>D23+D24+D26+D29</f>
        <v>117.9</v>
      </c>
    </row>
    <row r="17" spans="1:13">
      <c r="C17" s="1" t="s">
        <v>1273</v>
      </c>
      <c r="D17" s="53">
        <v>10</v>
      </c>
      <c r="G17" s="1" t="s">
        <v>50</v>
      </c>
      <c r="H17" s="1">
        <v>500</v>
      </c>
    </row>
    <row r="18" spans="1:13">
      <c r="C18" s="1" t="s">
        <v>1274</v>
      </c>
      <c r="D18" s="53">
        <v>10</v>
      </c>
      <c r="G18" s="1" t="s">
        <v>924</v>
      </c>
      <c r="H18" s="1">
        <v>100</v>
      </c>
      <c r="K18" s="47">
        <v>41868</v>
      </c>
      <c r="L18" s="1">
        <v>10</v>
      </c>
      <c r="M18" s="1" t="s">
        <v>1328</v>
      </c>
    </row>
    <row r="19" spans="1:13">
      <c r="A19" s="1" t="s">
        <v>1286</v>
      </c>
      <c r="C19" s="1" t="s">
        <v>1273</v>
      </c>
      <c r="D19" s="53">
        <v>30</v>
      </c>
      <c r="G19" s="1" t="s">
        <v>1301</v>
      </c>
      <c r="H19" s="1">
        <v>500</v>
      </c>
      <c r="I19" s="76">
        <f>SUM(H16:H19)</f>
        <v>1150</v>
      </c>
      <c r="K19" s="47">
        <v>41882</v>
      </c>
      <c r="L19" s="1">
        <v>100</v>
      </c>
      <c r="M19" s="1" t="s">
        <v>1325</v>
      </c>
    </row>
    <row r="20" spans="1:13">
      <c r="A20" s="1" t="s">
        <v>1286</v>
      </c>
      <c r="C20" s="1" t="s">
        <v>1275</v>
      </c>
      <c r="D20" s="53">
        <v>66</v>
      </c>
      <c r="K20" s="47">
        <v>41882</v>
      </c>
      <c r="L20" s="1">
        <v>50</v>
      </c>
      <c r="M20" s="1" t="s">
        <v>1326</v>
      </c>
    </row>
    <row r="21" spans="1:13">
      <c r="A21" s="1" t="s">
        <v>1286</v>
      </c>
      <c r="B21" s="47">
        <v>41752</v>
      </c>
      <c r="C21" s="1" t="s">
        <v>1302</v>
      </c>
      <c r="D21" s="53">
        <v>20.5</v>
      </c>
      <c r="G21" s="1" t="s">
        <v>1276</v>
      </c>
      <c r="H21" s="1">
        <v>50</v>
      </c>
      <c r="K21" s="47">
        <v>41882</v>
      </c>
      <c r="L21" s="1">
        <v>50</v>
      </c>
      <c r="M21" s="1" t="s">
        <v>1327</v>
      </c>
    </row>
    <row r="22" spans="1:13">
      <c r="A22" s="1" t="s">
        <v>1303</v>
      </c>
      <c r="B22" s="47">
        <v>41804</v>
      </c>
      <c r="C22" s="1" t="s">
        <v>1302</v>
      </c>
      <c r="D22" s="53">
        <v>50</v>
      </c>
      <c r="G22" s="1" t="s">
        <v>25</v>
      </c>
      <c r="H22" s="1">
        <v>100</v>
      </c>
    </row>
    <row r="23" spans="1:13">
      <c r="A23" s="1" t="s">
        <v>27</v>
      </c>
      <c r="B23" s="47">
        <v>41856</v>
      </c>
      <c r="C23" s="27" t="s">
        <v>1289</v>
      </c>
      <c r="D23" s="72">
        <v>46</v>
      </c>
      <c r="G23" s="1" t="s">
        <v>26</v>
      </c>
      <c r="H23" s="1">
        <v>100</v>
      </c>
    </row>
    <row r="24" spans="1:13">
      <c r="A24" s="1" t="s">
        <v>27</v>
      </c>
      <c r="B24" s="47">
        <v>41856</v>
      </c>
      <c r="C24" s="27" t="s">
        <v>1290</v>
      </c>
      <c r="D24" s="72">
        <v>46</v>
      </c>
      <c r="E24" s="1" t="s">
        <v>1298</v>
      </c>
      <c r="G24" s="1" t="s">
        <v>26</v>
      </c>
      <c r="H24" s="1">
        <v>50</v>
      </c>
    </row>
    <row r="25" spans="1:13">
      <c r="A25" s="1" t="s">
        <v>27</v>
      </c>
      <c r="B25" s="47">
        <v>41857</v>
      </c>
      <c r="C25" s="1" t="s">
        <v>1291</v>
      </c>
      <c r="D25" s="53">
        <v>36.6</v>
      </c>
      <c r="E25" s="1" t="s">
        <v>1298</v>
      </c>
      <c r="G25" s="1" t="s">
        <v>27</v>
      </c>
      <c r="H25" s="1">
        <v>360</v>
      </c>
      <c r="I25" s="76">
        <f>SUM(H21:H25)</f>
        <v>660</v>
      </c>
    </row>
    <row r="26" spans="1:13">
      <c r="A26" s="1" t="s">
        <v>27</v>
      </c>
      <c r="B26" s="47">
        <v>41855</v>
      </c>
      <c r="C26" s="27" t="s">
        <v>1292</v>
      </c>
      <c r="D26" s="72">
        <v>10</v>
      </c>
      <c r="E26" s="1" t="s">
        <v>1298</v>
      </c>
      <c r="I26" s="76">
        <f>SUM(I25,I19)</f>
        <v>1810</v>
      </c>
    </row>
    <row r="27" spans="1:13">
      <c r="A27" s="1" t="s">
        <v>27</v>
      </c>
      <c r="B27" s="47">
        <v>41857</v>
      </c>
      <c r="C27" s="1" t="s">
        <v>1295</v>
      </c>
      <c r="D27" s="53">
        <v>24.95</v>
      </c>
      <c r="E27" s="1" t="s">
        <v>1298</v>
      </c>
    </row>
    <row r="28" spans="1:13">
      <c r="A28" s="1" t="s">
        <v>27</v>
      </c>
      <c r="B28" s="47">
        <v>41857</v>
      </c>
      <c r="C28" s="1" t="s">
        <v>1294</v>
      </c>
      <c r="D28" s="53">
        <v>15.95</v>
      </c>
      <c r="E28" s="1" t="s">
        <v>1298</v>
      </c>
    </row>
    <row r="29" spans="1:13">
      <c r="A29" s="1" t="s">
        <v>27</v>
      </c>
      <c r="B29" s="47">
        <v>41857</v>
      </c>
      <c r="C29" s="27" t="s">
        <v>1293</v>
      </c>
      <c r="D29" s="72">
        <v>15.9</v>
      </c>
      <c r="E29" s="1" t="s">
        <v>1298</v>
      </c>
    </row>
    <row r="30" spans="1:13">
      <c r="A30" s="1" t="s">
        <v>27</v>
      </c>
      <c r="B30" s="47">
        <v>41857</v>
      </c>
      <c r="C30" s="1" t="s">
        <v>1299</v>
      </c>
      <c r="D30" s="53">
        <v>300</v>
      </c>
      <c r="E30" s="1" t="s">
        <v>1298</v>
      </c>
    </row>
    <row r="31" spans="1:13">
      <c r="A31" s="1" t="s">
        <v>27</v>
      </c>
      <c r="B31" s="47">
        <v>41858</v>
      </c>
      <c r="C31" s="1" t="s">
        <v>1304</v>
      </c>
      <c r="D31" s="53">
        <v>15</v>
      </c>
      <c r="E31" s="1" t="s">
        <v>1298</v>
      </c>
    </row>
    <row r="32" spans="1:13">
      <c r="A32" s="1" t="s">
        <v>27</v>
      </c>
      <c r="B32" s="47">
        <v>41859</v>
      </c>
      <c r="C32" s="1" t="s">
        <v>1300</v>
      </c>
      <c r="D32" s="53">
        <v>50.9</v>
      </c>
    </row>
    <row r="33" spans="1:12">
      <c r="A33" s="1" t="s">
        <v>27</v>
      </c>
      <c r="B33" s="47">
        <v>41859</v>
      </c>
      <c r="C33" s="1" t="s">
        <v>1307</v>
      </c>
      <c r="D33" s="53">
        <v>2</v>
      </c>
    </row>
    <row r="34" spans="1:12">
      <c r="A34" s="1" t="s">
        <v>27</v>
      </c>
      <c r="B34" s="47">
        <v>41859</v>
      </c>
      <c r="C34" s="1" t="s">
        <v>1308</v>
      </c>
      <c r="D34" s="53">
        <v>20</v>
      </c>
    </row>
    <row r="35" spans="1:12">
      <c r="A35" s="1" t="s">
        <v>27</v>
      </c>
      <c r="B35" s="47">
        <v>41868</v>
      </c>
      <c r="C35" s="1" t="s">
        <v>1309</v>
      </c>
      <c r="D35" s="53">
        <v>6.2</v>
      </c>
      <c r="K35" s="1" t="s">
        <v>1320</v>
      </c>
      <c r="L35" s="1">
        <v>4.5</v>
      </c>
    </row>
    <row r="36" spans="1:12">
      <c r="A36" s="1" t="s">
        <v>27</v>
      </c>
      <c r="B36" s="47">
        <v>41868</v>
      </c>
      <c r="C36" s="1" t="s">
        <v>1319</v>
      </c>
      <c r="D36" s="53">
        <v>12</v>
      </c>
      <c r="K36" s="1" t="s">
        <v>1321</v>
      </c>
      <c r="L36" s="1">
        <v>4.5</v>
      </c>
    </row>
    <row r="37" spans="1:12">
      <c r="A37" s="1" t="s">
        <v>27</v>
      </c>
      <c r="B37" s="47">
        <v>41873</v>
      </c>
      <c r="C37" s="1" t="s">
        <v>1311</v>
      </c>
      <c r="D37" s="53">
        <v>80</v>
      </c>
      <c r="K37" s="1" t="s">
        <v>1322</v>
      </c>
      <c r="L37" s="1">
        <v>8.9</v>
      </c>
    </row>
    <row r="38" spans="1:12">
      <c r="A38" s="1" t="s">
        <v>27</v>
      </c>
      <c r="B38" s="47">
        <v>41873</v>
      </c>
      <c r="C38" s="1" t="s">
        <v>1312</v>
      </c>
      <c r="D38" s="53">
        <v>21.07</v>
      </c>
      <c r="L38" s="1">
        <f>SUM(L35:L37)</f>
        <v>17.899999999999999</v>
      </c>
    </row>
    <row r="39" spans="1:12">
      <c r="A39" s="1" t="s">
        <v>27</v>
      </c>
      <c r="B39" s="47">
        <v>41874</v>
      </c>
      <c r="C39" s="1" t="s">
        <v>1313</v>
      </c>
      <c r="D39" s="53">
        <v>23.3</v>
      </c>
      <c r="L39" s="1">
        <f>L38*1.07</f>
        <v>19.152999999999999</v>
      </c>
    </row>
    <row r="40" spans="1:12">
      <c r="A40" s="1" t="s">
        <v>27</v>
      </c>
      <c r="B40" s="47">
        <v>41874</v>
      </c>
      <c r="C40" s="1" t="s">
        <v>1315</v>
      </c>
      <c r="D40" s="53">
        <v>5.3</v>
      </c>
    </row>
    <row r="41" spans="1:12">
      <c r="A41" s="1" t="s">
        <v>27</v>
      </c>
      <c r="B41" s="47">
        <v>41874</v>
      </c>
      <c r="C41" s="1" t="s">
        <v>1314</v>
      </c>
      <c r="D41" s="53">
        <v>3.2</v>
      </c>
    </row>
    <row r="42" spans="1:12">
      <c r="A42" s="1" t="s">
        <v>27</v>
      </c>
      <c r="B42" s="47">
        <v>41874</v>
      </c>
      <c r="C42" s="1" t="s">
        <v>1316</v>
      </c>
      <c r="D42" s="53">
        <v>2.2000000000000002</v>
      </c>
    </row>
    <row r="43" spans="1:12">
      <c r="A43" s="1" t="s">
        <v>27</v>
      </c>
      <c r="B43" s="47">
        <v>41875</v>
      </c>
      <c r="C43" s="1" t="s">
        <v>1317</v>
      </c>
      <c r="D43" s="53">
        <v>16.25</v>
      </c>
    </row>
    <row r="44" spans="1:12">
      <c r="A44" s="1" t="s">
        <v>27</v>
      </c>
      <c r="B44" s="47">
        <v>41875</v>
      </c>
      <c r="C44" s="1" t="s">
        <v>1318</v>
      </c>
      <c r="D44" s="53">
        <v>1.45</v>
      </c>
    </row>
    <row r="45" spans="1:12">
      <c r="A45" s="1" t="s">
        <v>27</v>
      </c>
      <c r="B45" s="47">
        <v>41882</v>
      </c>
      <c r="C45" s="1" t="s">
        <v>1323</v>
      </c>
      <c r="D45" s="53">
        <v>40</v>
      </c>
    </row>
    <row r="46" spans="1:12">
      <c r="A46" s="1" t="s">
        <v>27</v>
      </c>
      <c r="B46" s="47">
        <v>41882</v>
      </c>
      <c r="C46" s="1" t="s">
        <v>1324</v>
      </c>
      <c r="D46" s="53">
        <v>10</v>
      </c>
    </row>
    <row r="47" spans="1:12">
      <c r="A47" s="1" t="s">
        <v>1329</v>
      </c>
      <c r="B47" s="47">
        <v>41887</v>
      </c>
      <c r="C47" s="1" t="s">
        <v>1330</v>
      </c>
      <c r="D47" s="53">
        <v>40</v>
      </c>
    </row>
    <row r="48" spans="1:12">
      <c r="A48" s="1" t="s">
        <v>1329</v>
      </c>
      <c r="B48" s="47">
        <v>41888</v>
      </c>
      <c r="C48" s="1" t="s">
        <v>1331</v>
      </c>
      <c r="D48" s="53">
        <v>8</v>
      </c>
      <c r="E48" s="1" t="s">
        <v>1332</v>
      </c>
    </row>
    <row r="49" spans="1:4">
      <c r="A49" s="1" t="s">
        <v>1329</v>
      </c>
      <c r="B49" s="47">
        <v>41892</v>
      </c>
      <c r="C49" s="1" t="s">
        <v>1336</v>
      </c>
      <c r="D49" s="53">
        <v>4.6500000000000004</v>
      </c>
    </row>
    <row r="50" spans="1:4">
      <c r="A50" s="1" t="s">
        <v>1329</v>
      </c>
      <c r="B50" s="47">
        <v>41895</v>
      </c>
      <c r="C50" s="1" t="s">
        <v>1313</v>
      </c>
      <c r="D50" s="53">
        <v>10.9</v>
      </c>
    </row>
    <row r="51" spans="1:4">
      <c r="A51" s="1" t="s">
        <v>1329</v>
      </c>
      <c r="B51" s="47">
        <v>41895</v>
      </c>
      <c r="C51" s="1" t="s">
        <v>1343</v>
      </c>
      <c r="D51" s="53">
        <v>3.3</v>
      </c>
    </row>
    <row r="52" spans="1:4">
      <c r="B52" s="47"/>
      <c r="D52" s="53"/>
    </row>
    <row r="53" spans="1:4">
      <c r="B53" s="47"/>
      <c r="D53" s="53"/>
    </row>
    <row r="54" spans="1:4">
      <c r="B54" s="47"/>
      <c r="D54" s="53"/>
    </row>
    <row r="55" spans="1:4">
      <c r="D55" s="53"/>
    </row>
    <row r="56" spans="1:4">
      <c r="D56" s="53"/>
    </row>
    <row r="57" spans="1:4">
      <c r="D57" s="53">
        <f>SUM(D15:D56)</f>
        <v>1157.6200000000003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TOTAL PivotRs</vt:lpstr>
      <vt:lpstr>TOTAL Pivot $</vt:lpstr>
      <vt:lpstr>Manipal Pivot</vt:lpstr>
      <vt:lpstr>Manipal Details</vt:lpstr>
      <vt:lpstr>all unformat</vt:lpstr>
      <vt:lpstr>TFC formatted</vt:lpstr>
      <vt:lpstr>TFC Details</vt:lpstr>
      <vt:lpstr>IVF details</vt:lpstr>
      <vt:lpstr>TOTAL</vt:lpstr>
      <vt:lpstr>Hormone levels</vt:lpstr>
      <vt:lpstr>GIFT Pivot</vt:lpstr>
      <vt:lpstr>GIFT Details</vt:lpstr>
      <vt:lpstr>Funds BLR</vt:lpstr>
      <vt:lpstr>Funds TCR</vt:lpstr>
      <vt:lpstr>Tshirt quilt</vt:lpstr>
      <vt:lpstr>Orders pivot</vt:lpstr>
      <vt:lpstr>Amma dec23-feb24</vt:lpstr>
      <vt:lpstr>Completed orders</vt:lpstr>
      <vt:lpstr>aus</vt:lpstr>
      <vt:lpstr>TADAH Tea Party Dress</vt:lpstr>
      <vt:lpstr>icici statement apr 18-19</vt:lpstr>
      <vt:lpstr>Cost of items</vt:lpstr>
      <vt:lpstr>Cost of fabrics</vt:lpstr>
      <vt:lpstr>Pricing Calc</vt:lpstr>
      <vt:lpstr>All Orders</vt:lpstr>
      <vt:lpstr>Mixer sizes</vt:lpstr>
      <vt:lpstr>monthly</vt:lpstr>
      <vt:lpstr>PRICING FOR EACH</vt:lpstr>
      <vt:lpstr>BAZAAR</vt:lpstr>
      <vt:lpstr>quilt panels</vt:lpstr>
      <vt:lpstr>Complex measuremts</vt:lpstr>
      <vt:lpstr>Fednet</vt:lpstr>
      <vt:lpstr>SGP moving</vt:lpstr>
      <vt:lpstr>Singapore my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2024-03-04T13:01:21Z</dcterms:modified>
</cp:coreProperties>
</file>