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IUC\A_book_example\"/>
    </mc:Choice>
  </mc:AlternateContent>
  <bookViews>
    <workbookView xWindow="0" yWindow="0" windowWidth="11712" windowHeight="9240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C66" i="1"/>
  <c r="D66" i="1"/>
  <c r="E66" i="1"/>
  <c r="F66" i="1"/>
  <c r="G66" i="1"/>
  <c r="H66" i="1"/>
  <c r="B66" i="1"/>
  <c r="H84" i="1"/>
  <c r="J79" i="1" l="1"/>
  <c r="K79" i="1"/>
  <c r="L79" i="1"/>
  <c r="M79" i="1"/>
  <c r="N79" i="1"/>
  <c r="O79" i="1"/>
  <c r="P79" i="1"/>
  <c r="J82" i="1"/>
  <c r="J84" i="1" s="1"/>
  <c r="P91" i="1"/>
  <c r="K91" i="1"/>
  <c r="L91" i="1"/>
  <c r="M91" i="1"/>
  <c r="N91" i="1"/>
  <c r="O91" i="1"/>
  <c r="J91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B92" i="1"/>
  <c r="K88" i="1"/>
  <c r="L88" i="1"/>
  <c r="M88" i="1"/>
  <c r="N88" i="1"/>
  <c r="O88" i="1"/>
  <c r="P88" i="1"/>
  <c r="J88" i="1"/>
  <c r="K89" i="1"/>
  <c r="L89" i="1"/>
  <c r="M89" i="1"/>
  <c r="N89" i="1"/>
  <c r="O89" i="1"/>
  <c r="P89" i="1"/>
  <c r="J89" i="1"/>
  <c r="K90" i="1"/>
  <c r="L90" i="1"/>
  <c r="M90" i="1"/>
  <c r="N90" i="1"/>
  <c r="O90" i="1"/>
  <c r="P90" i="1"/>
  <c r="J90" i="1"/>
  <c r="B90" i="1"/>
  <c r="K82" i="1"/>
  <c r="K84" i="1" s="1"/>
  <c r="K85" i="1" s="1"/>
  <c r="L82" i="1"/>
  <c r="L84" i="1" s="1"/>
  <c r="M82" i="1"/>
  <c r="M84" i="1" s="1"/>
  <c r="N82" i="1"/>
  <c r="N84" i="1" s="1"/>
  <c r="O82" i="1"/>
  <c r="O84" i="1" s="1"/>
  <c r="O85" i="1" s="1"/>
  <c r="P82" i="1"/>
  <c r="P84" i="1" s="1"/>
  <c r="K81" i="1"/>
  <c r="L81" i="1"/>
  <c r="M81" i="1"/>
  <c r="N81" i="1"/>
  <c r="O81" i="1"/>
  <c r="P81" i="1"/>
  <c r="J81" i="1"/>
  <c r="B81" i="1"/>
  <c r="B79" i="1"/>
  <c r="K74" i="1"/>
  <c r="L74" i="1"/>
  <c r="M74" i="1"/>
  <c r="N74" i="1"/>
  <c r="O74" i="1"/>
  <c r="P74" i="1"/>
  <c r="J74" i="1"/>
  <c r="K66" i="1"/>
  <c r="L66" i="1"/>
  <c r="M66" i="1"/>
  <c r="N66" i="1"/>
  <c r="O66" i="1"/>
  <c r="P66" i="1"/>
  <c r="J66" i="1"/>
  <c r="P58" i="1"/>
  <c r="O58" i="1"/>
  <c r="N58" i="1"/>
  <c r="O57" i="1" s="1"/>
  <c r="M58" i="1"/>
  <c r="N57" i="1" s="1"/>
  <c r="L58" i="1"/>
  <c r="K58" i="1"/>
  <c r="J58" i="1"/>
  <c r="K57" i="1" s="1"/>
  <c r="P57" i="1"/>
  <c r="M57" i="1"/>
  <c r="L57" i="1"/>
  <c r="K51" i="1"/>
  <c r="K52" i="1"/>
  <c r="K53" i="1" s="1"/>
  <c r="K54" i="1" s="1"/>
  <c r="C53" i="1"/>
  <c r="J53" i="1"/>
  <c r="J54" i="1" s="1"/>
  <c r="J55" i="1" s="1"/>
  <c r="J52" i="1"/>
  <c r="B52" i="1"/>
  <c r="K40" i="1"/>
  <c r="L40" i="1"/>
  <c r="M40" i="1"/>
  <c r="N40" i="1"/>
  <c r="O40" i="1"/>
  <c r="P40" i="1"/>
  <c r="J40" i="1"/>
  <c r="P41" i="1"/>
  <c r="O41" i="1"/>
  <c r="O42" i="1" s="1"/>
  <c r="N41" i="1"/>
  <c r="N42" i="1" s="1"/>
  <c r="M41" i="1"/>
  <c r="M42" i="1" s="1"/>
  <c r="L41" i="1"/>
  <c r="L42" i="1" s="1"/>
  <c r="K41" i="1"/>
  <c r="K42" i="1" s="1"/>
  <c r="J41" i="1"/>
  <c r="B40" i="1"/>
  <c r="B64" i="1" s="1"/>
  <c r="C51" i="1"/>
  <c r="J63" i="1"/>
  <c r="K63" i="1"/>
  <c r="L63" i="1"/>
  <c r="M63" i="1"/>
  <c r="N63" i="1"/>
  <c r="O63" i="1"/>
  <c r="P63" i="1"/>
  <c r="J65" i="1"/>
  <c r="K65" i="1"/>
  <c r="L65" i="1"/>
  <c r="M65" i="1"/>
  <c r="N65" i="1"/>
  <c r="O65" i="1"/>
  <c r="P65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80" i="1"/>
  <c r="K80" i="1"/>
  <c r="L80" i="1"/>
  <c r="M80" i="1"/>
  <c r="N80" i="1"/>
  <c r="O80" i="1"/>
  <c r="P80" i="1"/>
  <c r="J60" i="1"/>
  <c r="K60" i="1"/>
  <c r="L60" i="1"/>
  <c r="M60" i="1"/>
  <c r="N60" i="1"/>
  <c r="O60" i="1"/>
  <c r="P60" i="1"/>
  <c r="C60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N85" i="1" l="1"/>
  <c r="N86" i="1" s="1"/>
  <c r="N95" i="1" s="1"/>
  <c r="J85" i="1"/>
  <c r="J86" i="1" s="1"/>
  <c r="J95" i="1" s="1"/>
  <c r="M85" i="1"/>
  <c r="M86" i="1" s="1"/>
  <c r="M95" i="1" s="1"/>
  <c r="P85" i="1"/>
  <c r="P86" i="1" s="1"/>
  <c r="P95" i="1" s="1"/>
  <c r="L85" i="1"/>
  <c r="L86" i="1"/>
  <c r="L95" i="1" s="1"/>
  <c r="O86" i="1"/>
  <c r="O95" i="1" s="1"/>
  <c r="K86" i="1"/>
  <c r="K95" i="1" s="1"/>
  <c r="L51" i="1"/>
  <c r="L52" i="1" s="1"/>
  <c r="L53" i="1" s="1"/>
  <c r="L54" i="1" s="1"/>
  <c r="K55" i="1"/>
  <c r="P42" i="1"/>
  <c r="J42" i="1"/>
  <c r="H55" i="1"/>
  <c r="G89" i="1"/>
  <c r="G92" i="1" s="1"/>
  <c r="H89" i="1"/>
  <c r="H92" i="1" s="1"/>
  <c r="G90" i="1"/>
  <c r="G88" i="1" s="1"/>
  <c r="H90" i="1"/>
  <c r="H88" i="1" s="1"/>
  <c r="G77" i="1"/>
  <c r="H77" i="1"/>
  <c r="G78" i="1"/>
  <c r="H78" i="1"/>
  <c r="G79" i="1"/>
  <c r="H79" i="1"/>
  <c r="G80" i="1"/>
  <c r="H80" i="1"/>
  <c r="G70" i="1"/>
  <c r="H70" i="1"/>
  <c r="G71" i="1"/>
  <c r="G74" i="1" s="1"/>
  <c r="H71" i="1"/>
  <c r="H74" i="1" s="1"/>
  <c r="G72" i="1"/>
  <c r="H72" i="1"/>
  <c r="G73" i="1"/>
  <c r="H73" i="1"/>
  <c r="G63" i="1"/>
  <c r="H63" i="1"/>
  <c r="G64" i="1"/>
  <c r="H64" i="1"/>
  <c r="G65" i="1"/>
  <c r="H65" i="1"/>
  <c r="G57" i="1"/>
  <c r="G58" i="1"/>
  <c r="H57" i="1" s="1"/>
  <c r="H58" i="1"/>
  <c r="G51" i="1"/>
  <c r="G49" i="1"/>
  <c r="H49" i="1" s="1"/>
  <c r="J99" i="1" l="1"/>
  <c r="J97" i="1"/>
  <c r="J98" i="1" s="1"/>
  <c r="L55" i="1"/>
  <c r="M51" i="1"/>
  <c r="M52" i="1" s="1"/>
  <c r="M53" i="1" s="1"/>
  <c r="M54" i="1" s="1"/>
  <c r="H93" i="1"/>
  <c r="H91" i="1" s="1"/>
  <c r="G93" i="1"/>
  <c r="G91" i="1" s="1"/>
  <c r="G45" i="1"/>
  <c r="F49" i="1"/>
  <c r="C81" i="1"/>
  <c r="S60" i="1"/>
  <c r="T60" i="1" s="1"/>
  <c r="D49" i="1"/>
  <c r="E49" i="1" s="1"/>
  <c r="C49" i="1"/>
  <c r="B49" i="1"/>
  <c r="N51" i="1" l="1"/>
  <c r="N52" i="1" s="1"/>
  <c r="N53" i="1" s="1"/>
  <c r="N54" i="1" s="1"/>
  <c r="M55" i="1"/>
  <c r="U60" i="1"/>
  <c r="D60" i="1"/>
  <c r="D81" i="1" s="1"/>
  <c r="G41" i="1"/>
  <c r="G52" i="1" s="1"/>
  <c r="G40" i="1"/>
  <c r="G42" i="1"/>
  <c r="V60" i="1"/>
  <c r="O51" i="1" l="1"/>
  <c r="O52" i="1" s="1"/>
  <c r="O53" i="1" s="1"/>
  <c r="O54" i="1" s="1"/>
  <c r="N55" i="1"/>
  <c r="W60" i="1"/>
  <c r="F60" i="1"/>
  <c r="F81" i="1" s="1"/>
  <c r="E81" i="1"/>
  <c r="E60" i="1"/>
  <c r="G48" i="1"/>
  <c r="G53" i="1" s="1"/>
  <c r="B82" i="1"/>
  <c r="P51" i="1" l="1"/>
  <c r="P52" i="1" s="1"/>
  <c r="P53" i="1" s="1"/>
  <c r="P54" i="1" s="1"/>
  <c r="P55" i="1" s="1"/>
  <c r="O55" i="1"/>
  <c r="X60" i="1"/>
  <c r="H60" i="1" s="1"/>
  <c r="H81" i="1" s="1"/>
  <c r="H82" i="1" s="1"/>
  <c r="H85" i="1" s="1"/>
  <c r="H86" i="1" s="1"/>
  <c r="H95" i="1" s="1"/>
  <c r="G60" i="1"/>
  <c r="G81" i="1" s="1"/>
  <c r="G82" i="1" s="1"/>
  <c r="G84" i="1" s="1"/>
  <c r="G85" i="1" s="1"/>
  <c r="G86" i="1" s="1"/>
  <c r="G95" i="1" s="1"/>
  <c r="G46" i="1"/>
  <c r="G47" i="1" s="1"/>
  <c r="C82" i="1"/>
  <c r="D82" i="1"/>
  <c r="E82" i="1"/>
  <c r="F82" i="1"/>
  <c r="E79" i="1"/>
  <c r="F78" i="1"/>
  <c r="E78" i="1"/>
  <c r="D78" i="1"/>
  <c r="G54" i="1" l="1"/>
  <c r="B71" i="1"/>
  <c r="G55" i="1" l="1"/>
  <c r="H51" i="1"/>
  <c r="B73" i="1"/>
  <c r="B65" i="1"/>
  <c r="B45" i="1"/>
  <c r="B42" i="1" s="1"/>
  <c r="H41" i="1" l="1"/>
  <c r="H52" i="1"/>
  <c r="H45" i="1"/>
  <c r="H40" i="1" s="1"/>
  <c r="H42" i="1"/>
  <c r="B41" i="1"/>
  <c r="H48" i="1" l="1"/>
  <c r="H53" i="1"/>
  <c r="B93" i="1"/>
  <c r="B77" i="1"/>
  <c r="C72" i="1"/>
  <c r="D72" i="1"/>
  <c r="E72" i="1"/>
  <c r="F72" i="1"/>
  <c r="B72" i="1"/>
  <c r="C70" i="1"/>
  <c r="D70" i="1"/>
  <c r="E70" i="1"/>
  <c r="F70" i="1"/>
  <c r="B70" i="1"/>
  <c r="C63" i="1"/>
  <c r="D63" i="1"/>
  <c r="E63" i="1"/>
  <c r="F63" i="1"/>
  <c r="H46" i="1" l="1"/>
  <c r="H47" i="1" s="1"/>
  <c r="H54" i="1"/>
  <c r="B74" i="1"/>
  <c r="B84" i="1" s="1"/>
  <c r="B91" i="1"/>
  <c r="B38" i="1"/>
  <c r="B63" i="1" l="1"/>
  <c r="C71" i="1"/>
  <c r="C65" i="1"/>
  <c r="B48" i="1"/>
  <c r="D71" i="1" l="1"/>
  <c r="D65" i="1"/>
  <c r="B53" i="1"/>
  <c r="B78" i="1"/>
  <c r="B46" i="1"/>
  <c r="E71" i="1" l="1"/>
  <c r="E65" i="1"/>
  <c r="B47" i="1"/>
  <c r="B54" i="1"/>
  <c r="B55" i="1" s="1"/>
  <c r="C73" i="1"/>
  <c r="C74" i="1" s="1"/>
  <c r="C84" i="1" s="1"/>
  <c r="B58" i="1"/>
  <c r="B85" i="1" l="1"/>
  <c r="B86" i="1" s="1"/>
  <c r="B95" i="1" s="1"/>
  <c r="C89" i="1"/>
  <c r="C92" i="1" s="1"/>
  <c r="F71" i="1"/>
  <c r="F65" i="1"/>
  <c r="C57" i="1"/>
  <c r="C45" i="1"/>
  <c r="C41" i="1" l="1"/>
  <c r="C52" i="1" s="1"/>
  <c r="C77" i="1"/>
  <c r="C93" i="1"/>
  <c r="C91" i="1" s="1"/>
  <c r="C42" i="1"/>
  <c r="C40" i="1"/>
  <c r="C64" i="1" s="1"/>
  <c r="C48" i="1"/>
  <c r="C78" i="1" l="1"/>
  <c r="C46" i="1"/>
  <c r="C47" i="1" l="1"/>
  <c r="C79" i="1"/>
  <c r="C54" i="1"/>
  <c r="D51" i="1" l="1"/>
  <c r="D73" i="1" s="1"/>
  <c r="D74" i="1" s="1"/>
  <c r="C55" i="1"/>
  <c r="C58" i="1" s="1"/>
  <c r="C90" i="1" l="1"/>
  <c r="C80" i="1"/>
  <c r="D57" i="1"/>
  <c r="D45" i="1"/>
  <c r="D42" i="1"/>
  <c r="D41" i="1"/>
  <c r="D52" i="1" s="1"/>
  <c r="D48" i="1" s="1"/>
  <c r="D53" i="1" l="1"/>
  <c r="C85" i="1"/>
  <c r="C86" i="1" s="1"/>
  <c r="D40" i="1"/>
  <c r="D64" i="1" s="1"/>
  <c r="D77" i="1"/>
  <c r="C88" i="1"/>
  <c r="D89" i="1"/>
  <c r="D92" i="1" s="1"/>
  <c r="D46" i="1"/>
  <c r="C95" i="1" l="1"/>
  <c r="D93" i="1"/>
  <c r="D91" i="1"/>
  <c r="D47" i="1"/>
  <c r="D79" i="1" s="1"/>
  <c r="D54" i="1"/>
  <c r="E51" i="1" l="1"/>
  <c r="E73" i="1" s="1"/>
  <c r="E74" i="1" s="1"/>
  <c r="E84" i="1" s="1"/>
  <c r="D55" i="1"/>
  <c r="D58" i="1"/>
  <c r="E85" i="1" l="1"/>
  <c r="E86" i="1" s="1"/>
  <c r="D80" i="1"/>
  <c r="D84" i="1" s="1"/>
  <c r="D90" i="1"/>
  <c r="E57" i="1"/>
  <c r="E45" i="1"/>
  <c r="E40" i="1" l="1"/>
  <c r="E64" i="1" s="1"/>
  <c r="E77" i="1"/>
  <c r="D88" i="1"/>
  <c r="E89" i="1"/>
  <c r="E92" i="1" s="1"/>
  <c r="D85" i="1"/>
  <c r="D86" i="1" s="1"/>
  <c r="E41" i="1"/>
  <c r="E52" i="1" s="1"/>
  <c r="E48" i="1" s="1"/>
  <c r="E42" i="1"/>
  <c r="E93" i="1" l="1"/>
  <c r="E91" i="1" s="1"/>
  <c r="E53" i="1"/>
  <c r="E46" i="1" s="1"/>
  <c r="D95" i="1"/>
  <c r="E47" i="1" l="1"/>
  <c r="E54" i="1"/>
  <c r="F51" i="1" l="1"/>
  <c r="F73" i="1" s="1"/>
  <c r="F74" i="1" s="1"/>
  <c r="F84" i="1" s="1"/>
  <c r="E55" i="1"/>
  <c r="E58" i="1" s="1"/>
  <c r="F85" i="1" l="1"/>
  <c r="F86" i="1" s="1"/>
  <c r="E80" i="1"/>
  <c r="E90" i="1"/>
  <c r="F57" i="1"/>
  <c r="F45" i="1"/>
  <c r="F77" i="1" s="1"/>
  <c r="F42" i="1"/>
  <c r="F41" i="1" l="1"/>
  <c r="F52" i="1" s="1"/>
  <c r="F48" i="1" s="1"/>
  <c r="E88" i="1"/>
  <c r="F89" i="1"/>
  <c r="F92" i="1" s="1"/>
  <c r="E95" i="1"/>
  <c r="F40" i="1"/>
  <c r="F64" i="1" s="1"/>
  <c r="F93" i="1" l="1"/>
  <c r="F91" i="1" s="1"/>
  <c r="F53" i="1"/>
  <c r="F46" i="1" l="1"/>
  <c r="F54" i="1" s="1"/>
  <c r="F55" i="1" l="1"/>
  <c r="F58" i="1" s="1"/>
  <c r="F47" i="1"/>
  <c r="F79" i="1"/>
  <c r="F90" i="1" l="1"/>
  <c r="F88" i="1" s="1"/>
  <c r="F95" i="1" s="1"/>
  <c r="F80" i="1"/>
  <c r="B99" i="1" l="1"/>
  <c r="B98" i="1"/>
</calcChain>
</file>

<file path=xl/sharedStrings.xml><?xml version="1.0" encoding="utf-8"?>
<sst xmlns="http://schemas.openxmlformats.org/spreadsheetml/2006/main" count="81" uniqueCount="80">
  <si>
    <t>Year 1</t>
  </si>
  <si>
    <t>Year 2</t>
  </si>
  <si>
    <t>Year 3</t>
  </si>
  <si>
    <t>Year 4</t>
  </si>
  <si>
    <t>Year 5</t>
  </si>
  <si>
    <t xml:space="preserve">     Lapses by Year</t>
  </si>
  <si>
    <t xml:space="preserve">   Decrements</t>
  </si>
  <si>
    <t xml:space="preserve">     Annuitizations by Year</t>
  </si>
  <si>
    <t xml:space="preserve">     Mortality by Year</t>
  </si>
  <si>
    <t xml:space="preserve">     Surrender Charge (% of Fund Value)</t>
  </si>
  <si>
    <t xml:space="preserve">   Expenses  </t>
  </si>
  <si>
    <t xml:space="preserve">      % of Premium</t>
  </si>
  <si>
    <t xml:space="preserve">     Per Policy</t>
  </si>
  <si>
    <t xml:space="preserve">     Commission Schedule (% of Premium)</t>
  </si>
  <si>
    <t xml:space="preserve">   Earned Rate </t>
  </si>
  <si>
    <t xml:space="preserve">     Risk Charges</t>
  </si>
  <si>
    <t xml:space="preserve">     Maintenance Expenses</t>
  </si>
  <si>
    <t xml:space="preserve">     Credited Rate</t>
  </si>
  <si>
    <t xml:space="preserve">   policy fee (annually)</t>
  </si>
  <si>
    <t xml:space="preserve">   Management Fee Kick Back</t>
  </si>
  <si>
    <t xml:space="preserve">   Per Stat Reserve</t>
  </si>
  <si>
    <t xml:space="preserve">   Interest Rate Earned on Surplus</t>
  </si>
  <si>
    <t xml:space="preserve">   Inflation</t>
  </si>
  <si>
    <t xml:space="preserve">   Federal Income Tax</t>
  </si>
  <si>
    <t xml:space="preserve">   Discount Rate/ROI</t>
  </si>
  <si>
    <t xml:space="preserve">   GMDB Cost (% of Fund Value)</t>
  </si>
  <si>
    <t xml:space="preserve">   Profitablility Model</t>
  </si>
  <si>
    <t xml:space="preserve">     Premium Collected</t>
  </si>
  <si>
    <t xml:space="preserve">   Investment Income</t>
  </si>
  <si>
    <t xml:space="preserve">     Credited to Policyholder Account</t>
  </si>
  <si>
    <t xml:space="preserve">     Collected as Risk Charges</t>
  </si>
  <si>
    <t xml:space="preserve">   Decrements to Fund Value</t>
  </si>
  <si>
    <t xml:space="preserve">     Mortality (assume deaths in middle of year)</t>
  </si>
  <si>
    <t xml:space="preserve">     Lapses (assume lapses at end of year after annuitizations)</t>
  </si>
  <si>
    <t xml:space="preserve">     Surrender Charge</t>
  </si>
  <si>
    <t xml:space="preserve">     Annuitizations(assume annuitization at end of year before lapses)</t>
  </si>
  <si>
    <t xml:space="preserve">     Current Inforce as % of initial</t>
  </si>
  <si>
    <t xml:space="preserve">   Policyholder Fund Value (BOY)</t>
  </si>
  <si>
    <t xml:space="preserve">   Policyholder Fund Value (EOY) before lapses &amp; annuitizations</t>
  </si>
  <si>
    <t xml:space="preserve">   Policyholder Fund Value (EOY) before lapses but after annuitizations</t>
  </si>
  <si>
    <t xml:space="preserve">   Policyholder Fund Value (EOY) after annuitizations &amp; lapses </t>
  </si>
  <si>
    <t xml:space="preserve">   Cash Surrender Value</t>
  </si>
  <si>
    <t xml:space="preserve">   Stat. Reserve (BOY)</t>
  </si>
  <si>
    <t xml:space="preserve">   Stat. Reserve (EOY)</t>
  </si>
  <si>
    <t xml:space="preserve">     Mortality after Multiplier (Multiplier 100%)</t>
  </si>
  <si>
    <t xml:space="preserve">   GMDB benefit base (ratchet/5% roll up)</t>
  </si>
  <si>
    <t xml:space="preserve">   single premium (GMDB base)</t>
  </si>
  <si>
    <t xml:space="preserve">   Revenues to Insurance Company</t>
  </si>
  <si>
    <t xml:space="preserve">     Investment Income</t>
  </si>
  <si>
    <t xml:space="preserve">     Policy Fee Income</t>
  </si>
  <si>
    <t xml:space="preserve">   Expenses to Insurance Company</t>
  </si>
  <si>
    <t xml:space="preserve">     Administrative</t>
  </si>
  <si>
    <t xml:space="preserve">   Total Expenses</t>
  </si>
  <si>
    <t xml:space="preserve">     Commissions</t>
  </si>
  <si>
    <t xml:space="preserve">     Guarantee Minimum Death Benefit Cost</t>
  </si>
  <si>
    <t xml:space="preserve">   Benefit</t>
  </si>
  <si>
    <t xml:space="preserve">     Death Benefit (assume deaths in middle of year)</t>
  </si>
  <si>
    <t xml:space="preserve">     Annuitizations</t>
  </si>
  <si>
    <t xml:space="preserve">     Surrender Benefit</t>
  </si>
  <si>
    <t xml:space="preserve">     Increase in Reserve</t>
  </si>
  <si>
    <t xml:space="preserve">   Total Benefit</t>
  </si>
  <si>
    <t xml:space="preserve">   Book Profit Before Tax</t>
  </si>
  <si>
    <t xml:space="preserve">     Taxes on Book Profit</t>
  </si>
  <si>
    <t xml:space="preserve">   Book Profits After Tax</t>
  </si>
  <si>
    <t xml:space="preserve">       % of premium</t>
  </si>
  <si>
    <t xml:space="preserve">       Per Policy</t>
  </si>
  <si>
    <t xml:space="preserve">     GMDB benefit</t>
  </si>
  <si>
    <t xml:space="preserve">   Increase in Target Surplus</t>
  </si>
  <si>
    <t xml:space="preserve">     Target Surplus (BOY)</t>
  </si>
  <si>
    <t xml:space="preserve">     Target Surplus (EOY)</t>
  </si>
  <si>
    <t xml:space="preserve">   After Tax Interest on Target Surplus</t>
  </si>
  <si>
    <t xml:space="preserve">     Taxes on Interest on Target Surplus</t>
  </si>
  <si>
    <t xml:space="preserve">     Interest on Target Surplus</t>
  </si>
  <si>
    <t xml:space="preserve">   Distributable Earnings</t>
  </si>
  <si>
    <r>
      <t xml:space="preserve">  </t>
    </r>
    <r>
      <rPr>
        <b/>
        <sz val="11"/>
        <color theme="1"/>
        <rFont val="Times New Roman"/>
        <family val="1"/>
      </rPr>
      <t xml:space="preserve"> Total Revenue</t>
    </r>
  </si>
  <si>
    <t>Year 6</t>
  </si>
  <si>
    <t>Year 7</t>
  </si>
  <si>
    <r>
      <t xml:space="preserve">   </t>
    </r>
    <r>
      <rPr>
        <b/>
        <sz val="11"/>
        <color theme="1"/>
        <rFont val="Times New Roman"/>
        <family val="1"/>
      </rPr>
      <t>NPV</t>
    </r>
  </si>
  <si>
    <t xml:space="preserve">   ROE</t>
  </si>
  <si>
    <t xml:space="preserve">   NPV as %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</si>
</sst>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Times New Roman"/>
      <family val="1"/>
    </font>
    <font>
      <sz val="8"/>
      <name val="Arial"/>
      <family val="2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2" applyFont="1" applyBorder="1" applyAlignment="1">
      <alignment horizontal="left"/>
    </xf>
    <xf numFmtId="10" fontId="3" fillId="0" borderId="1" xfId="6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7">
    <cellStyle name="Comma 2" xfId="4"/>
    <cellStyle name="Currency 2" xfId="5"/>
    <cellStyle name="Normal" xfId="0" builtinId="0"/>
    <cellStyle name="Normal 2" xfId="3"/>
    <cellStyle name="Normal_The Model Final (NB Profitability)" xfId="2"/>
    <cellStyle name="Percent" xfId="1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topLeftCell="A87" workbookViewId="0">
      <selection activeCell="E105" sqref="E105"/>
    </sheetView>
  </sheetViews>
  <sheetFormatPr defaultRowHeight="13.8" x14ac:dyDescent="0.25"/>
  <cols>
    <col min="1" max="1" width="58.5546875" style="2" bestFit="1" customWidth="1"/>
    <col min="2" max="2" width="9" style="2" customWidth="1"/>
    <col min="3" max="3" width="8" style="2" customWidth="1"/>
    <col min="4" max="4" width="7.5546875" style="2" customWidth="1"/>
    <col min="5" max="5" width="7.77734375" style="2" customWidth="1"/>
    <col min="6" max="6" width="8" style="2" customWidth="1"/>
    <col min="7" max="8" width="9.21875" style="2" bestFit="1" customWidth="1"/>
    <col min="9" max="16384" width="8.88671875" style="2"/>
  </cols>
  <sheetData>
    <row r="1" spans="1:8" x14ac:dyDescent="0.25">
      <c r="A1" s="1" t="s">
        <v>46</v>
      </c>
      <c r="B1" s="15">
        <v>25000</v>
      </c>
      <c r="C1" s="16"/>
      <c r="D1" s="16"/>
      <c r="E1" s="16"/>
      <c r="F1" s="16"/>
      <c r="G1" s="16"/>
      <c r="H1" s="16"/>
    </row>
    <row r="2" spans="1:8" x14ac:dyDescent="0.25">
      <c r="A2" s="3"/>
      <c r="B2" s="16"/>
      <c r="C2" s="16"/>
      <c r="D2" s="16"/>
      <c r="E2" s="16"/>
      <c r="F2" s="16"/>
      <c r="G2" s="16"/>
      <c r="H2" s="16"/>
    </row>
    <row r="3" spans="1:8" x14ac:dyDescent="0.25">
      <c r="A3" s="1" t="s">
        <v>18</v>
      </c>
      <c r="B3" s="15">
        <v>30</v>
      </c>
      <c r="C3" s="16"/>
      <c r="D3" s="16"/>
      <c r="E3" s="16"/>
      <c r="F3" s="16"/>
      <c r="G3" s="16"/>
      <c r="H3" s="16"/>
    </row>
    <row r="4" spans="1:8" x14ac:dyDescent="0.25">
      <c r="A4" s="3"/>
      <c r="B4" s="16"/>
      <c r="C4" s="16"/>
      <c r="D4" s="16"/>
      <c r="E4" s="16"/>
      <c r="F4" s="16"/>
      <c r="G4" s="16"/>
      <c r="H4" s="16"/>
    </row>
    <row r="5" spans="1:8" x14ac:dyDescent="0.25">
      <c r="A5" s="1" t="s">
        <v>19</v>
      </c>
      <c r="B5" s="15">
        <v>0</v>
      </c>
      <c r="C5" s="16"/>
      <c r="D5" s="16"/>
      <c r="E5" s="16"/>
      <c r="F5" s="16"/>
      <c r="G5" s="16"/>
      <c r="H5" s="16"/>
    </row>
    <row r="6" spans="1:8" x14ac:dyDescent="0.25">
      <c r="A6" s="3"/>
      <c r="B6" s="16"/>
      <c r="C6" s="16"/>
      <c r="D6" s="16"/>
      <c r="E6" s="16"/>
      <c r="F6" s="16"/>
      <c r="G6" s="16"/>
      <c r="H6" s="16"/>
    </row>
    <row r="7" spans="1:8" x14ac:dyDescent="0.25">
      <c r="A7" s="13" t="s">
        <v>20</v>
      </c>
      <c r="B7" s="17">
        <v>8.5000000000000006E-3</v>
      </c>
      <c r="C7" s="16"/>
      <c r="D7" s="16"/>
      <c r="E7" s="16"/>
      <c r="F7" s="16"/>
      <c r="G7" s="16"/>
      <c r="H7" s="16"/>
    </row>
    <row r="8" spans="1:8" x14ac:dyDescent="0.25">
      <c r="B8" s="16"/>
      <c r="C8" s="16"/>
      <c r="D8" s="16"/>
      <c r="E8" s="16"/>
      <c r="F8" s="16"/>
      <c r="G8" s="16"/>
      <c r="H8" s="16"/>
    </row>
    <row r="9" spans="1:8" x14ac:dyDescent="0.25">
      <c r="A9" s="4"/>
      <c r="B9" s="9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75</v>
      </c>
      <c r="H9" s="9" t="s">
        <v>76</v>
      </c>
    </row>
    <row r="10" spans="1:8" x14ac:dyDescent="0.25">
      <c r="A10" s="5" t="s">
        <v>14</v>
      </c>
      <c r="B10" s="6">
        <v>6.25E-2</v>
      </c>
      <c r="C10" s="6">
        <v>6.25E-2</v>
      </c>
      <c r="D10" s="6">
        <v>6.25E-2</v>
      </c>
      <c r="E10" s="6">
        <v>6.25E-2</v>
      </c>
      <c r="F10" s="6">
        <v>6.25E-2</v>
      </c>
      <c r="G10" s="6">
        <v>6.25E-2</v>
      </c>
      <c r="H10" s="6">
        <v>6.25E-2</v>
      </c>
    </row>
    <row r="11" spans="1:8" x14ac:dyDescent="0.25">
      <c r="A11" s="5" t="s">
        <v>15</v>
      </c>
      <c r="B11" s="6">
        <v>1.4999999999999999E-2</v>
      </c>
      <c r="C11" s="6">
        <v>1.4999999999999999E-2</v>
      </c>
      <c r="D11" s="6">
        <v>1.4999999999999999E-2</v>
      </c>
      <c r="E11" s="6">
        <v>1.4999999999999999E-2</v>
      </c>
      <c r="F11" s="6">
        <v>1.4999999999999999E-2</v>
      </c>
      <c r="G11" s="6">
        <v>1.4999999999999999E-2</v>
      </c>
      <c r="H11" s="6">
        <v>1.4999999999999999E-2</v>
      </c>
    </row>
    <row r="12" spans="1:8" x14ac:dyDescent="0.25">
      <c r="A12" s="5" t="s">
        <v>16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8" x14ac:dyDescent="0.25">
      <c r="A13" s="5" t="s">
        <v>17</v>
      </c>
      <c r="B13" s="6">
        <v>4.7500000000000001E-2</v>
      </c>
      <c r="C13" s="6">
        <v>4.7500000000000001E-2</v>
      </c>
      <c r="D13" s="6">
        <v>4.7500000000000001E-2</v>
      </c>
      <c r="E13" s="6">
        <v>4.7500000000000001E-2</v>
      </c>
      <c r="F13" s="6">
        <v>4.7500000000000001E-2</v>
      </c>
      <c r="G13" s="6">
        <v>4.7500000000000001E-2</v>
      </c>
      <c r="H13" s="6">
        <v>4.7500000000000001E-2</v>
      </c>
    </row>
    <row r="14" spans="1:8" x14ac:dyDescent="0.25">
      <c r="B14" s="16"/>
      <c r="C14" s="16"/>
      <c r="D14" s="16"/>
      <c r="E14" s="16"/>
      <c r="F14" s="16"/>
      <c r="G14" s="16"/>
      <c r="H14" s="16"/>
    </row>
    <row r="15" spans="1:8" x14ac:dyDescent="0.25">
      <c r="A15" s="3" t="s">
        <v>21</v>
      </c>
      <c r="B15" s="16">
        <v>0.05</v>
      </c>
      <c r="C15" s="16"/>
      <c r="D15" s="16"/>
      <c r="E15" s="16"/>
      <c r="F15" s="16"/>
      <c r="G15" s="16"/>
      <c r="H15" s="16"/>
    </row>
    <row r="16" spans="1:8" x14ac:dyDescent="0.25">
      <c r="A16" s="3"/>
      <c r="B16" s="16"/>
      <c r="C16" s="16"/>
      <c r="D16" s="16"/>
      <c r="E16" s="16"/>
      <c r="F16" s="16"/>
      <c r="G16" s="16"/>
      <c r="H16" s="16"/>
    </row>
    <row r="17" spans="1:8" x14ac:dyDescent="0.25">
      <c r="A17" s="3" t="s">
        <v>22</v>
      </c>
      <c r="B17" s="16">
        <v>0.02</v>
      </c>
      <c r="C17" s="16"/>
      <c r="D17" s="16"/>
      <c r="E17" s="16"/>
      <c r="F17" s="16"/>
      <c r="G17" s="16"/>
      <c r="H17" s="16"/>
    </row>
    <row r="18" spans="1:8" x14ac:dyDescent="0.25">
      <c r="A18" s="3"/>
      <c r="B18" s="16"/>
      <c r="C18" s="16"/>
      <c r="D18" s="16"/>
      <c r="E18" s="16"/>
      <c r="F18" s="16"/>
      <c r="G18" s="16"/>
      <c r="H18" s="16"/>
    </row>
    <row r="19" spans="1:8" x14ac:dyDescent="0.25">
      <c r="A19" s="3" t="s">
        <v>23</v>
      </c>
      <c r="B19" s="16">
        <v>0.37</v>
      </c>
      <c r="C19" s="16"/>
      <c r="D19" s="16"/>
      <c r="E19" s="16"/>
      <c r="F19" s="16"/>
      <c r="G19" s="16"/>
      <c r="H19" s="16"/>
    </row>
    <row r="20" spans="1:8" x14ac:dyDescent="0.25">
      <c r="A20" s="3"/>
      <c r="B20" s="16"/>
      <c r="C20" s="16"/>
      <c r="D20" s="16"/>
      <c r="E20" s="16"/>
      <c r="F20" s="16"/>
      <c r="G20" s="16"/>
      <c r="H20" s="16"/>
    </row>
    <row r="21" spans="1:8" x14ac:dyDescent="0.25">
      <c r="A21" s="3" t="s">
        <v>24</v>
      </c>
      <c r="B21" s="16">
        <v>0.08</v>
      </c>
      <c r="C21" s="16"/>
      <c r="D21" s="16"/>
      <c r="E21" s="16"/>
      <c r="F21" s="16"/>
      <c r="G21" s="16"/>
      <c r="H21" s="16"/>
    </row>
    <row r="22" spans="1:8" x14ac:dyDescent="0.25">
      <c r="B22" s="16"/>
      <c r="C22" s="16"/>
      <c r="D22" s="16"/>
      <c r="E22" s="16"/>
      <c r="F22" s="16"/>
      <c r="G22" s="16"/>
      <c r="H22" s="16"/>
    </row>
    <row r="23" spans="1:8" x14ac:dyDescent="0.25">
      <c r="A23" s="8" t="s">
        <v>6</v>
      </c>
      <c r="B23" s="9">
        <v>1</v>
      </c>
      <c r="C23" s="9">
        <v>2</v>
      </c>
      <c r="D23" s="9">
        <v>3</v>
      </c>
      <c r="E23" s="9">
        <v>4</v>
      </c>
      <c r="F23" s="9">
        <v>5</v>
      </c>
      <c r="G23" s="9">
        <v>6</v>
      </c>
      <c r="H23" s="9">
        <v>7</v>
      </c>
    </row>
    <row r="24" spans="1:8" x14ac:dyDescent="0.25">
      <c r="A24" s="5" t="s">
        <v>5</v>
      </c>
      <c r="B24" s="6">
        <v>0.03</v>
      </c>
      <c r="C24" s="6">
        <v>0.03</v>
      </c>
      <c r="D24" s="6">
        <v>0.03</v>
      </c>
      <c r="E24" s="6">
        <v>0.04</v>
      </c>
      <c r="F24" s="6">
        <v>0.04</v>
      </c>
      <c r="G24" s="14">
        <v>0.05</v>
      </c>
      <c r="H24" s="6">
        <v>0.06</v>
      </c>
    </row>
    <row r="25" spans="1:8" x14ac:dyDescent="0.25">
      <c r="A25" s="5" t="s">
        <v>7</v>
      </c>
      <c r="B25" s="6">
        <v>0.01</v>
      </c>
      <c r="C25" s="6">
        <v>0.01</v>
      </c>
      <c r="D25" s="6">
        <v>0.01</v>
      </c>
      <c r="E25" s="6">
        <v>0.01</v>
      </c>
      <c r="F25" s="6">
        <v>0.01</v>
      </c>
      <c r="G25" s="14">
        <v>0.01</v>
      </c>
      <c r="H25" s="6">
        <v>0.01</v>
      </c>
    </row>
    <row r="26" spans="1:8" x14ac:dyDescent="0.25">
      <c r="A26" s="5" t="s">
        <v>8</v>
      </c>
      <c r="B26" s="6">
        <v>4.0570000000000007E-3</v>
      </c>
      <c r="C26" s="6">
        <v>4.431E-3</v>
      </c>
      <c r="D26" s="6">
        <v>4.8120000000000003E-3</v>
      </c>
      <c r="E26" s="6">
        <v>5.1980000000000004E-3</v>
      </c>
      <c r="F26" s="6">
        <v>5.5910000000000005E-3</v>
      </c>
      <c r="G26" s="14">
        <v>5.9940000000000002E-3</v>
      </c>
      <c r="H26" s="6">
        <v>6.4089999999999998E-3</v>
      </c>
    </row>
    <row r="27" spans="1:8" x14ac:dyDescent="0.25">
      <c r="A27" s="5" t="s">
        <v>44</v>
      </c>
      <c r="B27" s="6">
        <v>4.0570000000000007E-3</v>
      </c>
      <c r="C27" s="6">
        <v>4.431E-3</v>
      </c>
      <c r="D27" s="6">
        <v>4.8120000000000003E-3</v>
      </c>
      <c r="E27" s="6">
        <v>5.1980000000000004E-3</v>
      </c>
      <c r="F27" s="6">
        <v>5.5910000000000005E-3</v>
      </c>
      <c r="G27" s="14">
        <v>5.9940000000000002E-3</v>
      </c>
      <c r="H27" s="6">
        <v>6.4089999999999998E-3</v>
      </c>
    </row>
    <row r="28" spans="1:8" x14ac:dyDescent="0.25">
      <c r="A28" s="5" t="s">
        <v>9</v>
      </c>
      <c r="B28" s="6">
        <v>0.08</v>
      </c>
      <c r="C28" s="6">
        <v>7.0000000000000007E-2</v>
      </c>
      <c r="D28" s="6">
        <v>0.06</v>
      </c>
      <c r="E28" s="6">
        <v>0.05</v>
      </c>
      <c r="F28" s="6">
        <v>0.04</v>
      </c>
      <c r="G28" s="14">
        <v>0.03</v>
      </c>
      <c r="H28" s="6">
        <v>0.02</v>
      </c>
    </row>
    <row r="29" spans="1:8" x14ac:dyDescent="0.25">
      <c r="B29" s="16"/>
      <c r="C29" s="16"/>
      <c r="D29" s="16"/>
      <c r="E29" s="16"/>
      <c r="F29" s="16"/>
      <c r="G29" s="16"/>
      <c r="H29" s="16"/>
    </row>
    <row r="30" spans="1:8" x14ac:dyDescent="0.25">
      <c r="A30" s="5" t="s">
        <v>10</v>
      </c>
      <c r="B30" s="9">
        <v>1</v>
      </c>
      <c r="C30" s="9">
        <v>2</v>
      </c>
      <c r="D30" s="9">
        <v>3</v>
      </c>
      <c r="E30" s="9">
        <v>4</v>
      </c>
      <c r="F30" s="9">
        <v>5</v>
      </c>
      <c r="G30" s="9">
        <v>6</v>
      </c>
      <c r="H30" s="9">
        <v>7</v>
      </c>
    </row>
    <row r="31" spans="1:8" x14ac:dyDescent="0.25">
      <c r="A31" s="5" t="s">
        <v>11</v>
      </c>
      <c r="B31" s="6">
        <v>0.01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1:8" x14ac:dyDescent="0.25">
      <c r="A32" s="5" t="s">
        <v>12</v>
      </c>
      <c r="B32" s="9">
        <v>100</v>
      </c>
      <c r="C32" s="9">
        <v>30</v>
      </c>
      <c r="D32" s="9">
        <v>30</v>
      </c>
      <c r="E32" s="9">
        <v>30</v>
      </c>
      <c r="F32" s="9">
        <v>30</v>
      </c>
      <c r="G32" s="9">
        <v>30</v>
      </c>
      <c r="H32" s="9">
        <v>30</v>
      </c>
    </row>
    <row r="33" spans="1:16" x14ac:dyDescent="0.25">
      <c r="A33" s="5" t="s">
        <v>13</v>
      </c>
      <c r="B33" s="6">
        <v>0.04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</row>
    <row r="34" spans="1:16" x14ac:dyDescent="0.25">
      <c r="B34" s="16"/>
      <c r="C34" s="16"/>
      <c r="D34" s="16"/>
      <c r="E34" s="16"/>
      <c r="F34" s="16"/>
      <c r="G34" s="16"/>
      <c r="H34" s="16"/>
    </row>
    <row r="35" spans="1:16" x14ac:dyDescent="0.25">
      <c r="A35" s="3" t="s">
        <v>25</v>
      </c>
      <c r="B35" s="16">
        <v>4.0000000000000001E-3</v>
      </c>
      <c r="C35" s="16"/>
      <c r="D35" s="16"/>
      <c r="E35" s="16"/>
      <c r="F35" s="16"/>
      <c r="G35" s="16"/>
      <c r="H35" s="16"/>
    </row>
    <row r="36" spans="1:16" x14ac:dyDescent="0.25">
      <c r="B36" s="16"/>
      <c r="C36" s="16"/>
      <c r="D36" s="16"/>
      <c r="E36" s="16"/>
      <c r="F36" s="16"/>
      <c r="G36" s="16"/>
      <c r="H36" s="16"/>
    </row>
    <row r="37" spans="1:16" x14ac:dyDescent="0.25">
      <c r="A37" s="10" t="s">
        <v>26</v>
      </c>
      <c r="B37" s="18">
        <v>1</v>
      </c>
      <c r="C37" s="18">
        <v>2</v>
      </c>
      <c r="D37" s="18">
        <v>3</v>
      </c>
      <c r="E37" s="18">
        <v>4</v>
      </c>
      <c r="F37" s="18">
        <v>5</v>
      </c>
      <c r="G37" s="18">
        <v>6</v>
      </c>
      <c r="H37" s="18">
        <v>7</v>
      </c>
      <c r="J37" s="2">
        <v>1</v>
      </c>
      <c r="K37" s="2">
        <v>2</v>
      </c>
      <c r="L37" s="2">
        <v>3</v>
      </c>
      <c r="M37" s="2">
        <v>4</v>
      </c>
      <c r="N37" s="2">
        <v>5</v>
      </c>
      <c r="O37" s="2">
        <v>6</v>
      </c>
      <c r="P37" s="2">
        <v>7</v>
      </c>
    </row>
    <row r="38" spans="1:16" x14ac:dyDescent="0.25">
      <c r="A38" s="3" t="s">
        <v>27</v>
      </c>
      <c r="B38" s="12">
        <f>$B$1</f>
        <v>25000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J38" s="2">
        <v>25000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 x14ac:dyDescent="0.25">
      <c r="B39" s="12"/>
      <c r="C39" s="12"/>
      <c r="D39" s="12"/>
      <c r="E39" s="12"/>
      <c r="F39" s="12"/>
      <c r="G39" s="12"/>
      <c r="H39" s="12"/>
    </row>
    <row r="40" spans="1:16" x14ac:dyDescent="0.25">
      <c r="A40" s="3" t="s">
        <v>28</v>
      </c>
      <c r="B40" s="12">
        <f>B10*(B57+B38-0.5*B45)</f>
        <v>1559.3304687499999</v>
      </c>
      <c r="C40" s="12">
        <f t="shared" ref="C40:H40" si="0">C10*(C57+C38-0.5*C45)</f>
        <v>1562.0406528414851</v>
      </c>
      <c r="D40" s="12">
        <f t="shared" si="0"/>
        <v>1564.1757778770698</v>
      </c>
      <c r="E40" s="12">
        <f t="shared" si="0"/>
        <v>1565.7240679838451</v>
      </c>
      <c r="F40" s="12">
        <f t="shared" si="0"/>
        <v>1550.5230069380698</v>
      </c>
      <c r="G40" s="12">
        <f>G10*(G57+G38-0.5*G45)</f>
        <v>1534.8690015296345</v>
      </c>
      <c r="H40" s="12">
        <f t="shared" si="0"/>
        <v>1502.9416831601018</v>
      </c>
      <c r="J40" s="11">
        <f>ROUND(B40,0)</f>
        <v>1559</v>
      </c>
      <c r="K40" s="11">
        <f t="shared" ref="K40:P40" si="1">ROUND(C40,0)</f>
        <v>1562</v>
      </c>
      <c r="L40" s="11">
        <f t="shared" si="1"/>
        <v>1564</v>
      </c>
      <c r="M40" s="11">
        <f t="shared" si="1"/>
        <v>1566</v>
      </c>
      <c r="N40" s="11">
        <f t="shared" si="1"/>
        <v>1551</v>
      </c>
      <c r="O40" s="11">
        <f t="shared" si="1"/>
        <v>1535</v>
      </c>
      <c r="P40" s="11">
        <f t="shared" si="1"/>
        <v>1503</v>
      </c>
    </row>
    <row r="41" spans="1:16" x14ac:dyDescent="0.25">
      <c r="A41" s="3" t="s">
        <v>29</v>
      </c>
      <c r="B41" s="12">
        <f>B13*(B51-0.5*B45)</f>
        <v>1185.09115625</v>
      </c>
      <c r="C41" s="12">
        <f t="shared" ref="C41:H41" si="2">C13*(C51-0.5*C45)</f>
        <v>1187.1508961595287</v>
      </c>
      <c r="D41" s="12">
        <f t="shared" si="2"/>
        <v>1188.773591186573</v>
      </c>
      <c r="E41" s="12">
        <f t="shared" si="2"/>
        <v>1189.9502916677222</v>
      </c>
      <c r="F41" s="12">
        <f t="shared" si="2"/>
        <v>1178.397485272933</v>
      </c>
      <c r="G41" s="12">
        <f>G13*(G51-0.5*G45)</f>
        <v>1166.5004411625223</v>
      </c>
      <c r="H41" s="12">
        <f t="shared" si="2"/>
        <v>1142.2356792016774</v>
      </c>
      <c r="J41" s="11">
        <f>ROUND(1185.09115625,0)</f>
        <v>1185</v>
      </c>
      <c r="K41" s="11">
        <f>ROUND(1187.15089615953,0)</f>
        <v>1187</v>
      </c>
      <c r="L41" s="11">
        <f>ROUND(1188.77359118657,0)</f>
        <v>1189</v>
      </c>
      <c r="M41" s="11">
        <f>ROUND(1189.95029166772,0)</f>
        <v>1190</v>
      </c>
      <c r="N41" s="11">
        <f>ROUND(1178.39748527293,0)</f>
        <v>1178</v>
      </c>
      <c r="O41" s="11">
        <f>ROUND(1166.50044116252,0)</f>
        <v>1167</v>
      </c>
      <c r="P41" s="11">
        <f>ROUND(1142.23567920168,0)</f>
        <v>1142</v>
      </c>
    </row>
    <row r="42" spans="1:16" x14ac:dyDescent="0.25">
      <c r="A42" s="3" t="s">
        <v>30</v>
      </c>
      <c r="B42" s="12">
        <f>B11*(B51-0.5*B45)</f>
        <v>374.23931249999998</v>
      </c>
      <c r="C42" s="12">
        <f t="shared" ref="C42:H42" si="3">C11*(C51-0.5*C45)</f>
        <v>374.88975668195638</v>
      </c>
      <c r="D42" s="12">
        <f t="shared" si="3"/>
        <v>375.40218669049671</v>
      </c>
      <c r="E42" s="12">
        <f t="shared" si="3"/>
        <v>375.77377631612279</v>
      </c>
      <c r="F42" s="12">
        <f t="shared" si="3"/>
        <v>372.12552166513672</v>
      </c>
      <c r="G42" s="12">
        <f>G11*(G51-0.5*G45)</f>
        <v>368.36856036711225</v>
      </c>
      <c r="H42" s="12">
        <f t="shared" si="3"/>
        <v>360.70600395842439</v>
      </c>
      <c r="J42" s="11">
        <f>J40-J41</f>
        <v>374</v>
      </c>
      <c r="K42" s="11">
        <f t="shared" ref="K42:O42" si="4">K40-K41</f>
        <v>375</v>
      </c>
      <c r="L42" s="11">
        <f t="shared" si="4"/>
        <v>375</v>
      </c>
      <c r="M42" s="11">
        <f t="shared" si="4"/>
        <v>376</v>
      </c>
      <c r="N42" s="11">
        <f t="shared" si="4"/>
        <v>373</v>
      </c>
      <c r="O42" s="11">
        <f t="shared" si="4"/>
        <v>368</v>
      </c>
      <c r="P42" s="11">
        <f>P40-P41</f>
        <v>361</v>
      </c>
    </row>
    <row r="43" spans="1:16" x14ac:dyDescent="0.25">
      <c r="B43" s="12"/>
      <c r="C43" s="12"/>
      <c r="D43" s="12"/>
      <c r="E43" s="12"/>
      <c r="F43" s="12"/>
      <c r="G43" s="12"/>
      <c r="H43" s="12"/>
      <c r="J43" s="11"/>
      <c r="K43" s="11"/>
      <c r="L43" s="11"/>
      <c r="M43" s="11"/>
      <c r="N43" s="11"/>
      <c r="O43" s="11"/>
      <c r="P43" s="11"/>
    </row>
    <row r="44" spans="1:16" x14ac:dyDescent="0.25">
      <c r="A44" s="3" t="s">
        <v>31</v>
      </c>
      <c r="B44" s="12"/>
      <c r="C44" s="12"/>
      <c r="D44" s="12"/>
      <c r="E44" s="12"/>
      <c r="F44" s="12"/>
      <c r="G44" s="12"/>
      <c r="H44" s="12"/>
      <c r="J44" s="11"/>
      <c r="K44" s="11"/>
      <c r="L44" s="11"/>
      <c r="M44" s="11"/>
      <c r="N44" s="11"/>
      <c r="O44" s="11"/>
      <c r="P44" s="11"/>
    </row>
    <row r="45" spans="1:16" x14ac:dyDescent="0.25">
      <c r="A45" s="3" t="s">
        <v>32</v>
      </c>
      <c r="B45" s="12">
        <f>B51*B27</f>
        <v>101.42500000000001</v>
      </c>
      <c r="C45" s="12">
        <f t="shared" ref="C45:F45" si="5">C51*C27</f>
        <v>110.98832876623152</v>
      </c>
      <c r="D45" s="12">
        <f t="shared" si="5"/>
        <v>120.71947254124561</v>
      </c>
      <c r="E45" s="12">
        <f t="shared" si="5"/>
        <v>130.55745811973364</v>
      </c>
      <c r="F45" s="12">
        <f t="shared" si="5"/>
        <v>139.09241896587108</v>
      </c>
      <c r="G45" s="12">
        <f>G51*G27</f>
        <v>147.64256147945198</v>
      </c>
      <c r="H45" s="12">
        <f t="shared" ref="H45" si="6">H51*H27</f>
        <v>154.61310966790026</v>
      </c>
      <c r="J45" s="11">
        <f t="shared" ref="J45:J48" si="7">ROUND(B45,0)</f>
        <v>101</v>
      </c>
      <c r="K45" s="11">
        <f t="shared" ref="K45:K48" si="8">ROUND(C45,0)</f>
        <v>111</v>
      </c>
      <c r="L45" s="11">
        <f t="shared" ref="L45:L48" si="9">ROUND(D45,0)</f>
        <v>121</v>
      </c>
      <c r="M45" s="11">
        <f t="shared" ref="M45:M48" si="10">ROUND(E45,0)</f>
        <v>131</v>
      </c>
      <c r="N45" s="11">
        <f t="shared" ref="N45:N48" si="11">ROUND(F45,0)</f>
        <v>139</v>
      </c>
      <c r="O45" s="11">
        <f t="shared" ref="O45:O48" si="12">ROUND(G45,0)</f>
        <v>148</v>
      </c>
      <c r="P45" s="11">
        <f t="shared" ref="P45:P48" si="13">ROUND(H45,0)</f>
        <v>155</v>
      </c>
    </row>
    <row r="46" spans="1:16" x14ac:dyDescent="0.25">
      <c r="A46" s="3" t="s">
        <v>33</v>
      </c>
      <c r="B46" s="12">
        <f>B53*B24</f>
        <v>774.68488484062505</v>
      </c>
      <c r="C46" s="12">
        <f t="shared" ref="C46:F46" si="14">C53*C24</f>
        <v>775.89192316403319</v>
      </c>
      <c r="D46" s="12">
        <f t="shared" si="14"/>
        <v>776.81022113818733</v>
      </c>
      <c r="E46" s="12">
        <f t="shared" si="14"/>
        <v>1036.5797633538355</v>
      </c>
      <c r="F46" s="12">
        <f t="shared" si="14"/>
        <v>1026.3218877172449</v>
      </c>
      <c r="G46" s="12">
        <f t="shared" ref="G46:H46" si="15">G53*G24</f>
        <v>1269.7038676523989</v>
      </c>
      <c r="H46" s="12">
        <f t="shared" si="15"/>
        <v>1491.6525656628035</v>
      </c>
      <c r="J46" s="11">
        <f t="shared" si="7"/>
        <v>775</v>
      </c>
      <c r="K46" s="11">
        <f t="shared" si="8"/>
        <v>776</v>
      </c>
      <c r="L46" s="11">
        <f t="shared" si="9"/>
        <v>777</v>
      </c>
      <c r="M46" s="11">
        <f t="shared" si="10"/>
        <v>1037</v>
      </c>
      <c r="N46" s="11">
        <f t="shared" si="11"/>
        <v>1026</v>
      </c>
      <c r="O46" s="11">
        <f t="shared" si="12"/>
        <v>1270</v>
      </c>
      <c r="P46" s="11">
        <f t="shared" si="13"/>
        <v>1492</v>
      </c>
    </row>
    <row r="47" spans="1:16" x14ac:dyDescent="0.25">
      <c r="A47" s="3" t="s">
        <v>34</v>
      </c>
      <c r="B47" s="12">
        <f>B46*B28</f>
        <v>61.974790787250008</v>
      </c>
      <c r="C47" s="12">
        <f t="shared" ref="C47:F47" si="16">C46*C28</f>
        <v>54.312434621482325</v>
      </c>
      <c r="D47" s="12">
        <f t="shared" si="16"/>
        <v>46.608613268291236</v>
      </c>
      <c r="E47" s="12">
        <f t="shared" si="16"/>
        <v>51.828988167691776</v>
      </c>
      <c r="F47" s="12">
        <f t="shared" si="16"/>
        <v>41.052875508689795</v>
      </c>
      <c r="G47" s="12">
        <f t="shared" ref="G47:H47" si="17">G46*G28</f>
        <v>38.091116029571964</v>
      </c>
      <c r="H47" s="12">
        <f t="shared" si="17"/>
        <v>29.833051313256071</v>
      </c>
      <c r="J47" s="11">
        <f t="shared" si="7"/>
        <v>62</v>
      </c>
      <c r="K47" s="11">
        <f t="shared" si="8"/>
        <v>54</v>
      </c>
      <c r="L47" s="11">
        <f t="shared" si="9"/>
        <v>47</v>
      </c>
      <c r="M47" s="11">
        <f t="shared" si="10"/>
        <v>52</v>
      </c>
      <c r="N47" s="11">
        <f t="shared" si="11"/>
        <v>41</v>
      </c>
      <c r="O47" s="11">
        <f t="shared" si="12"/>
        <v>38</v>
      </c>
      <c r="P47" s="11">
        <f t="shared" si="13"/>
        <v>30</v>
      </c>
    </row>
    <row r="48" spans="1:16" x14ac:dyDescent="0.25">
      <c r="A48" s="3" t="s">
        <v>35</v>
      </c>
      <c r="B48" s="12">
        <f>B52*B25</f>
        <v>260.83666156250001</v>
      </c>
      <c r="C48" s="12">
        <f t="shared" ref="C48:F48" si="18">C52*C25</f>
        <v>261.24307177240178</v>
      </c>
      <c r="D48" s="12">
        <f t="shared" si="18"/>
        <v>261.55226300949067</v>
      </c>
      <c r="E48" s="12">
        <f t="shared" si="18"/>
        <v>261.76256650349382</v>
      </c>
      <c r="F48" s="12">
        <f t="shared" si="18"/>
        <v>259.1721938679911</v>
      </c>
      <c r="G48" s="12">
        <f t="shared" ref="G48:H48" si="19">G52*G25</f>
        <v>256.50583184896948</v>
      </c>
      <c r="H48" s="12">
        <f t="shared" si="19"/>
        <v>251.11996054929355</v>
      </c>
      <c r="J48" s="11">
        <f t="shared" si="7"/>
        <v>261</v>
      </c>
      <c r="K48" s="11">
        <f t="shared" si="8"/>
        <v>261</v>
      </c>
      <c r="L48" s="11">
        <f t="shared" si="9"/>
        <v>262</v>
      </c>
      <c r="M48" s="11">
        <f t="shared" si="10"/>
        <v>262</v>
      </c>
      <c r="N48" s="11">
        <f t="shared" si="11"/>
        <v>259</v>
      </c>
      <c r="O48" s="11">
        <f t="shared" si="12"/>
        <v>257</v>
      </c>
      <c r="P48" s="11">
        <f t="shared" si="13"/>
        <v>251</v>
      </c>
    </row>
    <row r="49" spans="1:24" x14ac:dyDescent="0.25">
      <c r="A49" s="3" t="s">
        <v>36</v>
      </c>
      <c r="B49" s="7">
        <f>(1-B24-B25-B27)</f>
        <v>0.95594299999999999</v>
      </c>
      <c r="C49" s="7">
        <f>B49*(1-C24-C25-C27)</f>
        <v>0.91346949656699994</v>
      </c>
      <c r="D49" s="7">
        <f t="shared" ref="D49:E49" si="20">C49*(1-D24-D25-D27)</f>
        <v>0.87253510148683944</v>
      </c>
      <c r="E49" s="7">
        <f t="shared" si="20"/>
        <v>0.82437290895496884</v>
      </c>
      <c r="F49" s="7">
        <f>E49*(1-F24-F25-F27)</f>
        <v>0.77854519457325311</v>
      </c>
      <c r="G49" s="7">
        <f>F49*(1-G24-G25-G27)</f>
        <v>0.72716588300258578</v>
      </c>
      <c r="H49" s="7">
        <f t="shared" ref="H49" si="21">G49*(1-H24-H25-H27)</f>
        <v>0.67160386504824121</v>
      </c>
      <c r="J49" s="7">
        <v>0.95594299999999999</v>
      </c>
      <c r="K49" s="7">
        <v>0.91346949656699994</v>
      </c>
      <c r="L49" s="7">
        <v>0.87253510148683944</v>
      </c>
      <c r="M49" s="7">
        <v>0.82437290895496884</v>
      </c>
      <c r="N49" s="7">
        <v>0.77854519457325311</v>
      </c>
      <c r="O49" s="7">
        <v>0.72716588300258578</v>
      </c>
      <c r="P49" s="7">
        <v>0.67160386504824121</v>
      </c>
    </row>
    <row r="50" spans="1:24" x14ac:dyDescent="0.25">
      <c r="A50" s="3"/>
      <c r="B50" s="12"/>
      <c r="C50" s="12"/>
      <c r="D50" s="12"/>
      <c r="E50" s="12"/>
      <c r="F50" s="12"/>
      <c r="G50" s="12"/>
      <c r="H50" s="12"/>
      <c r="J50" s="11"/>
      <c r="K50" s="11"/>
      <c r="L50" s="11"/>
      <c r="M50" s="11"/>
      <c r="N50" s="11"/>
      <c r="O50" s="11"/>
      <c r="P50" s="11"/>
    </row>
    <row r="51" spans="1:24" x14ac:dyDescent="0.25">
      <c r="A51" s="3" t="s">
        <v>37</v>
      </c>
      <c r="B51" s="12">
        <v>25000</v>
      </c>
      <c r="C51" s="12">
        <f>B54+C38</f>
        <v>25048.144609846877</v>
      </c>
      <c r="D51" s="12">
        <f t="shared" ref="D51:F51" si="22">C54+D38</f>
        <v>25087.172182303741</v>
      </c>
      <c r="E51" s="12">
        <f t="shared" si="22"/>
        <v>25116.863816801389</v>
      </c>
      <c r="F51" s="12">
        <f t="shared" si="22"/>
        <v>24877.914320492051</v>
      </c>
      <c r="G51" s="12">
        <f>F54+G38</f>
        <v>24631.725305213877</v>
      </c>
      <c r="H51" s="12">
        <f t="shared" ref="H51" si="23">G54+H38</f>
        <v>24124.373485395579</v>
      </c>
      <c r="J51" s="11">
        <v>25000</v>
      </c>
      <c r="K51" s="11">
        <f>J54+K38</f>
        <v>25048</v>
      </c>
      <c r="L51" s="11">
        <f t="shared" ref="L51" si="24">K54+L38</f>
        <v>25087</v>
      </c>
      <c r="M51" s="11">
        <f t="shared" ref="M51" si="25">L54+M38</f>
        <v>25116</v>
      </c>
      <c r="N51" s="11">
        <f t="shared" ref="N51" si="26">M54+N38</f>
        <v>24876</v>
      </c>
      <c r="O51" s="11">
        <f>N54+O38</f>
        <v>24630</v>
      </c>
      <c r="P51" s="11">
        <f t="shared" ref="P51" si="27">O54+P38</f>
        <v>24122</v>
      </c>
    </row>
    <row r="52" spans="1:24" x14ac:dyDescent="0.25">
      <c r="A52" s="3" t="s">
        <v>38</v>
      </c>
      <c r="B52" s="12">
        <f>B51+B41-B45</f>
        <v>26083.666156250001</v>
      </c>
      <c r="C52" s="12">
        <f t="shared" ref="C52:F52" si="28">C51+C41-C45</f>
        <v>26124.307177240174</v>
      </c>
      <c r="D52" s="12">
        <f t="shared" si="28"/>
        <v>26155.226300949067</v>
      </c>
      <c r="E52" s="12">
        <f t="shared" si="28"/>
        <v>26176.25665034938</v>
      </c>
      <c r="F52" s="12">
        <f t="shared" si="28"/>
        <v>25917.219386799112</v>
      </c>
      <c r="G52" s="12">
        <f t="shared" ref="G52:H52" si="29">G51+G41-G45</f>
        <v>25650.583184896946</v>
      </c>
      <c r="H52" s="12">
        <f t="shared" si="29"/>
        <v>25111.996054929354</v>
      </c>
      <c r="J52" s="11">
        <f>J51+J41-J45</f>
        <v>26084</v>
      </c>
      <c r="K52" s="11">
        <f t="shared" ref="K52:P52" si="30">K51+K41-K45</f>
        <v>26124</v>
      </c>
      <c r="L52" s="11">
        <f t="shared" si="30"/>
        <v>26155</v>
      </c>
      <c r="M52" s="11">
        <f t="shared" si="30"/>
        <v>26175</v>
      </c>
      <c r="N52" s="11">
        <f t="shared" si="30"/>
        <v>25915</v>
      </c>
      <c r="O52" s="11">
        <f t="shared" si="30"/>
        <v>25649</v>
      </c>
      <c r="P52" s="11">
        <f t="shared" si="30"/>
        <v>25109</v>
      </c>
    </row>
    <row r="53" spans="1:24" x14ac:dyDescent="0.25">
      <c r="A53" s="3" t="s">
        <v>39</v>
      </c>
      <c r="B53" s="12">
        <f>B52-B48</f>
        <v>25822.829494687503</v>
      </c>
      <c r="C53" s="12">
        <f>C52-C48</f>
        <v>25863.064105467773</v>
      </c>
      <c r="D53" s="12">
        <f t="shared" ref="D53:F53" si="31">D52-D48</f>
        <v>25893.674037939578</v>
      </c>
      <c r="E53" s="12">
        <f t="shared" si="31"/>
        <v>25914.494083845886</v>
      </c>
      <c r="F53" s="12">
        <f t="shared" si="31"/>
        <v>25658.047192931121</v>
      </c>
      <c r="G53" s="12">
        <f t="shared" ref="G53:H53" si="32">G52-G48</f>
        <v>25394.077353047978</v>
      </c>
      <c r="H53" s="12">
        <f t="shared" si="32"/>
        <v>24860.876094380059</v>
      </c>
      <c r="J53" s="11">
        <f>J52-J48</f>
        <v>25823</v>
      </c>
      <c r="K53" s="11">
        <f>K52-K48</f>
        <v>25863</v>
      </c>
      <c r="L53" s="11">
        <f t="shared" ref="L53:P53" si="33">L52-L48</f>
        <v>25893</v>
      </c>
      <c r="M53" s="11">
        <f t="shared" si="33"/>
        <v>25913</v>
      </c>
      <c r="N53" s="11">
        <f t="shared" si="33"/>
        <v>25656</v>
      </c>
      <c r="O53" s="11">
        <f t="shared" si="33"/>
        <v>25392</v>
      </c>
      <c r="P53" s="11">
        <f t="shared" si="33"/>
        <v>24858</v>
      </c>
    </row>
    <row r="54" spans="1:24" x14ac:dyDescent="0.25">
      <c r="A54" s="3" t="s">
        <v>40</v>
      </c>
      <c r="B54" s="12">
        <f>B53-B46</f>
        <v>25048.144609846877</v>
      </c>
      <c r="C54" s="12">
        <f t="shared" ref="C54:F54" si="34">C53-C46</f>
        <v>25087.172182303741</v>
      </c>
      <c r="D54" s="12">
        <f t="shared" si="34"/>
        <v>25116.863816801389</v>
      </c>
      <c r="E54" s="12">
        <f t="shared" si="34"/>
        <v>24877.914320492051</v>
      </c>
      <c r="F54" s="12">
        <f t="shared" si="34"/>
        <v>24631.725305213877</v>
      </c>
      <c r="G54" s="12">
        <f t="shared" ref="G54:H54" si="35">G53-G46</f>
        <v>24124.373485395579</v>
      </c>
      <c r="H54" s="12">
        <f t="shared" si="35"/>
        <v>23369.223528717255</v>
      </c>
      <c r="J54" s="11">
        <f>J53-J46</f>
        <v>25048</v>
      </c>
      <c r="K54" s="11">
        <f t="shared" ref="K54:P54" si="36">K53-K46</f>
        <v>25087</v>
      </c>
      <c r="L54" s="11">
        <f t="shared" si="36"/>
        <v>25116</v>
      </c>
      <c r="M54" s="11">
        <f t="shared" si="36"/>
        <v>24876</v>
      </c>
      <c r="N54" s="11">
        <f t="shared" si="36"/>
        <v>24630</v>
      </c>
      <c r="O54" s="11">
        <f t="shared" si="36"/>
        <v>24122</v>
      </c>
      <c r="P54" s="11">
        <f t="shared" si="36"/>
        <v>23366</v>
      </c>
    </row>
    <row r="55" spans="1:24" x14ac:dyDescent="0.25">
      <c r="A55" s="3" t="s">
        <v>41</v>
      </c>
      <c r="B55" s="12">
        <f>B54*(1-B28)</f>
        <v>23044.293041059129</v>
      </c>
      <c r="C55" s="12">
        <f t="shared" ref="C55:F55" si="37">C54*(1-C28)</f>
        <v>23331.070129542477</v>
      </c>
      <c r="D55" s="12">
        <f t="shared" si="37"/>
        <v>23609.851987793303</v>
      </c>
      <c r="E55" s="12">
        <f t="shared" si="37"/>
        <v>23634.018604467448</v>
      </c>
      <c r="F55" s="12">
        <f t="shared" si="37"/>
        <v>23646.456293005322</v>
      </c>
      <c r="G55" s="12">
        <f t="shared" ref="G55" si="38">G54*(1-G28)</f>
        <v>23400.642280833712</v>
      </c>
      <c r="H55" s="12">
        <f>H54*(1-H28)</f>
        <v>22901.839058142908</v>
      </c>
      <c r="J55" s="11">
        <f>J54*(1-J28)</f>
        <v>25048</v>
      </c>
      <c r="K55" s="11">
        <f t="shared" ref="K55:O55" si="39">K54*(1-K28)</f>
        <v>25087</v>
      </c>
      <c r="L55" s="11">
        <f t="shared" si="39"/>
        <v>25116</v>
      </c>
      <c r="M55" s="11">
        <f t="shared" si="39"/>
        <v>24876</v>
      </c>
      <c r="N55" s="11">
        <f t="shared" si="39"/>
        <v>24630</v>
      </c>
      <c r="O55" s="11">
        <f t="shared" si="39"/>
        <v>24122</v>
      </c>
      <c r="P55" s="11">
        <f>P54*(1-P28)</f>
        <v>23366</v>
      </c>
    </row>
    <row r="56" spans="1:24" x14ac:dyDescent="0.25">
      <c r="A56" s="3"/>
      <c r="B56" s="12"/>
      <c r="C56" s="12"/>
      <c r="D56" s="12"/>
      <c r="E56" s="12"/>
      <c r="F56" s="12"/>
      <c r="G56" s="12"/>
      <c r="H56" s="12"/>
      <c r="J56" s="11"/>
      <c r="K56" s="11"/>
      <c r="L56" s="11"/>
      <c r="M56" s="11"/>
      <c r="N56" s="11"/>
      <c r="O56" s="11"/>
      <c r="P56" s="11"/>
    </row>
    <row r="57" spans="1:24" x14ac:dyDescent="0.25">
      <c r="A57" s="3" t="s">
        <v>42</v>
      </c>
      <c r="B57" s="12">
        <v>0</v>
      </c>
      <c r="C57" s="12">
        <f>B58</f>
        <v>25048.144609846877</v>
      </c>
      <c r="D57" s="12">
        <f t="shared" ref="D57:F57" si="40">C58</f>
        <v>25087.172182303741</v>
      </c>
      <c r="E57" s="12">
        <f t="shared" si="40"/>
        <v>25116.863816801389</v>
      </c>
      <c r="F57" s="12">
        <f t="shared" si="40"/>
        <v>24877.914320492051</v>
      </c>
      <c r="G57" s="12">
        <f t="shared" ref="G57" si="41">F58</f>
        <v>24631.725305213877</v>
      </c>
      <c r="H57" s="12">
        <f t="shared" ref="H57" si="42">G58</f>
        <v>24124.373485395579</v>
      </c>
      <c r="J57" s="11">
        <v>0</v>
      </c>
      <c r="K57" s="11">
        <f>J58</f>
        <v>25048</v>
      </c>
      <c r="L57" s="11">
        <f t="shared" ref="L57" si="43">K58</f>
        <v>25087</v>
      </c>
      <c r="M57" s="11">
        <f t="shared" ref="M57" si="44">L58</f>
        <v>25116</v>
      </c>
      <c r="N57" s="11">
        <f t="shared" ref="N57" si="45">M58</f>
        <v>24876</v>
      </c>
      <c r="O57" s="11">
        <f t="shared" ref="O57" si="46">N58</f>
        <v>24630</v>
      </c>
      <c r="P57" s="11">
        <f t="shared" ref="P57" si="47">O58</f>
        <v>24122</v>
      </c>
    </row>
    <row r="58" spans="1:24" x14ac:dyDescent="0.25">
      <c r="A58" s="3" t="s">
        <v>43</v>
      </c>
      <c r="B58" s="12">
        <f>MAX(B54:B55)</f>
        <v>25048.144609846877</v>
      </c>
      <c r="C58" s="12">
        <f t="shared" ref="C58:F58" si="48">MAX(C54:C55)</f>
        <v>25087.172182303741</v>
      </c>
      <c r="D58" s="12">
        <f t="shared" si="48"/>
        <v>25116.863816801389</v>
      </c>
      <c r="E58" s="12">
        <f t="shared" si="48"/>
        <v>24877.914320492051</v>
      </c>
      <c r="F58" s="12">
        <f t="shared" si="48"/>
        <v>24631.725305213877</v>
      </c>
      <c r="G58" s="12">
        <f t="shared" ref="G58:H58" si="49">MAX(G54:G55)</f>
        <v>24124.373485395579</v>
      </c>
      <c r="H58" s="12">
        <f t="shared" si="49"/>
        <v>23369.223528717255</v>
      </c>
      <c r="J58" s="11">
        <f>MAX(J54:J55)</f>
        <v>25048</v>
      </c>
      <c r="K58" s="11">
        <f t="shared" ref="K58:P58" si="50">MAX(K54:K55)</f>
        <v>25087</v>
      </c>
      <c r="L58" s="11">
        <f t="shared" si="50"/>
        <v>25116</v>
      </c>
      <c r="M58" s="11">
        <f t="shared" si="50"/>
        <v>24876</v>
      </c>
      <c r="N58" s="11">
        <f t="shared" si="50"/>
        <v>24630</v>
      </c>
      <c r="O58" s="11">
        <f t="shared" si="50"/>
        <v>24122</v>
      </c>
      <c r="P58" s="11">
        <f t="shared" si="50"/>
        <v>23366</v>
      </c>
    </row>
    <row r="59" spans="1:24" x14ac:dyDescent="0.25">
      <c r="B59" s="12"/>
      <c r="C59" s="12"/>
      <c r="D59" s="12"/>
      <c r="E59" s="12"/>
      <c r="F59" s="12"/>
      <c r="G59" s="12"/>
      <c r="H59" s="12"/>
      <c r="J59" s="11"/>
      <c r="K59" s="11"/>
      <c r="L59" s="11"/>
      <c r="M59" s="11"/>
      <c r="N59" s="11"/>
      <c r="O59" s="11"/>
      <c r="P59" s="11"/>
    </row>
    <row r="60" spans="1:24" x14ac:dyDescent="0.25">
      <c r="A60" s="3" t="s">
        <v>45</v>
      </c>
      <c r="B60" s="12">
        <v>25000</v>
      </c>
      <c r="C60" s="12">
        <f t="shared" ref="C60:H60" si="51">S60*B49</f>
        <v>25093.50375</v>
      </c>
      <c r="D60" s="12">
        <f t="shared" si="51"/>
        <v>25177.502999127937</v>
      </c>
      <c r="E60" s="12">
        <f t="shared" si="51"/>
        <v>25251.711171467563</v>
      </c>
      <c r="F60" s="12">
        <f t="shared" si="51"/>
        <v>25050.760579136138</v>
      </c>
      <c r="G60" s="12">
        <f t="shared" si="51"/>
        <v>24841.07193517045</v>
      </c>
      <c r="H60" s="12">
        <f t="shared" si="51"/>
        <v>24361.795745574847</v>
      </c>
      <c r="J60" s="11">
        <f t="shared" ref="J60" si="52">ROUND(B60,0)</f>
        <v>25000</v>
      </c>
      <c r="K60" s="11">
        <f t="shared" ref="K60" si="53">ROUND(C60,0)</f>
        <v>25094</v>
      </c>
      <c r="L60" s="11">
        <f t="shared" ref="L60" si="54">ROUND(D60,0)</f>
        <v>25178</v>
      </c>
      <c r="M60" s="11">
        <f t="shared" ref="M60" si="55">ROUND(E60,0)</f>
        <v>25252</v>
      </c>
      <c r="N60" s="11">
        <f t="shared" ref="N60" si="56">ROUND(F60,0)</f>
        <v>25051</v>
      </c>
      <c r="O60" s="11">
        <f t="shared" ref="O60" si="57">ROUND(G60,0)</f>
        <v>24841</v>
      </c>
      <c r="P60" s="11">
        <f t="shared" ref="P60" si="58">ROUND(H60,0)</f>
        <v>24362</v>
      </c>
      <c r="R60" s="2">
        <v>25000</v>
      </c>
      <c r="S60" s="2">
        <f>25000*1.05</f>
        <v>26250</v>
      </c>
      <c r="T60" s="2">
        <f>1.05*S60</f>
        <v>27562.5</v>
      </c>
      <c r="U60" s="2">
        <f>1.05*T60</f>
        <v>28940.625</v>
      </c>
      <c r="V60" s="2">
        <f>1.05*U60</f>
        <v>30387.65625</v>
      </c>
      <c r="W60" s="2">
        <f t="shared" ref="W60:X60" si="59">1.05*V60</f>
        <v>31907.0390625</v>
      </c>
      <c r="X60" s="2">
        <f t="shared" si="59"/>
        <v>33502.391015624999</v>
      </c>
    </row>
    <row r="61" spans="1:24" x14ac:dyDescent="0.25">
      <c r="B61" s="12"/>
      <c r="C61" s="12"/>
      <c r="D61" s="12"/>
      <c r="E61" s="12"/>
      <c r="F61" s="12"/>
      <c r="G61" s="12"/>
      <c r="H61" s="12"/>
      <c r="J61" s="11"/>
      <c r="K61" s="11"/>
      <c r="L61" s="11"/>
      <c r="M61" s="11"/>
      <c r="N61" s="11"/>
      <c r="O61" s="11"/>
      <c r="P61" s="11"/>
    </row>
    <row r="62" spans="1:24" x14ac:dyDescent="0.25">
      <c r="A62" s="10" t="s">
        <v>47</v>
      </c>
      <c r="B62" s="12"/>
      <c r="C62" s="12"/>
      <c r="D62" s="12"/>
      <c r="E62" s="12"/>
      <c r="F62" s="12"/>
      <c r="G62" s="12"/>
      <c r="H62" s="12"/>
      <c r="J62" s="11"/>
      <c r="K62" s="11"/>
      <c r="L62" s="11"/>
      <c r="M62" s="11"/>
      <c r="N62" s="11"/>
      <c r="O62" s="11"/>
      <c r="P62" s="11"/>
      <c r="Q62" s="12"/>
      <c r="R62" s="12"/>
    </row>
    <row r="63" spans="1:24" x14ac:dyDescent="0.25">
      <c r="A63" s="3" t="s">
        <v>27</v>
      </c>
      <c r="B63" s="12">
        <f>B38</f>
        <v>25000</v>
      </c>
      <c r="C63" s="12">
        <f t="shared" ref="C63:F63" si="60">C38</f>
        <v>0</v>
      </c>
      <c r="D63" s="12">
        <f t="shared" si="60"/>
        <v>0</v>
      </c>
      <c r="E63" s="12">
        <f t="shared" si="60"/>
        <v>0</v>
      </c>
      <c r="F63" s="12">
        <f t="shared" si="60"/>
        <v>0</v>
      </c>
      <c r="G63" s="12">
        <f t="shared" ref="G63:H63" si="61">G38</f>
        <v>0</v>
      </c>
      <c r="H63" s="12">
        <f t="shared" si="61"/>
        <v>0</v>
      </c>
      <c r="J63" s="11">
        <f t="shared" ref="J63:J80" si="62">ROUND(B63,0)</f>
        <v>25000</v>
      </c>
      <c r="K63" s="11">
        <f t="shared" ref="K63:K80" si="63">ROUND(C63,0)</f>
        <v>0</v>
      </c>
      <c r="L63" s="11">
        <f t="shared" ref="L63:L80" si="64">ROUND(D63,0)</f>
        <v>0</v>
      </c>
      <c r="M63" s="11">
        <f t="shared" ref="M63:M80" si="65">ROUND(E63,0)</f>
        <v>0</v>
      </c>
      <c r="N63" s="11">
        <f t="shared" ref="N63:N80" si="66">ROUND(F63,0)</f>
        <v>0</v>
      </c>
      <c r="O63" s="11">
        <f t="shared" ref="O63:O80" si="67">ROUND(G63,0)</f>
        <v>0</v>
      </c>
      <c r="P63" s="11">
        <f t="shared" ref="P63:P80" si="68">ROUND(H63,0)</f>
        <v>0</v>
      </c>
    </row>
    <row r="64" spans="1:24" x14ac:dyDescent="0.25">
      <c r="A64" s="3" t="s">
        <v>48</v>
      </c>
      <c r="B64" s="12">
        <f>B40</f>
        <v>1559.3304687499999</v>
      </c>
      <c r="C64" s="12">
        <f t="shared" ref="C64:F64" si="69">C40</f>
        <v>1562.0406528414851</v>
      </c>
      <c r="D64" s="12">
        <f t="shared" si="69"/>
        <v>1564.1757778770698</v>
      </c>
      <c r="E64" s="12">
        <f t="shared" si="69"/>
        <v>1565.7240679838451</v>
      </c>
      <c r="F64" s="12">
        <f t="shared" si="69"/>
        <v>1550.5230069380698</v>
      </c>
      <c r="G64" s="12">
        <f t="shared" ref="G64:H64" si="70">G40</f>
        <v>1534.8690015296345</v>
      </c>
      <c r="H64" s="12">
        <f t="shared" si="70"/>
        <v>1502.9416831601018</v>
      </c>
      <c r="J64" s="11">
        <v>1559</v>
      </c>
      <c r="K64" s="11">
        <v>1562</v>
      </c>
      <c r="L64" s="11">
        <v>1564</v>
      </c>
      <c r="M64" s="11">
        <v>1566</v>
      </c>
      <c r="N64" s="11">
        <v>1551</v>
      </c>
      <c r="O64" s="11">
        <v>1535</v>
      </c>
      <c r="P64" s="11">
        <v>1503</v>
      </c>
    </row>
    <row r="65" spans="1:16" x14ac:dyDescent="0.25">
      <c r="A65" s="3" t="s">
        <v>49</v>
      </c>
      <c r="B65" s="12">
        <f>$B$3*B49</f>
        <v>28.678290000000001</v>
      </c>
      <c r="C65" s="12">
        <f t="shared" ref="C65:F65" si="71">$B$3*C49</f>
        <v>27.404084897009998</v>
      </c>
      <c r="D65" s="12">
        <f t="shared" si="71"/>
        <v>26.176053044605183</v>
      </c>
      <c r="E65" s="12">
        <f t="shared" si="71"/>
        <v>24.731187268649066</v>
      </c>
      <c r="F65" s="12">
        <f t="shared" si="71"/>
        <v>23.356355837197594</v>
      </c>
      <c r="G65" s="12">
        <f t="shared" ref="G65:H65" si="72">$B$3*G49</f>
        <v>21.814976490077573</v>
      </c>
      <c r="H65" s="12">
        <f t="shared" si="72"/>
        <v>20.148115951447238</v>
      </c>
      <c r="J65" s="11">
        <f t="shared" si="62"/>
        <v>29</v>
      </c>
      <c r="K65" s="11">
        <f t="shared" si="63"/>
        <v>27</v>
      </c>
      <c r="L65" s="11">
        <f t="shared" si="64"/>
        <v>26</v>
      </c>
      <c r="M65" s="11">
        <f t="shared" si="65"/>
        <v>25</v>
      </c>
      <c r="N65" s="11">
        <f t="shared" si="66"/>
        <v>23</v>
      </c>
      <c r="O65" s="11">
        <f t="shared" si="67"/>
        <v>22</v>
      </c>
      <c r="P65" s="11">
        <f t="shared" si="68"/>
        <v>20</v>
      </c>
    </row>
    <row r="66" spans="1:16" x14ac:dyDescent="0.25">
      <c r="A66" s="3" t="s">
        <v>74</v>
      </c>
      <c r="B66" s="12">
        <f>SUM(B63:B65)</f>
        <v>26588.008758749998</v>
      </c>
      <c r="C66" s="12">
        <f t="shared" ref="C66:H66" si="73">SUM(C63:C65)</f>
        <v>1589.4447377384952</v>
      </c>
      <c r="D66" s="12">
        <f t="shared" si="73"/>
        <v>1590.3518309216749</v>
      </c>
      <c r="E66" s="12">
        <f t="shared" si="73"/>
        <v>1590.4552552524942</v>
      </c>
      <c r="F66" s="12">
        <f t="shared" si="73"/>
        <v>1573.8793627752673</v>
      </c>
      <c r="G66" s="12">
        <f t="shared" si="73"/>
        <v>1556.683978019712</v>
      </c>
      <c r="H66" s="12">
        <f t="shared" si="73"/>
        <v>1523.0897991115489</v>
      </c>
      <c r="J66" s="11">
        <f>SUM(J63:J65)</f>
        <v>26588</v>
      </c>
      <c r="K66" s="11">
        <f t="shared" ref="K66:P66" si="74">SUM(K63:K65)</f>
        <v>1589</v>
      </c>
      <c r="L66" s="11">
        <f t="shared" si="74"/>
        <v>1590</v>
      </c>
      <c r="M66" s="11">
        <f t="shared" si="74"/>
        <v>1591</v>
      </c>
      <c r="N66" s="11">
        <f t="shared" si="74"/>
        <v>1574</v>
      </c>
      <c r="O66" s="11">
        <f t="shared" si="74"/>
        <v>1557</v>
      </c>
      <c r="P66" s="11">
        <f t="shared" si="74"/>
        <v>1523</v>
      </c>
    </row>
    <row r="67" spans="1:16" x14ac:dyDescent="0.25">
      <c r="A67" s="3"/>
      <c r="B67" s="12"/>
      <c r="C67" s="12"/>
      <c r="D67" s="12"/>
      <c r="E67" s="12"/>
      <c r="F67" s="12"/>
      <c r="G67" s="12"/>
      <c r="H67" s="12"/>
      <c r="J67" s="11"/>
      <c r="K67" s="11"/>
      <c r="L67" s="11"/>
      <c r="M67" s="11"/>
      <c r="N67" s="11"/>
      <c r="O67" s="11"/>
      <c r="P67" s="11"/>
    </row>
    <row r="68" spans="1:16" x14ac:dyDescent="0.25">
      <c r="A68" s="10" t="s">
        <v>50</v>
      </c>
      <c r="B68" s="12"/>
      <c r="C68" s="12"/>
      <c r="D68" s="12"/>
      <c r="E68" s="12"/>
      <c r="F68" s="12"/>
      <c r="G68" s="12"/>
      <c r="H68" s="12"/>
      <c r="J68" s="11"/>
      <c r="K68" s="11"/>
      <c r="L68" s="11"/>
      <c r="M68" s="11"/>
      <c r="N68" s="11"/>
      <c r="O68" s="11"/>
      <c r="P68" s="11"/>
    </row>
    <row r="69" spans="1:16" x14ac:dyDescent="0.25">
      <c r="A69" s="3" t="s">
        <v>51</v>
      </c>
      <c r="B69" s="12"/>
      <c r="C69" s="12"/>
      <c r="D69" s="12"/>
      <c r="E69" s="12"/>
      <c r="F69" s="12"/>
      <c r="G69" s="12"/>
      <c r="H69" s="12"/>
      <c r="I69" s="11"/>
      <c r="J69" s="11"/>
      <c r="K69" s="11"/>
      <c r="L69" s="11"/>
      <c r="M69" s="11"/>
      <c r="N69" s="11"/>
      <c r="O69" s="11"/>
      <c r="P69" s="11"/>
    </row>
    <row r="70" spans="1:16" x14ac:dyDescent="0.25">
      <c r="A70" s="3" t="s">
        <v>64</v>
      </c>
      <c r="B70" s="12">
        <f>B1*B31</f>
        <v>250</v>
      </c>
      <c r="C70" s="12">
        <f t="shared" ref="C70:F70" si="75">C1*C31</f>
        <v>0</v>
      </c>
      <c r="D70" s="12">
        <f t="shared" si="75"/>
        <v>0</v>
      </c>
      <c r="E70" s="12">
        <f t="shared" si="75"/>
        <v>0</v>
      </c>
      <c r="F70" s="12">
        <f t="shared" si="75"/>
        <v>0</v>
      </c>
      <c r="G70" s="12">
        <f t="shared" ref="G70:H70" si="76">G1*G31</f>
        <v>0</v>
      </c>
      <c r="H70" s="12">
        <f t="shared" si="76"/>
        <v>0</v>
      </c>
      <c r="J70" s="11">
        <f t="shared" si="62"/>
        <v>250</v>
      </c>
      <c r="K70" s="11">
        <f t="shared" si="63"/>
        <v>0</v>
      </c>
      <c r="L70" s="11">
        <f t="shared" si="64"/>
        <v>0</v>
      </c>
      <c r="M70" s="11">
        <f t="shared" si="65"/>
        <v>0</v>
      </c>
      <c r="N70" s="11">
        <f t="shared" si="66"/>
        <v>0</v>
      </c>
      <c r="O70" s="11">
        <f t="shared" si="67"/>
        <v>0</v>
      </c>
      <c r="P70" s="11">
        <f t="shared" si="68"/>
        <v>0</v>
      </c>
    </row>
    <row r="71" spans="1:16" x14ac:dyDescent="0.25">
      <c r="A71" s="3" t="s">
        <v>65</v>
      </c>
      <c r="B71" s="12">
        <f>B49*B32*(1+$B$17)^(B37-1)</f>
        <v>95.594300000000004</v>
      </c>
      <c r="C71" s="12">
        <f>C49*C32*(1+$B$17)^(C37-1)</f>
        <v>27.952166594950199</v>
      </c>
      <c r="D71" s="12">
        <f t="shared" ref="D71:F71" si="77">D49*D32*(1+$B$17)^(D37-1)</f>
        <v>27.233565587607231</v>
      </c>
      <c r="E71" s="12">
        <f t="shared" si="77"/>
        <v>26.244933778988536</v>
      </c>
      <c r="F71" s="12">
        <f t="shared" si="77"/>
        <v>25.281670698586399</v>
      </c>
      <c r="G71" s="12">
        <f>G49*G32*(1+$B$17)^(G37-1)</f>
        <v>24.085496764953962</v>
      </c>
      <c r="H71" s="12">
        <f t="shared" ref="H71" si="78">H49*H32*(1+$B$17)^(H37-1)</f>
        <v>22.690051003493412</v>
      </c>
      <c r="I71" s="12"/>
      <c r="J71" s="11">
        <f t="shared" si="62"/>
        <v>96</v>
      </c>
      <c r="K71" s="11">
        <f t="shared" si="63"/>
        <v>28</v>
      </c>
      <c r="L71" s="11">
        <f t="shared" si="64"/>
        <v>27</v>
      </c>
      <c r="M71" s="11">
        <f t="shared" si="65"/>
        <v>26</v>
      </c>
      <c r="N71" s="11">
        <f t="shared" si="66"/>
        <v>25</v>
      </c>
      <c r="O71" s="11">
        <f t="shared" si="67"/>
        <v>24</v>
      </c>
      <c r="P71" s="11">
        <f t="shared" si="68"/>
        <v>23</v>
      </c>
    </row>
    <row r="72" spans="1:16" x14ac:dyDescent="0.25">
      <c r="A72" s="3" t="s">
        <v>53</v>
      </c>
      <c r="B72" s="12">
        <f>B1*B33</f>
        <v>1000</v>
      </c>
      <c r="C72" s="12">
        <f t="shared" ref="C72:F72" si="79">C1*C33</f>
        <v>0</v>
      </c>
      <c r="D72" s="12">
        <f t="shared" si="79"/>
        <v>0</v>
      </c>
      <c r="E72" s="12">
        <f t="shared" si="79"/>
        <v>0</v>
      </c>
      <c r="F72" s="12">
        <f t="shared" si="79"/>
        <v>0</v>
      </c>
      <c r="G72" s="12">
        <f t="shared" ref="G72:H72" si="80">G1*G33</f>
        <v>0</v>
      </c>
      <c r="H72" s="12">
        <f t="shared" si="80"/>
        <v>0</v>
      </c>
      <c r="I72" s="12"/>
      <c r="J72" s="11">
        <f t="shared" si="62"/>
        <v>1000</v>
      </c>
      <c r="K72" s="11">
        <f t="shared" si="63"/>
        <v>0</v>
      </c>
      <c r="L72" s="11">
        <f t="shared" si="64"/>
        <v>0</v>
      </c>
      <c r="M72" s="11">
        <f t="shared" si="65"/>
        <v>0</v>
      </c>
      <c r="N72" s="11">
        <f t="shared" si="66"/>
        <v>0</v>
      </c>
      <c r="O72" s="11">
        <f t="shared" si="67"/>
        <v>0</v>
      </c>
      <c r="P72" s="11">
        <f t="shared" si="68"/>
        <v>0</v>
      </c>
    </row>
    <row r="73" spans="1:16" x14ac:dyDescent="0.25">
      <c r="A73" s="3" t="s">
        <v>54</v>
      </c>
      <c r="B73" s="12">
        <f>$B$35*B51</f>
        <v>100</v>
      </c>
      <c r="C73" s="12">
        <f t="shared" ref="C73:F73" si="81">$B$35*C51</f>
        <v>100.1925784393875</v>
      </c>
      <c r="D73" s="12">
        <f t="shared" si="81"/>
        <v>100.34868872921497</v>
      </c>
      <c r="E73" s="12">
        <f t="shared" si="81"/>
        <v>100.46745526720557</v>
      </c>
      <c r="F73" s="12">
        <f t="shared" si="81"/>
        <v>99.511657281968212</v>
      </c>
      <c r="G73" s="12">
        <f t="shared" ref="G73:H73" si="82">$B$35*G51</f>
        <v>98.526901220855507</v>
      </c>
      <c r="H73" s="12">
        <f t="shared" si="82"/>
        <v>96.49749394158232</v>
      </c>
      <c r="J73" s="11">
        <f t="shared" si="62"/>
        <v>100</v>
      </c>
      <c r="K73" s="11">
        <f t="shared" si="63"/>
        <v>100</v>
      </c>
      <c r="L73" s="11">
        <f t="shared" si="64"/>
        <v>100</v>
      </c>
      <c r="M73" s="11">
        <f t="shared" si="65"/>
        <v>100</v>
      </c>
      <c r="N73" s="11">
        <f t="shared" si="66"/>
        <v>100</v>
      </c>
      <c r="O73" s="11">
        <f t="shared" si="67"/>
        <v>99</v>
      </c>
      <c r="P73" s="11">
        <f t="shared" si="68"/>
        <v>96</v>
      </c>
    </row>
    <row r="74" spans="1:16" x14ac:dyDescent="0.25">
      <c r="A74" s="10" t="s">
        <v>52</v>
      </c>
      <c r="B74" s="12">
        <f>SUM(B70:B73)</f>
        <v>1445.5943</v>
      </c>
      <c r="C74" s="12">
        <f t="shared" ref="C74:F74" si="83">SUM(C70:C73)</f>
        <v>128.14474503433769</v>
      </c>
      <c r="D74" s="12">
        <f t="shared" si="83"/>
        <v>127.5822543168222</v>
      </c>
      <c r="E74" s="12">
        <f t="shared" si="83"/>
        <v>126.7123890461941</v>
      </c>
      <c r="F74" s="12">
        <f t="shared" si="83"/>
        <v>124.79332798055461</v>
      </c>
      <c r="G74" s="12">
        <f t="shared" ref="G74:H74" si="84">SUM(G70:G73)</f>
        <v>122.61239798580947</v>
      </c>
      <c r="H74" s="12">
        <f t="shared" si="84"/>
        <v>119.18754494507573</v>
      </c>
      <c r="J74" s="11">
        <f>SUM(J70:J73)</f>
        <v>1446</v>
      </c>
      <c r="K74" s="11">
        <f t="shared" ref="K74:P74" si="85">SUM(K70:K73)</f>
        <v>128</v>
      </c>
      <c r="L74" s="11">
        <f t="shared" si="85"/>
        <v>127</v>
      </c>
      <c r="M74" s="11">
        <f t="shared" si="85"/>
        <v>126</v>
      </c>
      <c r="N74" s="11">
        <f t="shared" si="85"/>
        <v>125</v>
      </c>
      <c r="O74" s="11">
        <f t="shared" si="85"/>
        <v>123</v>
      </c>
      <c r="P74" s="11">
        <f t="shared" si="85"/>
        <v>119</v>
      </c>
    </row>
    <row r="75" spans="1:16" x14ac:dyDescent="0.25">
      <c r="B75" s="12"/>
      <c r="C75" s="12"/>
      <c r="D75" s="12"/>
      <c r="E75" s="12"/>
      <c r="F75" s="12"/>
      <c r="G75" s="12"/>
      <c r="H75" s="12"/>
      <c r="J75" s="11"/>
      <c r="K75" s="11"/>
      <c r="L75" s="11"/>
      <c r="M75" s="11"/>
      <c r="N75" s="11"/>
      <c r="O75" s="11"/>
      <c r="P75" s="11"/>
    </row>
    <row r="76" spans="1:16" x14ac:dyDescent="0.25">
      <c r="A76" s="10" t="s">
        <v>55</v>
      </c>
      <c r="B76" s="12"/>
      <c r="C76" s="12"/>
      <c r="D76" s="12"/>
      <c r="E76" s="12"/>
      <c r="F76" s="12"/>
      <c r="G76" s="12"/>
      <c r="H76" s="12"/>
      <c r="I76" s="12"/>
      <c r="J76" s="11"/>
      <c r="K76" s="11"/>
      <c r="L76" s="11"/>
      <c r="M76" s="11"/>
      <c r="N76" s="11"/>
      <c r="O76" s="11"/>
      <c r="P76" s="11"/>
    </row>
    <row r="77" spans="1:16" x14ac:dyDescent="0.25">
      <c r="A77" s="3" t="s">
        <v>56</v>
      </c>
      <c r="B77" s="12">
        <f>B45</f>
        <v>101.42500000000001</v>
      </c>
      <c r="C77" s="12">
        <f t="shared" ref="C77:F77" si="86">C45</f>
        <v>110.98832876623152</v>
      </c>
      <c r="D77" s="12">
        <f t="shared" si="86"/>
        <v>120.71947254124561</v>
      </c>
      <c r="E77" s="12">
        <f t="shared" si="86"/>
        <v>130.55745811973364</v>
      </c>
      <c r="F77" s="12">
        <f t="shared" si="86"/>
        <v>139.09241896587108</v>
      </c>
      <c r="G77" s="12">
        <f t="shared" ref="G77:H77" si="87">G45</f>
        <v>147.64256147945198</v>
      </c>
      <c r="H77" s="12">
        <f t="shared" si="87"/>
        <v>154.61310966790026</v>
      </c>
      <c r="J77" s="11">
        <f t="shared" si="62"/>
        <v>101</v>
      </c>
      <c r="K77" s="11">
        <f t="shared" si="63"/>
        <v>111</v>
      </c>
      <c r="L77" s="11">
        <f t="shared" si="64"/>
        <v>121</v>
      </c>
      <c r="M77" s="11">
        <f t="shared" si="65"/>
        <v>131</v>
      </c>
      <c r="N77" s="11">
        <f t="shared" si="66"/>
        <v>139</v>
      </c>
      <c r="O77" s="11">
        <f t="shared" si="67"/>
        <v>148</v>
      </c>
      <c r="P77" s="11">
        <f t="shared" si="68"/>
        <v>155</v>
      </c>
    </row>
    <row r="78" spans="1:16" x14ac:dyDescent="0.25">
      <c r="A78" s="3" t="s">
        <v>57</v>
      </c>
      <c r="B78" s="12">
        <f>B48</f>
        <v>260.83666156250001</v>
      </c>
      <c r="C78" s="12">
        <f t="shared" ref="C78" si="88">C48</f>
        <v>261.24307177240178</v>
      </c>
      <c r="D78" s="12">
        <f>D48</f>
        <v>261.55226300949067</v>
      </c>
      <c r="E78" s="12">
        <f>E48</f>
        <v>261.76256650349382</v>
      </c>
      <c r="F78" s="12">
        <f>F48</f>
        <v>259.1721938679911</v>
      </c>
      <c r="G78" s="12">
        <f t="shared" ref="G78" si="89">G48</f>
        <v>256.50583184896948</v>
      </c>
      <c r="H78" s="12">
        <f>H48</f>
        <v>251.11996054929355</v>
      </c>
      <c r="J78" s="11">
        <f t="shared" si="62"/>
        <v>261</v>
      </c>
      <c r="K78" s="11">
        <f t="shared" si="63"/>
        <v>261</v>
      </c>
      <c r="L78" s="11">
        <f t="shared" si="64"/>
        <v>262</v>
      </c>
      <c r="M78" s="11">
        <f t="shared" si="65"/>
        <v>262</v>
      </c>
      <c r="N78" s="11">
        <f t="shared" si="66"/>
        <v>259</v>
      </c>
      <c r="O78" s="11">
        <f t="shared" si="67"/>
        <v>257</v>
      </c>
      <c r="P78" s="11">
        <f t="shared" si="68"/>
        <v>251</v>
      </c>
    </row>
    <row r="79" spans="1:16" x14ac:dyDescent="0.25">
      <c r="A79" s="3" t="s">
        <v>58</v>
      </c>
      <c r="B79" s="12">
        <f>B46-B47</f>
        <v>712.71009405337509</v>
      </c>
      <c r="C79" s="12">
        <f t="shared" ref="C79:F79" si="90">C46-C47</f>
        <v>721.57948854255085</v>
      </c>
      <c r="D79" s="12">
        <f t="shared" si="90"/>
        <v>730.20160786989607</v>
      </c>
      <c r="E79" s="12">
        <f>E46-E47</f>
        <v>984.75077518614364</v>
      </c>
      <c r="F79" s="12">
        <f t="shared" si="90"/>
        <v>985.26901220855507</v>
      </c>
      <c r="G79" s="12">
        <f t="shared" ref="G79:H79" si="91">G46-G47</f>
        <v>1231.6127516228269</v>
      </c>
      <c r="H79" s="12">
        <f t="shared" si="91"/>
        <v>1461.8195143495475</v>
      </c>
      <c r="J79" s="11">
        <f>J46-J47</f>
        <v>713</v>
      </c>
      <c r="K79" s="11">
        <f t="shared" ref="K79:P79" si="92">K46-K47</f>
        <v>722</v>
      </c>
      <c r="L79" s="11">
        <f t="shared" si="92"/>
        <v>730</v>
      </c>
      <c r="M79" s="11">
        <f t="shared" si="92"/>
        <v>985</v>
      </c>
      <c r="N79" s="11">
        <f t="shared" si="92"/>
        <v>985</v>
      </c>
      <c r="O79" s="11">
        <f t="shared" si="92"/>
        <v>1232</v>
      </c>
      <c r="P79" s="11">
        <f t="shared" si="92"/>
        <v>1462</v>
      </c>
    </row>
    <row r="80" spans="1:16" x14ac:dyDescent="0.25">
      <c r="A80" s="3" t="s">
        <v>59</v>
      </c>
      <c r="B80" s="12">
        <v>25048.144609846877</v>
      </c>
      <c r="C80" s="12">
        <f>C58-B58</f>
        <v>39.027572456863709</v>
      </c>
      <c r="D80" s="12">
        <f t="shared" ref="D80:F80" si="93">D58-C58</f>
        <v>29.69163449764892</v>
      </c>
      <c r="E80" s="12">
        <f t="shared" si="93"/>
        <v>-238.94949630933843</v>
      </c>
      <c r="F80" s="12">
        <f t="shared" si="93"/>
        <v>-246.18901527817434</v>
      </c>
      <c r="G80" s="12">
        <f>G58-F58</f>
        <v>-507.35181981829737</v>
      </c>
      <c r="H80" s="12">
        <f t="shared" ref="H80" si="94">H58-G58</f>
        <v>-755.14995667832409</v>
      </c>
      <c r="J80" s="11">
        <f t="shared" si="62"/>
        <v>25048</v>
      </c>
      <c r="K80" s="11">
        <f t="shared" si="63"/>
        <v>39</v>
      </c>
      <c r="L80" s="11">
        <f t="shared" si="64"/>
        <v>30</v>
      </c>
      <c r="M80" s="11">
        <f t="shared" si="65"/>
        <v>-239</v>
      </c>
      <c r="N80" s="11">
        <f t="shared" si="66"/>
        <v>-246</v>
      </c>
      <c r="O80" s="11">
        <f t="shared" si="67"/>
        <v>-507</v>
      </c>
      <c r="P80" s="11">
        <f t="shared" si="68"/>
        <v>-755</v>
      </c>
    </row>
    <row r="81" spans="1:16" x14ac:dyDescent="0.25">
      <c r="A81" s="3" t="s">
        <v>66</v>
      </c>
      <c r="B81" s="12">
        <f>MAX(0,B60-B57)*B27</f>
        <v>101.42500000000001</v>
      </c>
      <c r="C81" s="12">
        <f>MAX(0,C60-C57)*C27</f>
        <v>0.20098635001848805</v>
      </c>
      <c r="D81" s="12">
        <f>MAX(0,D60-D57)*D27</f>
        <v>0.43467189055803368</v>
      </c>
      <c r="E81" s="12">
        <f t="shared" ref="E81:F81" si="95">MAX(0,E60-E57)*E27</f>
        <v>0.70093654955476981</v>
      </c>
      <c r="F81" s="12">
        <f t="shared" si="95"/>
        <v>0.9663834320790925</v>
      </c>
      <c r="G81" s="12">
        <f>MAX(0,G60-G57)*G27</f>
        <v>1.2548236999597013</v>
      </c>
      <c r="H81" s="12">
        <f>MAX(0,H60-H57)*H27</f>
        <v>1.5216392654889288</v>
      </c>
      <c r="J81" s="11">
        <f>MAX(0,J60-J57)*B27</f>
        <v>101.42500000000001</v>
      </c>
      <c r="K81" s="11">
        <f t="shared" ref="K81:P81" si="96">MAX(0,K60-K57)*C27</f>
        <v>0.20382600000000001</v>
      </c>
      <c r="L81" s="11">
        <f t="shared" si="96"/>
        <v>0.437892</v>
      </c>
      <c r="M81" s="11">
        <f t="shared" si="96"/>
        <v>0.706928</v>
      </c>
      <c r="N81" s="11">
        <f t="shared" si="96"/>
        <v>0.9784250000000001</v>
      </c>
      <c r="O81" s="11">
        <f t="shared" si="96"/>
        <v>1.264734</v>
      </c>
      <c r="P81" s="11">
        <f t="shared" si="96"/>
        <v>1.53816</v>
      </c>
    </row>
    <row r="82" spans="1:16" x14ac:dyDescent="0.25">
      <c r="A82" s="10" t="s">
        <v>60</v>
      </c>
      <c r="B82" s="12">
        <f>SUM(B77:B81)</f>
        <v>26224.541365462752</v>
      </c>
      <c r="C82" s="12">
        <f t="shared" ref="C82:F82" si="97">SUM(C77:C81)</f>
        <v>1133.0394478880662</v>
      </c>
      <c r="D82" s="12">
        <f t="shared" si="97"/>
        <v>1142.5996498088393</v>
      </c>
      <c r="E82" s="12">
        <f t="shared" si="97"/>
        <v>1138.8222400495877</v>
      </c>
      <c r="F82" s="12">
        <f t="shared" si="97"/>
        <v>1138.310993196322</v>
      </c>
      <c r="G82" s="12">
        <f t="shared" ref="G82:H82" si="98">SUM(G77:G81)</f>
        <v>1129.6641488329105</v>
      </c>
      <c r="H82" s="12">
        <f t="shared" si="98"/>
        <v>1113.9242671539059</v>
      </c>
      <c r="J82" s="11">
        <f>SUM(J77:J81)</f>
        <v>26224.424999999999</v>
      </c>
      <c r="K82" s="11">
        <f t="shared" ref="K82:P82" si="99">SUM(K77:K81)</f>
        <v>1133.2038259999999</v>
      </c>
      <c r="L82" s="11">
        <f t="shared" si="99"/>
        <v>1143.4378919999999</v>
      </c>
      <c r="M82" s="11">
        <f t="shared" si="99"/>
        <v>1139.7069280000001</v>
      </c>
      <c r="N82" s="11">
        <f t="shared" si="99"/>
        <v>1137.978425</v>
      </c>
      <c r="O82" s="11">
        <f t="shared" si="99"/>
        <v>1131.2647340000001</v>
      </c>
      <c r="P82" s="11">
        <f t="shared" si="99"/>
        <v>1114.5381600000001</v>
      </c>
    </row>
    <row r="83" spans="1:16" x14ac:dyDescent="0.25">
      <c r="A83" s="3"/>
      <c r="B83" s="12"/>
      <c r="C83" s="12"/>
      <c r="D83" s="12"/>
      <c r="E83" s="12"/>
      <c r="F83" s="12"/>
      <c r="G83" s="12"/>
      <c r="H83" s="12"/>
      <c r="J83" s="11"/>
      <c r="K83" s="11"/>
      <c r="L83" s="11"/>
      <c r="M83" s="11"/>
      <c r="N83" s="11"/>
      <c r="O83" s="11"/>
      <c r="P83" s="11"/>
    </row>
    <row r="84" spans="1:16" x14ac:dyDescent="0.25">
      <c r="A84" s="10" t="s">
        <v>61</v>
      </c>
      <c r="B84" s="12">
        <f>B66-B74-B82</f>
        <v>-1082.1269067127541</v>
      </c>
      <c r="C84" s="12">
        <f>C66-C74-C82</f>
        <v>328.26054481609117</v>
      </c>
      <c r="D84" s="12">
        <f t="shared" ref="D84" si="100">D66-D74-D82</f>
        <v>320.16992679601344</v>
      </c>
      <c r="E84" s="12">
        <f>E66-E74-E82</f>
        <v>324.92062615671239</v>
      </c>
      <c r="F84" s="12">
        <f>F66-F74-F82</f>
        <v>310.77504159839077</v>
      </c>
      <c r="G84" s="12">
        <f>G66-G74-G82</f>
        <v>304.40743120099205</v>
      </c>
      <c r="H84" s="12">
        <f>H66-H74-H82</f>
        <v>289.97798701256716</v>
      </c>
      <c r="J84" s="11">
        <f>J66-J74-J82</f>
        <v>-1082.4249999999993</v>
      </c>
      <c r="K84" s="11">
        <f t="shared" ref="K84:P84" si="101">K66-K74-K82</f>
        <v>327.79617400000006</v>
      </c>
      <c r="L84" s="11">
        <f t="shared" si="101"/>
        <v>319.56210800000008</v>
      </c>
      <c r="M84" s="11">
        <f t="shared" si="101"/>
        <v>325.29307199999994</v>
      </c>
      <c r="N84" s="11">
        <f t="shared" si="101"/>
        <v>311.02157499999998</v>
      </c>
      <c r="O84" s="11">
        <f t="shared" si="101"/>
        <v>302.73526599999991</v>
      </c>
      <c r="P84" s="11">
        <f t="shared" si="101"/>
        <v>289.46183999999994</v>
      </c>
    </row>
    <row r="85" spans="1:16" x14ac:dyDescent="0.25">
      <c r="A85" s="3" t="s">
        <v>62</v>
      </c>
      <c r="B85" s="12">
        <f>B84*$B$19</f>
        <v>-400.38695548371902</v>
      </c>
      <c r="C85" s="12">
        <f t="shared" ref="C85:D85" si="102">C84*$B$19</f>
        <v>121.45640158195373</v>
      </c>
      <c r="D85" s="12">
        <f t="shared" si="102"/>
        <v>118.46287291452498</v>
      </c>
      <c r="E85" s="12">
        <f>E84*$B$19</f>
        <v>120.22063167798358</v>
      </c>
      <c r="F85" s="12">
        <f>F84*$B$19</f>
        <v>114.98676539140459</v>
      </c>
      <c r="G85" s="12">
        <f t="shared" ref="G85:H85" si="103">G84*$B$19</f>
        <v>112.63074954436706</v>
      </c>
      <c r="H85" s="12">
        <f t="shared" si="103"/>
        <v>107.29185519464984</v>
      </c>
      <c r="J85" s="11">
        <f>J84*$B$19</f>
        <v>-400.49724999999972</v>
      </c>
      <c r="K85" s="11">
        <f t="shared" ref="K85:P85" si="104">K84*$B$19</f>
        <v>121.28458438000003</v>
      </c>
      <c r="L85" s="11">
        <f t="shared" si="104"/>
        <v>118.23797996000003</v>
      </c>
      <c r="M85" s="11">
        <f t="shared" si="104"/>
        <v>120.35843663999998</v>
      </c>
      <c r="N85" s="11">
        <f t="shared" si="104"/>
        <v>115.07798274999999</v>
      </c>
      <c r="O85" s="11">
        <f t="shared" si="104"/>
        <v>112.01204841999997</v>
      </c>
      <c r="P85" s="11">
        <f t="shared" si="104"/>
        <v>107.10088079999997</v>
      </c>
    </row>
    <row r="86" spans="1:16" x14ac:dyDescent="0.25">
      <c r="A86" s="10" t="s">
        <v>63</v>
      </c>
      <c r="B86" s="12">
        <f>B84-B85</f>
        <v>-681.73995122903511</v>
      </c>
      <c r="C86" s="12">
        <f t="shared" ref="C86:D86" si="105">C84-C85</f>
        <v>206.80414323413743</v>
      </c>
      <c r="D86" s="12">
        <f t="shared" si="105"/>
        <v>201.70705388148846</v>
      </c>
      <c r="E86" s="12">
        <f>E84-E85</f>
        <v>204.6999944787288</v>
      </c>
      <c r="F86" s="12">
        <f>F84-F85</f>
        <v>195.78827620698618</v>
      </c>
      <c r="G86" s="12">
        <f t="shared" ref="G86:H86" si="106">G84-G85</f>
        <v>191.77668165662499</v>
      </c>
      <c r="H86" s="12">
        <f>H84-H85</f>
        <v>182.68613181791733</v>
      </c>
      <c r="J86" s="11">
        <f>J84-J85</f>
        <v>-681.92774999999961</v>
      </c>
      <c r="K86" s="11">
        <f t="shared" ref="K86:P86" si="107">K84-K85</f>
        <v>206.51158962000005</v>
      </c>
      <c r="L86" s="11">
        <f t="shared" si="107"/>
        <v>201.32412804000006</v>
      </c>
      <c r="M86" s="11">
        <f t="shared" si="107"/>
        <v>204.93463535999996</v>
      </c>
      <c r="N86" s="11">
        <f t="shared" si="107"/>
        <v>195.94359224999999</v>
      </c>
      <c r="O86" s="11">
        <f t="shared" si="107"/>
        <v>190.72321757999993</v>
      </c>
      <c r="P86" s="11">
        <f t="shared" si="107"/>
        <v>182.36095919999997</v>
      </c>
    </row>
    <row r="87" spans="1:16" x14ac:dyDescent="0.25">
      <c r="B87" s="12"/>
      <c r="C87" s="12"/>
      <c r="D87" s="12"/>
      <c r="E87" s="12"/>
      <c r="F87" s="12"/>
      <c r="G87" s="12"/>
      <c r="H87" s="12"/>
      <c r="J87" s="11"/>
      <c r="K87" s="11"/>
      <c r="L87" s="11"/>
      <c r="M87" s="11"/>
      <c r="N87" s="11"/>
      <c r="O87" s="11"/>
      <c r="P87" s="11"/>
    </row>
    <row r="88" spans="1:16" x14ac:dyDescent="0.25">
      <c r="A88" s="10" t="s">
        <v>67</v>
      </c>
      <c r="B88" s="12">
        <v>212.90922918369847</v>
      </c>
      <c r="C88" s="12">
        <f>C90-C89</f>
        <v>0.33173436588333516</v>
      </c>
      <c r="D88" s="12">
        <f t="shared" ref="D88:F88" si="108">D90-D89</f>
        <v>0.2523788932300306</v>
      </c>
      <c r="E88" s="12">
        <f t="shared" si="108"/>
        <v>-2.0310707186293939</v>
      </c>
      <c r="F88" s="12">
        <f t="shared" si="108"/>
        <v>-2.0926066298644628</v>
      </c>
      <c r="G88" s="12">
        <f>G90-G89</f>
        <v>-4.3124904684555361</v>
      </c>
      <c r="H88" s="12">
        <f t="shared" ref="H88" si="109">H90-H89</f>
        <v>-6.418774631765757</v>
      </c>
      <c r="J88" s="11">
        <f>J90-J89</f>
        <v>212.90800000000002</v>
      </c>
      <c r="K88" s="11">
        <f t="shared" ref="K88:P88" si="110">K90-K89</f>
        <v>0.33150000000000546</v>
      </c>
      <c r="L88" s="11">
        <f t="shared" si="110"/>
        <v>0.2464999999999975</v>
      </c>
      <c r="M88" s="11">
        <f t="shared" si="110"/>
        <v>-2.039999999999992</v>
      </c>
      <c r="N88" s="11">
        <f t="shared" si="110"/>
        <v>-2.0910000000000082</v>
      </c>
      <c r="O88" s="11">
        <f t="shared" si="110"/>
        <v>-4.3180000000000121</v>
      </c>
      <c r="P88" s="11">
        <f t="shared" si="110"/>
        <v>-6.4259999999999877</v>
      </c>
    </row>
    <row r="89" spans="1:16" x14ac:dyDescent="0.25">
      <c r="A89" s="3" t="s">
        <v>68</v>
      </c>
      <c r="B89" s="12">
        <v>0</v>
      </c>
      <c r="C89" s="12">
        <f>B90</f>
        <v>212.90922918369847</v>
      </c>
      <c r="D89" s="12">
        <f t="shared" ref="D89:F89" si="111">C90</f>
        <v>213.24096354958181</v>
      </c>
      <c r="E89" s="12">
        <f t="shared" si="111"/>
        <v>213.49334244281184</v>
      </c>
      <c r="F89" s="12">
        <f t="shared" si="111"/>
        <v>211.46227172418244</v>
      </c>
      <c r="G89" s="12">
        <f>F90</f>
        <v>209.36966509431798</v>
      </c>
      <c r="H89" s="12">
        <f t="shared" ref="H89" si="112">G90</f>
        <v>205.05717462586244</v>
      </c>
      <c r="J89" s="11">
        <f>J57*$B$7</f>
        <v>0</v>
      </c>
      <c r="K89" s="11">
        <f t="shared" ref="K89:P89" si="113">K57*$B$7</f>
        <v>212.90800000000002</v>
      </c>
      <c r="L89" s="11">
        <f t="shared" si="113"/>
        <v>213.23950000000002</v>
      </c>
      <c r="M89" s="11">
        <f t="shared" si="113"/>
        <v>213.48600000000002</v>
      </c>
      <c r="N89" s="11">
        <f t="shared" si="113"/>
        <v>211.44600000000003</v>
      </c>
      <c r="O89" s="11">
        <f t="shared" si="113"/>
        <v>209.35500000000002</v>
      </c>
      <c r="P89" s="11">
        <f t="shared" si="113"/>
        <v>205.03700000000001</v>
      </c>
    </row>
    <row r="90" spans="1:16" x14ac:dyDescent="0.25">
      <c r="A90" s="3" t="s">
        <v>69</v>
      </c>
      <c r="B90" s="12">
        <f>B58*$B$7</f>
        <v>212.90922918369847</v>
      </c>
      <c r="C90" s="12">
        <f>C58*$B$7</f>
        <v>213.24096354958181</v>
      </c>
      <c r="D90" s="12">
        <f t="shared" ref="D90:F90" si="114">D58*$B$7</f>
        <v>213.49334244281184</v>
      </c>
      <c r="E90" s="12">
        <f t="shared" si="114"/>
        <v>211.46227172418244</v>
      </c>
      <c r="F90" s="12">
        <f t="shared" si="114"/>
        <v>209.36966509431798</v>
      </c>
      <c r="G90" s="12">
        <f>G58*$B$7</f>
        <v>205.05717462586244</v>
      </c>
      <c r="H90" s="12">
        <f t="shared" ref="H90" si="115">H58*$B$7</f>
        <v>198.63839999409669</v>
      </c>
      <c r="J90" s="11">
        <f>J58*$B$7</f>
        <v>212.90800000000002</v>
      </c>
      <c r="K90" s="11">
        <f t="shared" ref="K90:P90" si="116">K58*$B$7</f>
        <v>213.23950000000002</v>
      </c>
      <c r="L90" s="11">
        <f t="shared" si="116"/>
        <v>213.48600000000002</v>
      </c>
      <c r="M90" s="11">
        <f t="shared" si="116"/>
        <v>211.44600000000003</v>
      </c>
      <c r="N90" s="11">
        <f t="shared" si="116"/>
        <v>209.35500000000002</v>
      </c>
      <c r="O90" s="11">
        <f t="shared" si="116"/>
        <v>205.03700000000001</v>
      </c>
      <c r="P90" s="11">
        <f t="shared" si="116"/>
        <v>198.61100000000002</v>
      </c>
    </row>
    <row r="91" spans="1:16" x14ac:dyDescent="0.25">
      <c r="A91" s="10" t="s">
        <v>70</v>
      </c>
      <c r="B91" s="12">
        <f>B92-B93</f>
        <v>0</v>
      </c>
      <c r="C91" s="12">
        <f>C92-C93</f>
        <v>6.7066407192865025</v>
      </c>
      <c r="D91" s="12">
        <f t="shared" ref="D91:F91" si="117">D92-D93</f>
        <v>6.7170903518118275</v>
      </c>
      <c r="E91" s="12">
        <f t="shared" si="117"/>
        <v>6.7250402869485733</v>
      </c>
      <c r="F91" s="12">
        <f t="shared" si="117"/>
        <v>6.6610615593117473</v>
      </c>
      <c r="G91" s="12">
        <f>G92-G93</f>
        <v>6.5951444504710164</v>
      </c>
      <c r="H91" s="12">
        <f t="shared" ref="H91" si="118">H92-H93</f>
        <v>6.4593010007146674</v>
      </c>
      <c r="J91" s="11">
        <f>J92-J93</f>
        <v>0</v>
      </c>
      <c r="K91" s="11">
        <f t="shared" ref="K91:O91" si="119">K92-K93</f>
        <v>6.706602000000002</v>
      </c>
      <c r="L91" s="11">
        <f t="shared" si="119"/>
        <v>6.7170442500000007</v>
      </c>
      <c r="M91" s="11">
        <f t="shared" si="119"/>
        <v>6.7248090000000014</v>
      </c>
      <c r="N91" s="11">
        <f t="shared" si="119"/>
        <v>6.6605490000000014</v>
      </c>
      <c r="O91" s="11">
        <f t="shared" si="119"/>
        <v>6.5946825000000011</v>
      </c>
      <c r="P91" s="11">
        <f>P92-P93</f>
        <v>6.4586655000000004</v>
      </c>
    </row>
    <row r="92" spans="1:16" x14ac:dyDescent="0.25">
      <c r="A92" s="3" t="s">
        <v>72</v>
      </c>
      <c r="B92" s="12">
        <f>B89*$B$15</f>
        <v>0</v>
      </c>
      <c r="C92" s="12">
        <f t="shared" ref="C92:F92" si="120">C89*$B$15</f>
        <v>10.645461459184924</v>
      </c>
      <c r="D92" s="12">
        <f t="shared" si="120"/>
        <v>10.662048177479091</v>
      </c>
      <c r="E92" s="12">
        <f t="shared" si="120"/>
        <v>10.674667122140592</v>
      </c>
      <c r="F92" s="12">
        <f t="shared" si="120"/>
        <v>10.573113586209123</v>
      </c>
      <c r="G92" s="12">
        <f t="shared" ref="G92:H92" si="121">G89*$B$15</f>
        <v>10.468483254715899</v>
      </c>
      <c r="H92" s="12">
        <f t="shared" si="121"/>
        <v>10.252858731293124</v>
      </c>
      <c r="J92" s="11">
        <f>J89*$B$15</f>
        <v>0</v>
      </c>
      <c r="K92" s="11">
        <f t="shared" ref="K92:P92" si="122">K89*$B$15</f>
        <v>10.645400000000002</v>
      </c>
      <c r="L92" s="11">
        <f t="shared" si="122"/>
        <v>10.661975000000002</v>
      </c>
      <c r="M92" s="11">
        <f t="shared" si="122"/>
        <v>10.674300000000002</v>
      </c>
      <c r="N92" s="11">
        <f t="shared" si="122"/>
        <v>10.572300000000002</v>
      </c>
      <c r="O92" s="11">
        <f t="shared" si="122"/>
        <v>10.467750000000002</v>
      </c>
      <c r="P92" s="11">
        <f t="shared" si="122"/>
        <v>10.251850000000001</v>
      </c>
    </row>
    <row r="93" spans="1:16" x14ac:dyDescent="0.25">
      <c r="A93" s="3" t="s">
        <v>71</v>
      </c>
      <c r="B93" s="12">
        <f>B92*$B$19</f>
        <v>0</v>
      </c>
      <c r="C93" s="12">
        <f>C92*$B$19</f>
        <v>3.9388207398984219</v>
      </c>
      <c r="D93" s="12">
        <f t="shared" ref="D93:F93" si="123">D92*$B$19</f>
        <v>3.9449578256672639</v>
      </c>
      <c r="E93" s="12">
        <f t="shared" si="123"/>
        <v>3.949626835192019</v>
      </c>
      <c r="F93" s="12">
        <f t="shared" si="123"/>
        <v>3.9120520268973755</v>
      </c>
      <c r="G93" s="12">
        <f>G92*$B$19</f>
        <v>3.8733388042448826</v>
      </c>
      <c r="H93" s="12">
        <f t="shared" ref="H93" si="124">H92*$B$19</f>
        <v>3.7935577305784558</v>
      </c>
      <c r="J93" s="11">
        <f>J92*$B$19</f>
        <v>0</v>
      </c>
      <c r="K93" s="11">
        <f t="shared" ref="K93:P93" si="125">K92*$B$19</f>
        <v>3.9387980000000007</v>
      </c>
      <c r="L93" s="11">
        <f t="shared" si="125"/>
        <v>3.9449307500000006</v>
      </c>
      <c r="M93" s="11">
        <f t="shared" si="125"/>
        <v>3.949491000000001</v>
      </c>
      <c r="N93" s="11">
        <f t="shared" si="125"/>
        <v>3.9117510000000006</v>
      </c>
      <c r="O93" s="11">
        <f t="shared" si="125"/>
        <v>3.8730675000000008</v>
      </c>
      <c r="P93" s="11">
        <f t="shared" si="125"/>
        <v>3.7931845000000002</v>
      </c>
    </row>
    <row r="94" spans="1:16" x14ac:dyDescent="0.25">
      <c r="A94" s="3"/>
      <c r="B94" s="12"/>
      <c r="C94" s="12"/>
      <c r="D94" s="12"/>
      <c r="E94" s="12"/>
      <c r="F94" s="12"/>
      <c r="G94" s="12"/>
      <c r="H94" s="12"/>
      <c r="J94" s="11"/>
      <c r="K94" s="11"/>
      <c r="L94" s="11"/>
      <c r="M94" s="11"/>
      <c r="N94" s="11"/>
      <c r="O94" s="11"/>
      <c r="P94" s="11"/>
    </row>
    <row r="95" spans="1:16" x14ac:dyDescent="0.25">
      <c r="A95" s="10" t="s">
        <v>73</v>
      </c>
      <c r="B95" s="12">
        <f>B86+B91-B88</f>
        <v>-894.64918041273359</v>
      </c>
      <c r="C95" s="12">
        <f>C86+C91-C88</f>
        <v>213.17904958754059</v>
      </c>
      <c r="D95" s="12">
        <f t="shared" ref="D95:H95" si="126">D86+D91-D88</f>
        <v>208.17176534007027</v>
      </c>
      <c r="E95" s="12">
        <f t="shared" si="126"/>
        <v>213.45610548430676</v>
      </c>
      <c r="F95" s="12">
        <f t="shared" si="126"/>
        <v>204.54194439616239</v>
      </c>
      <c r="G95" s="12">
        <f>G86+G91-G88</f>
        <v>202.68431657555155</v>
      </c>
      <c r="H95" s="12">
        <f>H86+H91-H88</f>
        <v>195.56420745039776</v>
      </c>
      <c r="J95" s="11">
        <f>J86+J91-J88</f>
        <v>-894.83574999999962</v>
      </c>
      <c r="K95" s="11">
        <f t="shared" ref="K95:P95" si="127">K86+K91-K88</f>
        <v>212.88669162000005</v>
      </c>
      <c r="L95" s="11">
        <f t="shared" si="127"/>
        <v>207.79467229000008</v>
      </c>
      <c r="M95" s="11">
        <f t="shared" si="127"/>
        <v>213.69944435999994</v>
      </c>
      <c r="N95" s="11">
        <f t="shared" si="127"/>
        <v>204.69514125000001</v>
      </c>
      <c r="O95" s="11">
        <f t="shared" si="127"/>
        <v>201.63590007999994</v>
      </c>
      <c r="P95" s="11">
        <f t="shared" si="127"/>
        <v>195.24562469999995</v>
      </c>
    </row>
    <row r="96" spans="1:16" x14ac:dyDescent="0.25">
      <c r="B96" s="11"/>
      <c r="C96" s="11"/>
      <c r="D96" s="11"/>
      <c r="E96" s="11"/>
      <c r="F96" s="11"/>
      <c r="G96" s="11"/>
      <c r="H96" s="11"/>
      <c r="J96" s="11"/>
      <c r="K96" s="11"/>
      <c r="L96" s="11"/>
      <c r="M96" s="11"/>
      <c r="N96" s="11"/>
      <c r="O96" s="11"/>
      <c r="P96" s="11"/>
    </row>
    <row r="97" spans="1:16" x14ac:dyDescent="0.25">
      <c r="A97" s="3" t="s">
        <v>77</v>
      </c>
      <c r="B97" s="19">
        <f>NPV($B$21,$B$95:$H$95)</f>
        <v>57.581020224044707</v>
      </c>
      <c r="C97" s="19"/>
      <c r="D97" s="19"/>
      <c r="E97" s="19"/>
      <c r="F97" s="19"/>
      <c r="G97" s="19"/>
      <c r="H97" s="19"/>
      <c r="I97" s="19"/>
      <c r="J97" s="19">
        <f>NPV($B$21,$J$95:$P$95)</f>
        <v>56.294826485965878</v>
      </c>
      <c r="K97" s="11"/>
      <c r="L97" s="11"/>
      <c r="M97" s="11"/>
      <c r="N97" s="11"/>
      <c r="O97" s="11"/>
      <c r="P97" s="11"/>
    </row>
    <row r="98" spans="1:16" x14ac:dyDescent="0.25">
      <c r="A98" s="10" t="s">
        <v>79</v>
      </c>
      <c r="B98" s="7">
        <f>B97/B1</f>
        <v>2.3032408089617884E-3</v>
      </c>
      <c r="C98" s="11"/>
      <c r="D98" s="11"/>
      <c r="E98" s="11"/>
      <c r="F98" s="11"/>
      <c r="G98" s="11"/>
      <c r="H98" s="11"/>
      <c r="J98" s="7">
        <f>J97/B1</f>
        <v>2.2517930594386352E-3</v>
      </c>
      <c r="K98" s="11"/>
      <c r="L98" s="11"/>
      <c r="M98" s="11"/>
      <c r="N98" s="11"/>
      <c r="O98" s="11"/>
      <c r="P98" s="11"/>
    </row>
    <row r="99" spans="1:16" x14ac:dyDescent="0.25">
      <c r="A99" s="10" t="s">
        <v>78</v>
      </c>
      <c r="B99" s="7">
        <f>IRR($B$95:$H$95)</f>
        <v>0.10289911158483744</v>
      </c>
      <c r="C99" s="11"/>
      <c r="D99" s="11"/>
      <c r="E99" s="11"/>
      <c r="F99" s="11"/>
      <c r="G99" s="11"/>
      <c r="H99" s="11"/>
      <c r="J99" s="7">
        <f>IRR($J$95:$P$95)</f>
        <v>0.10239536568572949</v>
      </c>
      <c r="K99" s="11"/>
      <c r="L99" s="11"/>
      <c r="M99" s="11"/>
      <c r="N99" s="11"/>
      <c r="O99" s="11"/>
      <c r="P9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2017-07-08T15:02:14Z</dcterms:created>
  <dcterms:modified xsi:type="dcterms:W3CDTF">2017-08-01T15:58:27Z</dcterms:modified>
</cp:coreProperties>
</file>