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qww\Desktop\코스모신소재\"/>
    </mc:Choice>
  </mc:AlternateContent>
  <xr:revisionPtr revIDLastSave="0" documentId="13_ncr:1_{FB9B9EEB-CAD4-41B5-92FC-A6895A930F98}" xr6:coauthVersionLast="46" xr6:coauthVersionMax="46" xr10:uidLastSave="{00000000-0000-0000-0000-000000000000}"/>
  <bookViews>
    <workbookView xWindow="-108" yWindow="-108" windowWidth="23256" windowHeight="12576" xr2:uid="{C8C9927D-1688-4161-AD04-43324EF5CB91}"/>
  </bookViews>
  <sheets>
    <sheet name="value" sheetId="5" r:id="rId1"/>
    <sheet name="수주 스케쥴" sheetId="6" r:id="rId2"/>
    <sheet name="장비사업부" sheetId="4" r:id="rId3"/>
    <sheet name="산업 및 기업 분석" sheetId="1" r:id="rId4"/>
    <sheet name="연도별valu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5" l="1"/>
  <c r="M13" i="5" s="1"/>
  <c r="N13" i="5" s="1"/>
  <c r="O13" i="5" s="1"/>
  <c r="P13" i="5" s="1"/>
  <c r="Q13" i="5" s="1"/>
  <c r="L16" i="5"/>
  <c r="M16" i="5" s="1"/>
  <c r="N16" i="5" s="1"/>
  <c r="O16" i="5" s="1"/>
  <c r="P16" i="5" s="1"/>
  <c r="Q16" i="5" s="1"/>
  <c r="Q38" i="5"/>
  <c r="P38" i="5"/>
  <c r="O38" i="5"/>
  <c r="N38" i="5"/>
  <c r="M38" i="5"/>
  <c r="L38" i="5"/>
  <c r="L35" i="5"/>
  <c r="C33" i="5"/>
  <c r="D33" i="5"/>
  <c r="E33" i="5"/>
  <c r="F33" i="5"/>
  <c r="G33" i="5"/>
  <c r="H33" i="5"/>
  <c r="I33" i="5"/>
  <c r="J33" i="5"/>
  <c r="K33" i="5"/>
  <c r="Q35" i="5"/>
  <c r="P35" i="5"/>
  <c r="O35" i="5"/>
  <c r="N35" i="5"/>
  <c r="M35" i="5"/>
  <c r="Q34" i="5"/>
  <c r="P34" i="5"/>
  <c r="O34" i="5"/>
  <c r="N34" i="5"/>
  <c r="M34" i="5"/>
  <c r="L34" i="5"/>
  <c r="L33" i="5" s="1"/>
  <c r="L32" i="5"/>
  <c r="K30" i="5"/>
  <c r="J30" i="5"/>
  <c r="I30" i="5"/>
  <c r="H30" i="5"/>
  <c r="G30" i="5"/>
  <c r="F30" i="5"/>
  <c r="E30" i="5"/>
  <c r="D30" i="5"/>
  <c r="C30" i="5"/>
  <c r="Q32" i="5"/>
  <c r="P32" i="5"/>
  <c r="O32" i="5"/>
  <c r="N32" i="5"/>
  <c r="M32" i="5"/>
  <c r="Q31" i="5"/>
  <c r="P31" i="5"/>
  <c r="O31" i="5"/>
  <c r="N31" i="5"/>
  <c r="M31" i="5"/>
  <c r="L31" i="5"/>
  <c r="L30" i="5" s="1"/>
  <c r="M23" i="5"/>
  <c r="L23" i="5"/>
  <c r="K6" i="5"/>
  <c r="K21" i="5" s="1"/>
  <c r="K22" i="5" s="1"/>
  <c r="L10" i="5"/>
  <c r="M10" i="5" s="1"/>
  <c r="C6" i="5"/>
  <c r="C21" i="5" s="1"/>
  <c r="C22" i="5" s="1"/>
  <c r="D6" i="5"/>
  <c r="D21" i="5" s="1"/>
  <c r="D22" i="5" s="1"/>
  <c r="E6" i="5"/>
  <c r="E21" i="5" s="1"/>
  <c r="E22" i="5" s="1"/>
  <c r="F6" i="5"/>
  <c r="F21" i="5" s="1"/>
  <c r="F22" i="5" s="1"/>
  <c r="G6" i="5"/>
  <c r="G21" i="5" s="1"/>
  <c r="G22" i="5" s="1"/>
  <c r="H6" i="5"/>
  <c r="H21" i="5" s="1"/>
  <c r="H22" i="5" s="1"/>
  <c r="I6" i="5"/>
  <c r="I21" i="5" s="1"/>
  <c r="I22" i="5" s="1"/>
  <c r="J6" i="5"/>
  <c r="J21" i="5" s="1"/>
  <c r="J22" i="5" s="1"/>
  <c r="B6" i="5"/>
  <c r="P23" i="5" l="1"/>
  <c r="T38" i="5"/>
  <c r="M30" i="5"/>
  <c r="Q30" i="5"/>
  <c r="P30" i="5"/>
  <c r="O33" i="5"/>
  <c r="P33" i="5"/>
  <c r="R6" i="5"/>
  <c r="M33" i="5"/>
  <c r="O23" i="5"/>
  <c r="N30" i="5"/>
  <c r="O30" i="5"/>
  <c r="N33" i="5"/>
  <c r="Q33" i="5"/>
  <c r="N10" i="5"/>
  <c r="M6" i="5"/>
  <c r="M21" i="5" s="1"/>
  <c r="M25" i="5" s="1"/>
  <c r="Q23" i="5"/>
  <c r="S6" i="5"/>
  <c r="L6" i="5"/>
  <c r="L21" i="5" s="1"/>
  <c r="N23" i="5"/>
  <c r="T23" i="5"/>
  <c r="U38" i="5"/>
  <c r="L22" i="5" l="1"/>
  <c r="L25" i="5"/>
  <c r="O10" i="5"/>
  <c r="N6" i="5"/>
  <c r="N21" i="5" s="1"/>
  <c r="N25" i="5" s="1"/>
  <c r="U23" i="5"/>
  <c r="U16" i="5"/>
  <c r="F11" i="5"/>
  <c r="E36" i="5"/>
  <c r="D9" i="5"/>
  <c r="C9" i="5"/>
  <c r="K25" i="5"/>
  <c r="P10" i="5" l="1"/>
  <c r="O6" i="5"/>
  <c r="O21" i="5" s="1"/>
  <c r="O25" i="5" s="1"/>
  <c r="N36" i="5"/>
  <c r="Q36" i="5"/>
  <c r="M36" i="5"/>
  <c r="P36" i="5"/>
  <c r="O36" i="5"/>
  <c r="L36" i="5"/>
  <c r="O12" i="5"/>
  <c r="K11" i="5"/>
  <c r="Q10" i="5" l="1"/>
  <c r="Q6" i="5" s="1"/>
  <c r="Q21" i="5" s="1"/>
  <c r="Q25" i="5" s="1"/>
  <c r="P6" i="5"/>
  <c r="P21" i="5" s="1"/>
  <c r="P25" i="5" s="1"/>
  <c r="T36" i="5"/>
  <c r="L12" i="5"/>
  <c r="U36" i="5"/>
  <c r="V36" i="5" s="1"/>
  <c r="N12" i="5"/>
  <c r="L11" i="5"/>
  <c r="G19" i="5"/>
  <c r="U25" i="5" l="1"/>
  <c r="M11" i="5"/>
  <c r="M12" i="5"/>
  <c r="T10" i="5"/>
  <c r="P12" i="5"/>
  <c r="J25" i="5"/>
  <c r="Q12" i="5" l="1"/>
  <c r="U10" i="5"/>
  <c r="V10" i="5" s="1"/>
  <c r="V11" i="5" s="1"/>
  <c r="J27" i="5"/>
  <c r="D15" i="5"/>
  <c r="C15" i="5"/>
  <c r="R16" i="5" l="1"/>
  <c r="R21" i="5" s="1"/>
  <c r="R22" i="5" s="1"/>
  <c r="S16" i="5"/>
  <c r="S21" i="5" s="1"/>
  <c r="S22" i="5" s="1"/>
  <c r="E15" i="5" l="1"/>
  <c r="E9" i="5"/>
  <c r="J37" i="5"/>
  <c r="J40" i="5" l="1"/>
  <c r="J39" i="5"/>
  <c r="U30" i="5"/>
  <c r="V30" i="5" s="1"/>
  <c r="R13" i="5"/>
  <c r="F8" i="5"/>
  <c r="D20" i="5"/>
  <c r="C20" i="5"/>
  <c r="J8" i="5"/>
  <c r="J42" i="5" l="1"/>
  <c r="J43" i="5" s="1"/>
  <c r="E20" i="5"/>
  <c r="F9" i="5"/>
  <c r="S19" i="5"/>
  <c r="R23" i="5"/>
  <c r="R4" i="6" l="1"/>
  <c r="V29" i="6"/>
  <c r="V31" i="6"/>
  <c r="N4" i="6" l="1"/>
  <c r="N3" i="6"/>
  <c r="H3" i="6"/>
  <c r="H2" i="6"/>
  <c r="W16" i="6"/>
  <c r="Q16" i="6" l="1"/>
  <c r="P16" i="6"/>
  <c r="O16" i="6"/>
  <c r="N16" i="6"/>
  <c r="M16" i="6"/>
  <c r="K16" i="6"/>
  <c r="J16" i="6"/>
  <c r="I16" i="6"/>
  <c r="H16" i="6"/>
  <c r="F16" i="6"/>
  <c r="E16" i="6"/>
  <c r="D16" i="6"/>
  <c r="C16" i="6"/>
  <c r="F17" i="6" s="1"/>
  <c r="V30" i="6"/>
  <c r="V28" i="6"/>
  <c r="V25" i="6"/>
  <c r="V24" i="6"/>
  <c r="V23" i="6"/>
  <c r="V22" i="6"/>
  <c r="V26" i="6" l="1"/>
  <c r="B3" i="6" s="1"/>
  <c r="B4" i="6"/>
  <c r="G3" i="6"/>
  <c r="G16" i="6" s="1"/>
  <c r="J17" i="6" l="1"/>
  <c r="R16" i="6" l="1"/>
  <c r="R17" i="6" s="1"/>
  <c r="L16" i="6" l="1"/>
  <c r="N17" i="6" s="1"/>
  <c r="H19" i="5" l="1"/>
  <c r="F19" i="5"/>
  <c r="G20" i="5"/>
  <c r="H20" i="5"/>
  <c r="G8" i="5"/>
  <c r="H8" i="5"/>
  <c r="G9" i="5"/>
  <c r="H9" i="5"/>
  <c r="I9" i="5"/>
  <c r="F20" i="5"/>
  <c r="I24" i="5" l="1"/>
  <c r="I19" i="5"/>
  <c r="I20" i="5"/>
  <c r="I8" i="5"/>
  <c r="T19" i="8" l="1"/>
  <c r="Z18" i="8"/>
  <c r="X18" i="8"/>
  <c r="X17" i="8"/>
  <c r="Y17" i="8" s="1"/>
  <c r="Z17" i="8" s="1"/>
  <c r="W16" i="8"/>
  <c r="X16" i="8" s="1"/>
  <c r="V16" i="8"/>
  <c r="V19" i="8" s="1"/>
  <c r="U16" i="8"/>
  <c r="U19" i="8" s="1"/>
  <c r="T16" i="8"/>
  <c r="W10" i="8"/>
  <c r="V10" i="8"/>
  <c r="U10" i="8"/>
  <c r="T10" i="8"/>
  <c r="V9" i="8"/>
  <c r="U9" i="8"/>
  <c r="T9" i="8"/>
  <c r="T12" i="8" s="1"/>
  <c r="X10" i="8" l="1"/>
  <c r="V12" i="8"/>
  <c r="U12" i="8"/>
  <c r="X19" i="8"/>
  <c r="Y16" i="8"/>
  <c r="W19" i="8"/>
  <c r="W9" i="8"/>
  <c r="X9" i="8" l="1"/>
  <c r="W12" i="8"/>
  <c r="Y19" i="8"/>
  <c r="Z16" i="8"/>
  <c r="Z19" i="8" s="1"/>
  <c r="Y9" i="8" l="1"/>
  <c r="X12" i="8"/>
  <c r="Z9" i="8" l="1"/>
  <c r="Z12" i="8" s="1"/>
  <c r="Y12" i="8"/>
  <c r="AW23" i="5" l="1"/>
  <c r="V17" i="5" l="1"/>
  <c r="E8" i="8" l="1"/>
  <c r="I3" i="8"/>
  <c r="N9" i="8" s="1"/>
  <c r="M9" i="8" l="1"/>
  <c r="N10" i="8" s="1"/>
  <c r="L9" i="8"/>
  <c r="N14" i="8"/>
  <c r="M10" i="8" l="1"/>
  <c r="D6" i="8" l="1"/>
  <c r="G8" i="8" l="1"/>
  <c r="G49" i="8" l="1"/>
  <c r="F49" i="8"/>
  <c r="E49" i="8"/>
  <c r="S38" i="5" l="1"/>
  <c r="D33" i="8" l="1"/>
  <c r="D34" i="8" s="1"/>
  <c r="F8" i="8" l="1"/>
  <c r="F9" i="8" s="1"/>
  <c r="I25" i="5"/>
  <c r="AA8" i="5"/>
  <c r="AA13" i="5" s="1"/>
  <c r="Z8" i="5"/>
  <c r="Z13" i="5" s="1"/>
  <c r="I37" i="5" l="1"/>
  <c r="I39" i="5" s="1"/>
  <c r="I27" i="5"/>
  <c r="G9" i="8"/>
  <c r="AA9" i="5"/>
  <c r="U33" i="5" l="1"/>
  <c r="V33" i="5" s="1"/>
  <c r="B24" i="5"/>
  <c r="C24" i="5"/>
  <c r="D24" i="5"/>
  <c r="F24" i="5"/>
  <c r="G24" i="5"/>
  <c r="K24" i="5" s="1"/>
  <c r="O24" i="5" s="1"/>
  <c r="H24" i="5"/>
  <c r="R38" i="5"/>
  <c r="S36" i="5"/>
  <c r="R36" i="5"/>
  <c r="B33" i="5"/>
  <c r="B30" i="5"/>
  <c r="E24" i="5" l="1"/>
  <c r="S33" i="5"/>
  <c r="R33" i="5"/>
  <c r="C33" i="8" l="1"/>
  <c r="S30" i="5"/>
  <c r="R30" i="5"/>
  <c r="T33" i="5" l="1"/>
  <c r="J9" i="5"/>
  <c r="D8" i="8"/>
  <c r="T30" i="5" l="1"/>
  <c r="E29" i="8"/>
  <c r="D16" i="8"/>
  <c r="D11" i="8"/>
  <c r="E9" i="8"/>
  <c r="I40" i="5"/>
  <c r="B21" i="5"/>
  <c r="B22" i="5" s="1"/>
  <c r="F25" i="5"/>
  <c r="F37" i="5" s="1"/>
  <c r="F39" i="5" s="1"/>
  <c r="C35" i="8"/>
  <c r="B35" i="8"/>
  <c r="D29" i="8" l="1"/>
  <c r="B33" i="8"/>
  <c r="G29" i="8" l="1"/>
  <c r="F29" i="8"/>
  <c r="G25" i="5"/>
  <c r="G37" i="5" s="1"/>
  <c r="G39" i="5" s="1"/>
  <c r="H25" i="5"/>
  <c r="H37" i="5" s="1"/>
  <c r="B25" i="5"/>
  <c r="H40" i="5" l="1"/>
  <c r="H39" i="5"/>
  <c r="S8" i="5"/>
  <c r="B8" i="8"/>
  <c r="B6" i="8"/>
  <c r="B36" i="8" s="1"/>
  <c r="C6" i="8"/>
  <c r="C34" i="8" s="1"/>
  <c r="C37" i="8" s="1"/>
  <c r="S37" i="5"/>
  <c r="S39" i="5" s="1"/>
  <c r="S23" i="5"/>
  <c r="R25" i="5"/>
  <c r="R24" i="5"/>
  <c r="C8" i="8"/>
  <c r="F27" i="5"/>
  <c r="B27" i="5"/>
  <c r="B37" i="5"/>
  <c r="B40" i="5" s="1"/>
  <c r="C25" i="5"/>
  <c r="F28" i="5"/>
  <c r="B20" i="8" l="1"/>
  <c r="B23" i="8" s="1"/>
  <c r="D20" i="8"/>
  <c r="C36" i="8"/>
  <c r="B34" i="8"/>
  <c r="B37" i="8" s="1"/>
  <c r="B47" i="8" s="1"/>
  <c r="B49" i="8" s="1"/>
  <c r="B11" i="8"/>
  <c r="C9" i="8"/>
  <c r="C11" i="8"/>
  <c r="D9" i="8"/>
  <c r="S25" i="5"/>
  <c r="D35" i="8"/>
  <c r="C47" i="8"/>
  <c r="C49" i="8" s="1"/>
  <c r="C39" i="8"/>
  <c r="S24" i="5"/>
  <c r="G27" i="5"/>
  <c r="F40" i="5"/>
  <c r="H27" i="5"/>
  <c r="C27" i="5"/>
  <c r="C37" i="5"/>
  <c r="B39" i="5"/>
  <c r="C29" i="5"/>
  <c r="D25" i="5"/>
  <c r="G28" i="5"/>
  <c r="G29" i="5"/>
  <c r="I29" i="5"/>
  <c r="H29" i="5"/>
  <c r="E25" i="5"/>
  <c r="E37" i="5" s="1"/>
  <c r="F42" i="5" l="1"/>
  <c r="F43" i="5" s="1"/>
  <c r="E40" i="5"/>
  <c r="E42" i="5" s="1"/>
  <c r="E43" i="5" s="1"/>
  <c r="E39" i="5"/>
  <c r="J24" i="5"/>
  <c r="B14" i="8"/>
  <c r="C29" i="8"/>
  <c r="C16" i="8"/>
  <c r="B16" i="8"/>
  <c r="B29" i="8"/>
  <c r="D23" i="8"/>
  <c r="C40" i="8"/>
  <c r="B39" i="8"/>
  <c r="E20" i="8"/>
  <c r="C20" i="8"/>
  <c r="C21" i="8" s="1"/>
  <c r="D36" i="8"/>
  <c r="D37" i="8"/>
  <c r="H28" i="5"/>
  <c r="D37" i="5"/>
  <c r="D39" i="5" s="1"/>
  <c r="G40" i="5"/>
  <c r="G42" i="5" s="1"/>
  <c r="G43" i="5" s="1"/>
  <c r="D27" i="5"/>
  <c r="C40" i="5"/>
  <c r="C42" i="5" s="1"/>
  <c r="C39" i="5"/>
  <c r="E27" i="5"/>
  <c r="B42" i="5"/>
  <c r="B43" i="5" s="1"/>
  <c r="D29" i="5"/>
  <c r="E29" i="5"/>
  <c r="I28" i="5"/>
  <c r="F29" i="5"/>
  <c r="S40" i="5" l="1"/>
  <c r="C43" i="5"/>
  <c r="C45" i="5" s="1"/>
  <c r="C14" i="8"/>
  <c r="D14" i="8" s="1"/>
  <c r="G35" i="8"/>
  <c r="B45" i="5"/>
  <c r="B27" i="8"/>
  <c r="E21" i="8"/>
  <c r="C23" i="8"/>
  <c r="D21" i="8"/>
  <c r="F20" i="8"/>
  <c r="B12" i="8"/>
  <c r="D47" i="8"/>
  <c r="D50" i="8" s="1"/>
  <c r="D39" i="8"/>
  <c r="D40" i="8"/>
  <c r="G45" i="5"/>
  <c r="I42" i="5"/>
  <c r="I43" i="5" s="1"/>
  <c r="R27" i="5"/>
  <c r="S28" i="5"/>
  <c r="H42" i="5"/>
  <c r="H43" i="5" s="1"/>
  <c r="D40" i="5"/>
  <c r="D42" i="5" s="1"/>
  <c r="D43" i="5" s="1"/>
  <c r="R37" i="5"/>
  <c r="R39" i="5" s="1"/>
  <c r="S42" i="5" l="1"/>
  <c r="R43" i="5"/>
  <c r="Z7" i="5" s="1"/>
  <c r="R42" i="5"/>
  <c r="C27" i="8"/>
  <c r="E27" i="8"/>
  <c r="D27" i="8"/>
  <c r="F21" i="8"/>
  <c r="G20" i="8"/>
  <c r="B24" i="8"/>
  <c r="B28" i="8" s="1"/>
  <c r="C12" i="8"/>
  <c r="B15" i="8"/>
  <c r="B18" i="8"/>
  <c r="B19" i="8" s="1"/>
  <c r="B13" i="8"/>
  <c r="B17" i="8"/>
  <c r="H45" i="5"/>
  <c r="D45" i="5"/>
  <c r="F45" i="5"/>
  <c r="R40" i="5"/>
  <c r="E45" i="5"/>
  <c r="R45" i="5" l="1"/>
  <c r="I45" i="5"/>
  <c r="S43" i="5"/>
  <c r="S45" i="5" s="1"/>
  <c r="J19" i="5"/>
  <c r="J20" i="5"/>
  <c r="C24" i="8"/>
  <c r="C25" i="8" s="1"/>
  <c r="G21" i="8"/>
  <c r="B31" i="8"/>
  <c r="B32" i="8" s="1"/>
  <c r="B26" i="8"/>
  <c r="B30" i="8"/>
  <c r="G6" i="8"/>
  <c r="G23" i="8" s="1"/>
  <c r="D12" i="8"/>
  <c r="D24" i="8"/>
  <c r="C15" i="8"/>
  <c r="C17" i="8"/>
  <c r="C13" i="8"/>
  <c r="C18" i="8"/>
  <c r="C19" i="8" s="1"/>
  <c r="B52" i="8"/>
  <c r="D52" i="8"/>
  <c r="AA7" i="5" l="1"/>
  <c r="G27" i="8"/>
  <c r="C26" i="8"/>
  <c r="C31" i="8"/>
  <c r="C32" i="8" s="1"/>
  <c r="E14" i="8"/>
  <c r="C30" i="8"/>
  <c r="F27" i="8"/>
  <c r="G11" i="8"/>
  <c r="G36" i="8"/>
  <c r="D18" i="8"/>
  <c r="D19" i="8" s="1"/>
  <c r="D13" i="8"/>
  <c r="D15" i="8"/>
  <c r="D17" i="8"/>
  <c r="C52" i="8"/>
  <c r="N8" i="8"/>
  <c r="D54" i="8"/>
  <c r="D55" i="8" s="1"/>
  <c r="L8" i="8"/>
  <c r="B54" i="8"/>
  <c r="B55" i="8" s="1"/>
  <c r="Z12" i="5" l="1"/>
  <c r="Z10" i="5"/>
  <c r="Z14" i="5" s="1"/>
  <c r="AA10" i="5"/>
  <c r="AA14" i="5" s="1"/>
  <c r="AA12" i="5"/>
  <c r="F14" i="8"/>
  <c r="F24" i="8"/>
  <c r="G14" i="8"/>
  <c r="G24" i="8"/>
  <c r="L11" i="8"/>
  <c r="L15" i="8" s="1"/>
  <c r="L13" i="8"/>
  <c r="N13" i="8"/>
  <c r="N11" i="8"/>
  <c r="N15" i="8" s="1"/>
  <c r="M8" i="8"/>
  <c r="C54" i="8"/>
  <c r="C55" i="8" s="1"/>
  <c r="G16" i="8" l="1"/>
  <c r="F12" i="8"/>
  <c r="AA11" i="5"/>
  <c r="G31" i="8"/>
  <c r="G32" i="8" s="1"/>
  <c r="G28" i="8"/>
  <c r="G30" i="8"/>
  <c r="G26" i="8"/>
  <c r="M13" i="8"/>
  <c r="M11" i="8"/>
  <c r="F13" i="8" l="1"/>
  <c r="F15" i="8"/>
  <c r="F18" i="8"/>
  <c r="F19" i="8" s="1"/>
  <c r="S27" i="5" l="1"/>
  <c r="G12" i="8" l="1"/>
  <c r="G13" i="8" l="1"/>
  <c r="G18" i="8"/>
  <c r="G19" i="8" s="1"/>
  <c r="G17" i="8"/>
  <c r="G15" i="8"/>
  <c r="G33" i="8"/>
  <c r="G34" i="8" s="1"/>
  <c r="G37" i="8" s="1"/>
  <c r="G39" i="8" l="1"/>
  <c r="G47" i="8"/>
  <c r="G50" i="8" s="1"/>
  <c r="G52" i="8" l="1"/>
  <c r="G54" i="8" s="1"/>
  <c r="Q8" i="8" s="1"/>
  <c r="G55" i="8" l="1"/>
  <c r="Q11" i="8"/>
  <c r="D25" i="8" l="1"/>
  <c r="D30" i="8"/>
  <c r="D31" i="8"/>
  <c r="D32" i="8" s="1"/>
  <c r="D26" i="8"/>
  <c r="D28" i="8"/>
  <c r="G25" i="8" l="1"/>
  <c r="F31" i="8"/>
  <c r="F32" i="8" s="1"/>
  <c r="F28" i="8"/>
  <c r="F26" i="8"/>
  <c r="F30" i="8"/>
  <c r="Q15" i="8" l="1"/>
  <c r="N12" i="8"/>
  <c r="M12" i="8"/>
  <c r="M15" i="8"/>
  <c r="E24" i="8" l="1"/>
  <c r="E30" i="8" l="1"/>
  <c r="E31" i="8"/>
  <c r="E32" i="8" s="1"/>
  <c r="E28" i="8"/>
  <c r="E25" i="8"/>
  <c r="E26" i="8"/>
  <c r="F25" i="8"/>
  <c r="E12" i="8"/>
  <c r="E13" i="8" l="1"/>
  <c r="E18" i="8"/>
  <c r="E19" i="8" s="1"/>
  <c r="E15" i="8"/>
  <c r="J29" i="5" l="1"/>
  <c r="J28" i="5"/>
  <c r="J45" i="5"/>
  <c r="F14" i="5" l="1"/>
  <c r="F15" i="5"/>
  <c r="J11" i="5" l="1"/>
  <c r="C12" i="5"/>
  <c r="D12" i="5"/>
  <c r="E12" i="5"/>
  <c r="R10" i="5"/>
  <c r="J14" i="5"/>
  <c r="N14" i="5" s="1"/>
  <c r="F12" i="5"/>
  <c r="G12" i="5"/>
  <c r="G11" i="5"/>
  <c r="K12" i="5"/>
  <c r="G14" i="5"/>
  <c r="G15" i="5" l="1"/>
  <c r="N8" i="5" l="1"/>
  <c r="H11" i="5"/>
  <c r="H14" i="5"/>
  <c r="H12" i="5"/>
  <c r="H15" i="5" l="1"/>
  <c r="I11" i="5" l="1"/>
  <c r="J12" i="5"/>
  <c r="I12" i="5"/>
  <c r="S10" i="5"/>
  <c r="S11" i="5" s="1"/>
  <c r="I14" i="5" l="1"/>
  <c r="I15" i="5"/>
  <c r="J15" i="5"/>
  <c r="S13" i="5"/>
  <c r="T11" i="5" l="1"/>
  <c r="S14" i="5"/>
  <c r="U11" i="5" l="1"/>
  <c r="K9" i="5"/>
  <c r="K8" i="5"/>
  <c r="K27" i="5"/>
  <c r="E35" i="8" l="1"/>
  <c r="K15" i="5"/>
  <c r="K19" i="5"/>
  <c r="K20" i="5"/>
  <c r="K29" i="5"/>
  <c r="K14" i="5"/>
  <c r="O14" i="5" s="1"/>
  <c r="K37" i="5"/>
  <c r="K28" i="5"/>
  <c r="K39" i="5" l="1"/>
  <c r="V23" i="5"/>
  <c r="F35" i="8"/>
  <c r="O8" i="5" l="1"/>
  <c r="O9" i="5"/>
  <c r="N24" i="5"/>
  <c r="K40" i="5"/>
  <c r="K42" i="5" l="1"/>
  <c r="K43" i="5" s="1"/>
  <c r="K45" i="5" s="1"/>
  <c r="N19" i="5"/>
  <c r="L20" i="5" l="1"/>
  <c r="L19" i="5"/>
  <c r="O15" i="5"/>
  <c r="E16" i="8" l="1"/>
  <c r="E17" i="8" s="1"/>
  <c r="F16" i="8" l="1"/>
  <c r="F17" i="8" s="1"/>
  <c r="O19" i="5" l="1"/>
  <c r="O20" i="5"/>
  <c r="L9" i="5"/>
  <c r="L24" i="5"/>
  <c r="L8" i="5"/>
  <c r="L15" i="5"/>
  <c r="L28" i="5" l="1"/>
  <c r="L37" i="5"/>
  <c r="L27" i="5"/>
  <c r="L29" i="5"/>
  <c r="L14" i="5"/>
  <c r="L39" i="5" l="1"/>
  <c r="M14" i="5"/>
  <c r="P14" i="5"/>
  <c r="L40" i="5"/>
  <c r="L42" i="5" s="1"/>
  <c r="P15" i="5" l="1"/>
  <c r="Q14" i="5"/>
  <c r="M15" i="5" l="1"/>
  <c r="N15" i="5"/>
  <c r="T13" i="5"/>
  <c r="T14" i="5" s="1"/>
  <c r="P9" i="5"/>
  <c r="P8" i="5"/>
  <c r="P24" i="5"/>
  <c r="Q15" i="5" l="1"/>
  <c r="V13" i="5"/>
  <c r="U13" i="5"/>
  <c r="N9" i="5"/>
  <c r="M24" i="5"/>
  <c r="T6" i="5"/>
  <c r="M9" i="5"/>
  <c r="M8" i="5"/>
  <c r="M19" i="5" l="1"/>
  <c r="V14" i="5"/>
  <c r="V6" i="5"/>
  <c r="T24" i="5"/>
  <c r="E6" i="8"/>
  <c r="T8" i="5"/>
  <c r="P20" i="5"/>
  <c r="P19" i="5"/>
  <c r="U14" i="5"/>
  <c r="Q8" i="5"/>
  <c r="Q24" i="5"/>
  <c r="Q9" i="5"/>
  <c r="U6" i="5"/>
  <c r="U21" i="5" s="1"/>
  <c r="M20" i="5" l="1"/>
  <c r="T16" i="5"/>
  <c r="T21" i="5" s="1"/>
  <c r="T22" i="5" s="1"/>
  <c r="N20" i="5"/>
  <c r="Q20" i="5"/>
  <c r="E23" i="8"/>
  <c r="E36" i="8"/>
  <c r="E11" i="8"/>
  <c r="U24" i="5"/>
  <c r="F6" i="8"/>
  <c r="U8" i="5"/>
  <c r="U27" i="5"/>
  <c r="V21" i="5"/>
  <c r="V25" i="5" s="1"/>
  <c r="V24" i="5"/>
  <c r="V8" i="5"/>
  <c r="T19" i="5" l="1"/>
  <c r="E33" i="8"/>
  <c r="E34" i="8" s="1"/>
  <c r="E37" i="8" s="1"/>
  <c r="E40" i="8" s="1"/>
  <c r="Q19" i="5"/>
  <c r="V16" i="5"/>
  <c r="V18" i="5" s="1"/>
  <c r="F36" i="8"/>
  <c r="F11" i="8"/>
  <c r="F23" i="8"/>
  <c r="V37" i="5"/>
  <c r="V27" i="5"/>
  <c r="V28" i="5"/>
  <c r="E39" i="8" l="1"/>
  <c r="E47" i="8"/>
  <c r="E50" i="8" s="1"/>
  <c r="N37" i="5" l="1"/>
  <c r="Q37" i="5"/>
  <c r="Q39" i="5" s="1"/>
  <c r="O37" i="5"/>
  <c r="O39" i="5" s="1"/>
  <c r="P37" i="5"/>
  <c r="P39" i="5" s="1"/>
  <c r="Q27" i="5"/>
  <c r="Q29" i="5"/>
  <c r="N28" i="5"/>
  <c r="N27" i="5"/>
  <c r="O27" i="5"/>
  <c r="O29" i="5"/>
  <c r="O28" i="5"/>
  <c r="P28" i="5"/>
  <c r="P29" i="5"/>
  <c r="P27" i="5"/>
  <c r="P22" i="5"/>
  <c r="O22" i="5"/>
  <c r="N22" i="5"/>
  <c r="Q22" i="5"/>
  <c r="N39" i="5" l="1"/>
  <c r="U37" i="5"/>
  <c r="N40" i="5"/>
  <c r="P40" i="5"/>
  <c r="P42" i="5" s="1"/>
  <c r="P43" i="5" s="1"/>
  <c r="P45" i="5" s="1"/>
  <c r="Q40" i="5"/>
  <c r="Q42" i="5" s="1"/>
  <c r="Q43" i="5" s="1"/>
  <c r="O40" i="5"/>
  <c r="O42" i="5" s="1"/>
  <c r="O43" i="5" s="1"/>
  <c r="O45" i="5" s="1"/>
  <c r="M29" i="5"/>
  <c r="N29" i="5"/>
  <c r="M37" i="5"/>
  <c r="M22" i="5"/>
  <c r="N42" i="5" l="1"/>
  <c r="U40" i="5"/>
  <c r="U39" i="5"/>
  <c r="M39" i="5"/>
  <c r="T37" i="5"/>
  <c r="T39" i="5" s="1"/>
  <c r="Q28" i="5"/>
  <c r="M28" i="5"/>
  <c r="M27" i="5"/>
  <c r="T25" i="5"/>
  <c r="U42" i="5" l="1"/>
  <c r="F52" i="8" s="1"/>
  <c r="F54" i="8" s="1"/>
  <c r="P8" i="8" s="1"/>
  <c r="P11" i="8" s="1"/>
  <c r="N43" i="5"/>
  <c r="N45" i="5" s="1"/>
  <c r="M40" i="5"/>
  <c r="T27" i="5"/>
  <c r="T28" i="5"/>
  <c r="V39" i="5"/>
  <c r="V38" i="5" s="1"/>
  <c r="U28" i="5"/>
  <c r="F55" i="8" l="1"/>
  <c r="M42" i="5"/>
  <c r="T40" i="5"/>
  <c r="Q12" i="8"/>
  <c r="P15" i="8"/>
  <c r="V42" i="5"/>
  <c r="V40" i="5"/>
  <c r="M43" i="5" l="1"/>
  <c r="M45" i="5" s="1"/>
  <c r="Q45" i="5"/>
  <c r="U43" i="5"/>
  <c r="AC7" i="5" s="1"/>
  <c r="U45" i="5" l="1"/>
  <c r="AC10" i="5"/>
  <c r="AC14" i="5" l="1"/>
  <c r="O3" i="5"/>
  <c r="R3" i="5" l="1"/>
  <c r="T3" i="5" s="1"/>
  <c r="M3" i="5"/>
  <c r="F33" i="8" l="1"/>
  <c r="F34" i="8" s="1"/>
  <c r="F37" i="8" s="1"/>
  <c r="U22" i="5"/>
  <c r="V19" i="5"/>
  <c r="U19" i="5"/>
  <c r="F47" i="8" l="1"/>
  <c r="F50" i="8" s="1"/>
  <c r="G40" i="8"/>
  <c r="F40" i="8"/>
  <c r="F39" i="8"/>
  <c r="T42" i="5" l="1"/>
  <c r="E52" i="8" s="1"/>
  <c r="L43" i="5"/>
  <c r="L45" i="5" s="1"/>
  <c r="T43" i="5" l="1"/>
  <c r="AB7" i="5" s="1"/>
  <c r="AB10" i="5" s="1"/>
  <c r="E54" i="8"/>
  <c r="E55" i="8" s="1"/>
  <c r="O8" i="8"/>
  <c r="V43" i="5" l="1"/>
  <c r="V45" i="5" s="1"/>
  <c r="AB6" i="5"/>
  <c r="AB12" i="5" s="1"/>
  <c r="T45" i="5"/>
  <c r="AB11" i="5"/>
  <c r="AB14" i="5"/>
  <c r="AC11" i="5"/>
  <c r="O11" i="8"/>
  <c r="O6" i="8"/>
  <c r="O13" i="8" s="1"/>
  <c r="AB8" i="5"/>
  <c r="AC6" i="5" l="1"/>
  <c r="AC12" i="5" s="1"/>
  <c r="L3" i="5" s="1"/>
  <c r="AB9" i="5"/>
  <c r="AB13" i="5"/>
  <c r="O12" i="8"/>
  <c r="J3" i="8"/>
  <c r="M3" i="8" s="1"/>
  <c r="O15" i="8"/>
  <c r="P12" i="8"/>
  <c r="P6" i="8"/>
  <c r="O9" i="8"/>
  <c r="AC8" i="5" l="1"/>
  <c r="K3" i="5" s="1"/>
  <c r="L3" i="8"/>
  <c r="N3" i="8"/>
  <c r="O10" i="8"/>
  <c r="O14" i="8"/>
  <c r="P9" i="8"/>
  <c r="Q6" i="8"/>
  <c r="P13" i="8"/>
  <c r="AC13" i="5" l="1"/>
  <c r="AC9" i="5"/>
  <c r="P10" i="8"/>
  <c r="P14" i="8"/>
  <c r="Q13" i="8"/>
  <c r="Q9" i="8"/>
  <c r="Q10" i="8" l="1"/>
  <c r="Q1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U8" authorId="0" shapeId="0" xr:uid="{6A980EA8-CAD8-4207-8CF2-EFD946D5151E}">
      <text>
        <r>
          <rPr>
            <sz val="11"/>
            <color indexed="81"/>
            <rFont val="돋움"/>
            <family val="3"/>
            <charset val="129"/>
          </rPr>
          <t>증권사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보고서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예측치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중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최소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물량을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가정함</t>
        </r>
      </text>
    </comment>
    <comment ref="W14" authorId="0" shapeId="0" xr:uid="{565C95BF-2C16-46DB-987D-1160C49A464E}">
      <text>
        <r>
          <rPr>
            <sz val="11"/>
            <color indexed="81"/>
            <rFont val="Tahoma"/>
            <family val="2"/>
          </rPr>
          <t>6.66</t>
        </r>
        <r>
          <rPr>
            <sz val="11"/>
            <color indexed="81"/>
            <rFont val="돋움"/>
            <family val="3"/>
            <charset val="129"/>
          </rPr>
          <t>척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보수적인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추정을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위해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조정</t>
        </r>
      </text>
    </comment>
    <comment ref="M15" authorId="0" shapeId="0" xr:uid="{74C63A05-6C11-47FC-9040-AC7CBF4CC2DF}">
      <text>
        <r>
          <rPr>
            <sz val="10"/>
            <color indexed="81"/>
            <rFont val="Tahoma"/>
            <family val="2"/>
          </rPr>
          <t>SDC</t>
        </r>
        <r>
          <rPr>
            <sz val="10"/>
            <color indexed="81"/>
            <rFont val="돋움"/>
            <family val="3"/>
            <charset val="129"/>
          </rPr>
          <t>이외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고객사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향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매출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연</t>
        </r>
        <r>
          <rPr>
            <sz val="10"/>
            <color indexed="81"/>
            <rFont val="Tahoma"/>
            <family val="2"/>
          </rPr>
          <t xml:space="preserve"> 150</t>
        </r>
        <r>
          <rPr>
            <sz val="10"/>
            <color indexed="81"/>
            <rFont val="돋움"/>
            <family val="3"/>
            <charset val="129"/>
          </rPr>
          <t>억원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균등배분</t>
        </r>
      </text>
    </comment>
    <comment ref="W15" authorId="0" shapeId="0" xr:uid="{35D701C2-3A43-4DAD-8116-563DB936F9C1}">
      <text>
        <r>
          <rPr>
            <sz val="11"/>
            <color indexed="81"/>
            <rFont val="돋움"/>
            <family val="3"/>
            <charset val="129"/>
          </rPr>
          <t>러시아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자국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조선소의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납기일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불확실성으로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국내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조선사에</t>
        </r>
        <r>
          <rPr>
            <sz val="11"/>
            <color indexed="81"/>
            <rFont val="Tahoma"/>
            <family val="2"/>
          </rPr>
          <t xml:space="preserve"> 
</t>
        </r>
        <r>
          <rPr>
            <sz val="11"/>
            <color indexed="81"/>
            <rFont val="돋움"/>
            <family val="3"/>
            <charset val="129"/>
          </rPr>
          <t>발주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할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것으로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예상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3" authorId="0" shapeId="0" xr:uid="{6E58798E-B17B-4DAE-85FF-94DFE503D57F}">
      <text>
        <r>
          <rPr>
            <sz val="9"/>
            <color indexed="81"/>
            <rFont val="돋움"/>
            <family val="3"/>
            <charset val="129"/>
          </rPr>
          <t>식각장비 납품사인 아이씨디가 과거 디스플레이 사이클 당시 per9.2를 받음
당사는 올해부터 습식식각에서 독점적 지위에 새로 올라가는 만큼 per 10배는 충분히 받을 수 있다고 판단.</t>
        </r>
      </text>
    </comment>
    <comment ref="X9" authorId="0" shapeId="0" xr:uid="{5EFCCCF2-B333-46F4-BDEC-6AAE6569D053}">
      <text>
        <r>
          <rPr>
            <sz val="10"/>
            <color indexed="81"/>
            <rFont val="돋움"/>
            <family val="3"/>
            <charset val="129"/>
          </rPr>
          <t>인력충원계획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없음
</t>
        </r>
      </text>
    </comment>
    <comment ref="W12" authorId="0" shapeId="0" xr:uid="{FD212F6B-DC1F-4F4E-B58D-E4E97B2D6DAB}">
      <text>
        <r>
          <rPr>
            <sz val="10"/>
            <color indexed="81"/>
            <rFont val="돋움"/>
            <family val="3"/>
            <charset val="129"/>
          </rPr>
          <t>고정비</t>
        </r>
        <r>
          <rPr>
            <sz val="10"/>
            <color indexed="81"/>
            <rFont val="Tahoma"/>
            <family val="2"/>
          </rPr>
          <t xml:space="preserve"> 90</t>
        </r>
        <r>
          <rPr>
            <sz val="10"/>
            <color indexed="81"/>
            <rFont val="돋움"/>
            <family val="3"/>
            <charset val="129"/>
          </rPr>
          <t>억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수준인것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회사측에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확인</t>
        </r>
      </text>
    </comment>
  </commentList>
</comments>
</file>

<file path=xl/sharedStrings.xml><?xml version="1.0" encoding="utf-8"?>
<sst xmlns="http://schemas.openxmlformats.org/spreadsheetml/2006/main" count="343" uniqueCount="200">
  <si>
    <t>판매내용</t>
    <phoneticPr fontId="1" type="noConversion"/>
  </si>
  <si>
    <t>발주처</t>
    <phoneticPr fontId="1" type="noConversion"/>
  </si>
  <si>
    <t>수주금액 (억원)</t>
    <phoneticPr fontId="1" type="noConversion"/>
  </si>
  <si>
    <t>계약일자</t>
    <phoneticPr fontId="1" type="noConversion"/>
  </si>
  <si>
    <t>인도일자</t>
    <phoneticPr fontId="1" type="noConversion"/>
  </si>
  <si>
    <t>기타 특이사항</t>
    <phoneticPr fontId="1" type="noConversion"/>
  </si>
  <si>
    <t>억원</t>
    <phoneticPr fontId="1" type="noConversion"/>
  </si>
  <si>
    <t>2Q19</t>
    <phoneticPr fontId="1" type="noConversion"/>
  </si>
  <si>
    <t>3Q19</t>
    <phoneticPr fontId="1" type="noConversion"/>
  </si>
  <si>
    <t>2020E</t>
    <phoneticPr fontId="1" type="noConversion"/>
  </si>
  <si>
    <t>매출액</t>
    <phoneticPr fontId="1" type="noConversion"/>
  </si>
  <si>
    <t>% YoY</t>
    <phoneticPr fontId="1" type="noConversion"/>
  </si>
  <si>
    <t>% QoQ</t>
    <phoneticPr fontId="1" type="noConversion"/>
  </si>
  <si>
    <t>분기배분</t>
    <phoneticPr fontId="1" type="noConversion"/>
  </si>
  <si>
    <t>컨센</t>
    <phoneticPr fontId="1" type="noConversion"/>
  </si>
  <si>
    <t>매출원가</t>
    <phoneticPr fontId="1" type="noConversion"/>
  </si>
  <si>
    <t>% of sales</t>
    <phoneticPr fontId="1" type="noConversion"/>
  </si>
  <si>
    <t>매출총이익</t>
    <phoneticPr fontId="1" type="noConversion"/>
  </si>
  <si>
    <t>GPM</t>
    <phoneticPr fontId="1" type="noConversion"/>
  </si>
  <si>
    <t>판관비</t>
    <phoneticPr fontId="1" type="noConversion"/>
  </si>
  <si>
    <t>영업이익</t>
    <phoneticPr fontId="1" type="noConversion"/>
  </si>
  <si>
    <t>OPM</t>
    <phoneticPr fontId="1" type="noConversion"/>
  </si>
  <si>
    <t>장비사업</t>
    <phoneticPr fontId="1" type="noConversion"/>
  </si>
  <si>
    <t>부품사업</t>
    <phoneticPr fontId="1" type="noConversion"/>
  </si>
  <si>
    <t>금융손익</t>
    <phoneticPr fontId="1" type="noConversion"/>
  </si>
  <si>
    <t>금융수익</t>
    <phoneticPr fontId="1" type="noConversion"/>
  </si>
  <si>
    <t>금융원가</t>
    <phoneticPr fontId="1" type="noConversion"/>
  </si>
  <si>
    <t>기타손익</t>
    <phoneticPr fontId="1" type="noConversion"/>
  </si>
  <si>
    <t>기타영업외수익</t>
    <phoneticPr fontId="1" type="noConversion"/>
  </si>
  <si>
    <t>기타영업외비용</t>
    <phoneticPr fontId="1" type="noConversion"/>
  </si>
  <si>
    <t>관계기업손익</t>
    <phoneticPr fontId="1" type="noConversion"/>
  </si>
  <si>
    <t>세전계속사업이익</t>
    <phoneticPr fontId="1" type="noConversion"/>
  </si>
  <si>
    <t>법인세비용</t>
    <phoneticPr fontId="1" type="noConversion"/>
  </si>
  <si>
    <t>% 법인세율</t>
    <phoneticPr fontId="1" type="noConversion"/>
  </si>
  <si>
    <t>계속사업이익</t>
    <phoneticPr fontId="1" type="noConversion"/>
  </si>
  <si>
    <t>중단사업이익</t>
    <phoneticPr fontId="1" type="noConversion"/>
  </si>
  <si>
    <t>당기순이익</t>
    <phoneticPr fontId="1" type="noConversion"/>
  </si>
  <si>
    <t>지배주주순이익</t>
    <phoneticPr fontId="1" type="noConversion"/>
  </si>
  <si>
    <t>%</t>
    <phoneticPr fontId="1" type="noConversion"/>
  </si>
  <si>
    <t>NPM</t>
    <phoneticPr fontId="1" type="noConversion"/>
  </si>
  <si>
    <t>6월 이후 가동률 90% 수준으로 상승할 것</t>
    <phoneticPr fontId="1" type="noConversion"/>
  </si>
  <si>
    <t>20년 2Q부터 BOE향 수주 나올 것</t>
    <phoneticPr fontId="1" type="noConversion"/>
  </si>
  <si>
    <t>현재 연간 120만대 수준인 폴더블 패널 출하량을 내년 1000만대까지 끌어올리기 위한 (A5) 투자가 일부 포함될 수 있다</t>
    <phoneticPr fontId="1" type="noConversion"/>
  </si>
  <si>
    <t>업계는 아이폰 전체 물량(약 2억 대)을 소화하려면 월 12만~15만 장 수준은 확보해야 한다.</t>
  </si>
  <si>
    <t>2021E</t>
    <phoneticPr fontId="1" type="noConversion"/>
  </si>
  <si>
    <t>2022E</t>
    <phoneticPr fontId="1" type="noConversion"/>
  </si>
  <si>
    <t>납품기간 (월)</t>
    <phoneticPr fontId="1" type="noConversion"/>
  </si>
  <si>
    <t>현재주가</t>
    <phoneticPr fontId="1" type="noConversion"/>
  </si>
  <si>
    <t>PBR</t>
    <phoneticPr fontId="1" type="noConversion"/>
  </si>
  <si>
    <t>ROE</t>
    <phoneticPr fontId="1" type="noConversion"/>
  </si>
  <si>
    <t>PER</t>
    <phoneticPr fontId="1" type="noConversion"/>
  </si>
  <si>
    <t>상장주식수</t>
    <phoneticPr fontId="1" type="noConversion"/>
  </si>
  <si>
    <t>추정 EPS</t>
    <phoneticPr fontId="1" type="noConversion"/>
  </si>
  <si>
    <t>Target PER</t>
    <phoneticPr fontId="1" type="noConversion"/>
  </si>
  <si>
    <t>Target PBR</t>
    <phoneticPr fontId="1" type="noConversion"/>
  </si>
  <si>
    <t>TP</t>
    <phoneticPr fontId="1" type="noConversion"/>
  </si>
  <si>
    <t>Upside</t>
    <phoneticPr fontId="1" type="noConversion"/>
  </si>
  <si>
    <t>Call</t>
    <phoneticPr fontId="1" type="noConversion"/>
  </si>
  <si>
    <t>지배총자본</t>
    <phoneticPr fontId="19" type="noConversion"/>
  </si>
  <si>
    <t>지배순이익</t>
    <phoneticPr fontId="19" type="noConversion"/>
  </si>
  <si>
    <t>BPS</t>
    <phoneticPr fontId="19" type="noConversion"/>
  </si>
  <si>
    <t>EPS</t>
    <phoneticPr fontId="19" type="noConversion"/>
  </si>
  <si>
    <t>ROE</t>
    <phoneticPr fontId="19" type="noConversion"/>
  </si>
  <si>
    <t>PBR</t>
    <phoneticPr fontId="19" type="noConversion"/>
  </si>
  <si>
    <t>PER</t>
    <phoneticPr fontId="19" type="noConversion"/>
  </si>
  <si>
    <t>TP</t>
    <phoneticPr fontId="19" type="noConversion"/>
  </si>
  <si>
    <t>BUY</t>
    <phoneticPr fontId="1" type="noConversion"/>
  </si>
  <si>
    <t>SDC향 수주예상액 추정 근거</t>
    <phoneticPr fontId="1" type="noConversion"/>
  </si>
  <si>
    <t>4Q19</t>
    <phoneticPr fontId="1" type="noConversion"/>
  </si>
  <si>
    <t>고정비</t>
    <phoneticPr fontId="1" type="noConversion"/>
  </si>
  <si>
    <t>변동비</t>
    <phoneticPr fontId="1" type="noConversion"/>
  </si>
  <si>
    <t>1Q20</t>
    <phoneticPr fontId="1" type="noConversion"/>
  </si>
  <si>
    <t>2Q20</t>
    <phoneticPr fontId="1" type="noConversion"/>
  </si>
  <si>
    <t>3Q20</t>
    <phoneticPr fontId="1" type="noConversion"/>
  </si>
  <si>
    <t>4Q20</t>
    <phoneticPr fontId="1" type="noConversion"/>
  </si>
  <si>
    <t>1Q21</t>
    <phoneticPr fontId="1" type="noConversion"/>
  </si>
  <si>
    <t>2Q21</t>
    <phoneticPr fontId="1" type="noConversion"/>
  </si>
  <si>
    <t>3Q21</t>
    <phoneticPr fontId="1" type="noConversion"/>
  </si>
  <si>
    <t>4Q21</t>
    <phoneticPr fontId="1" type="noConversion"/>
  </si>
  <si>
    <t>1Q22</t>
    <phoneticPr fontId="1" type="noConversion"/>
  </si>
  <si>
    <t>2Q22</t>
    <phoneticPr fontId="1" type="noConversion"/>
  </si>
  <si>
    <t>3Q22</t>
    <phoneticPr fontId="1" type="noConversion"/>
  </si>
  <si>
    <t>4Q22</t>
    <phoneticPr fontId="1" type="noConversion"/>
  </si>
  <si>
    <t>수주 금액 억원</t>
    <phoneticPr fontId="1" type="noConversion"/>
  </si>
  <si>
    <t>매출인식</t>
    <phoneticPr fontId="1" type="noConversion"/>
  </si>
  <si>
    <t>20E</t>
    <phoneticPr fontId="1" type="noConversion"/>
  </si>
  <si>
    <t>매출원가율</t>
    <phoneticPr fontId="1" type="noConversion"/>
  </si>
  <si>
    <t>비율</t>
    <phoneticPr fontId="1" type="noConversion"/>
  </si>
  <si>
    <t>비율</t>
    <phoneticPr fontId="1" type="noConversion"/>
  </si>
  <si>
    <t>투자포인트</t>
    <phoneticPr fontId="1" type="noConversion"/>
  </si>
  <si>
    <t>1. 디스플레이 산업 대규모 증설</t>
    <phoneticPr fontId="1" type="noConversion"/>
  </si>
  <si>
    <t>에프엔에스테크</t>
    <phoneticPr fontId="1" type="noConversion"/>
  </si>
  <si>
    <t>083500</t>
    <phoneticPr fontId="1" type="noConversion"/>
  </si>
  <si>
    <t>디스플레이장비</t>
    <phoneticPr fontId="1" type="noConversion"/>
  </si>
  <si>
    <t>단위: 억원</t>
    <phoneticPr fontId="1" type="noConversion"/>
  </si>
  <si>
    <t>매출원가 고정비</t>
    <phoneticPr fontId="1" type="noConversion"/>
  </si>
  <si>
    <t>급여</t>
    <phoneticPr fontId="1" type="noConversion"/>
  </si>
  <si>
    <t>감가상각비</t>
    <phoneticPr fontId="1" type="noConversion"/>
  </si>
  <si>
    <t>무형자산 상각비</t>
    <phoneticPr fontId="1" type="noConversion"/>
  </si>
  <si>
    <t>판관비 고정비</t>
    <phoneticPr fontId="1" type="noConversion"/>
  </si>
  <si>
    <t>%yoy</t>
    <phoneticPr fontId="1" type="noConversion"/>
  </si>
  <si>
    <t>`</t>
    <phoneticPr fontId="1" type="noConversion"/>
  </si>
  <si>
    <t>원재료</t>
    <phoneticPr fontId="1" type="noConversion"/>
  </si>
  <si>
    <t>21E</t>
    <phoneticPr fontId="1" type="noConversion"/>
  </si>
  <si>
    <t>22E</t>
    <phoneticPr fontId="1" type="noConversion"/>
  </si>
  <si>
    <t>삼성디스플레이의 올해 LCD 스크랩(L8라인)에 따른 QD-OLED 투자 가시화</t>
    <phoneticPr fontId="1" type="noConversion"/>
  </si>
  <si>
    <t>또 다른 경쟁사 케이씨텍은 19.12.31 삼성디스플레이가 발주한(L8-1-1) 물량을 수주하지 못함</t>
    <phoneticPr fontId="1" type="noConversion"/>
  </si>
  <si>
    <t>wet 장비에서 주요 경쟁사인 세메스가 wet 장비 사업을 정리하는 것으로 파악</t>
    <phoneticPr fontId="1" type="noConversion"/>
  </si>
  <si>
    <t>디스플레이 wet 장비 시장에서 독점적 지위를 가져갈 것으로 파악</t>
    <phoneticPr fontId="1" type="noConversion"/>
  </si>
  <si>
    <t>부품 사업부의 반도체시장 진출</t>
    <phoneticPr fontId="1" type="noConversion"/>
  </si>
  <si>
    <t xml:space="preserve">반도체 공정상 물을 사용할 때 초고순도의 물을 사용해야 하는데 </t>
    <phoneticPr fontId="1" type="noConversion"/>
  </si>
  <si>
    <t>물이 UV램프를 통과하면 초고순도의 물이 됨</t>
    <phoneticPr fontId="1" type="noConversion"/>
  </si>
  <si>
    <t>가이던스 13%</t>
    <phoneticPr fontId="1" type="noConversion"/>
  </si>
  <si>
    <t>A4(L7-2)전환, A5라인 증설 시  과거 A4(L7-1라인)전환 시 나왔던 15K당 수주액이 클 가능성이 높음</t>
    <phoneticPr fontId="1" type="noConversion"/>
  </si>
  <si>
    <t>건식식각과 습식식각 장단점이 있지만 공정에서 식각을 여러번 하기 때문에 두 장비가 모두 사용됨 (건식식각 납품회사 아이씨디와 크로스체크)</t>
    <phoneticPr fontId="1" type="noConversion"/>
  </si>
  <si>
    <t>18년 80억, 19년 90억</t>
    <phoneticPr fontId="1" type="noConversion"/>
  </si>
  <si>
    <t>올해 더 늘어날 수 있을까? 비슷한 수준일 것으로 판단</t>
    <phoneticPr fontId="1" type="noConversion"/>
  </si>
  <si>
    <t>삼성전자 수요는 연 200억원 수준으로 시장규모가 크진 않음/ 전체 시장규모 500억</t>
    <phoneticPr fontId="1" type="noConversion"/>
  </si>
  <si>
    <t>하지만 세메스의 wet장비 영업중단으로 습식식각 부분에서도 독점이 예상됨</t>
    <phoneticPr fontId="1" type="noConversion"/>
  </si>
  <si>
    <t>UV램프</t>
    <phoneticPr fontId="1" type="noConversion"/>
  </si>
  <si>
    <t>아이폰12 전 모델 OLED 적용 예정, 아이패드/맥북 oled 채택 가능성 높아지고, 애플이 22년에 폴더블 폰을 출시할 경우 2022년부터 공급부족 예상됨</t>
    <phoneticPr fontId="1" type="noConversion"/>
  </si>
  <si>
    <t xml:space="preserve">소모품으로 포토사이언스(일본)가 독점했으나 공급 이원화가 진행중 </t>
    <phoneticPr fontId="1" type="noConversion"/>
  </si>
  <si>
    <t>하이닉스, LG전자쪽에도 컨택중/ 가시적인 성과는 아직</t>
    <phoneticPr fontId="1" type="noConversion"/>
  </si>
  <si>
    <t>기존 후공정세정장비, 박리 장비는 90% 이상 점유율을 갖고 있었으나, 전공정 세정장비와 습식식각의 경우 세메스가 90% 독점</t>
    <phoneticPr fontId="1" type="noConversion"/>
  </si>
  <si>
    <t>L7-2라인 스크랩 후 중소형 OLED A4 라인으로 전환예정 (4분기 예상)</t>
    <phoneticPr fontId="1" type="noConversion"/>
  </si>
  <si>
    <t>따라서 4Q20부터 A4-2를 시작으로 21년~22년 A5 1~4라인 장비발주 예상</t>
    <phoneticPr fontId="1" type="noConversion"/>
  </si>
  <si>
    <t>BOE와 CSOT의 폴더블 패널 품질이 너무 낮아 올해 하반기부터 화웨이(15만대), 샤오미(20만대),  모토로라(20만대) SDC에 물량 요청</t>
    <phoneticPr fontId="1" type="noConversion"/>
  </si>
  <si>
    <t>동성화인텍</t>
    <phoneticPr fontId="1" type="noConversion"/>
  </si>
  <si>
    <t>1Q23</t>
    <phoneticPr fontId="1" type="noConversion"/>
  </si>
  <si>
    <t>2Q23</t>
    <phoneticPr fontId="1" type="noConversion"/>
  </si>
  <si>
    <t>3Q23</t>
    <phoneticPr fontId="1" type="noConversion"/>
  </si>
  <si>
    <t>4Q23</t>
    <phoneticPr fontId="1" type="noConversion"/>
  </si>
  <si>
    <t>19년말 수주잔고</t>
    <phoneticPr fontId="1" type="noConversion"/>
  </si>
  <si>
    <t>19년 말 수주잔고</t>
    <phoneticPr fontId="1" type="noConversion"/>
  </si>
  <si>
    <t>1척당 157억</t>
    <phoneticPr fontId="1" type="noConversion"/>
  </si>
  <si>
    <t>20년 수주 예정</t>
    <phoneticPr fontId="1" type="noConversion"/>
  </si>
  <si>
    <t>21년 수주 예정</t>
    <phoneticPr fontId="1" type="noConversion"/>
  </si>
  <si>
    <t>전방 미발주</t>
    <phoneticPr fontId="1" type="noConversion"/>
  </si>
  <si>
    <t>30척</t>
    <phoneticPr fontId="1" type="noConversion"/>
  </si>
  <si>
    <t>모잠비크</t>
    <phoneticPr fontId="1" type="noConversion"/>
  </si>
  <si>
    <t>삼성중공업</t>
    <phoneticPr fontId="1" type="noConversion"/>
  </si>
  <si>
    <t>8척</t>
    <phoneticPr fontId="1" type="noConversion"/>
  </si>
  <si>
    <t>현대중공업</t>
    <phoneticPr fontId="1" type="noConversion"/>
  </si>
  <si>
    <t>캐나다 LNG</t>
    <phoneticPr fontId="1" type="noConversion"/>
  </si>
  <si>
    <t>8대</t>
    <phoneticPr fontId="1" type="noConversion"/>
  </si>
  <si>
    <t>카타르 노스필드</t>
    <phoneticPr fontId="1" type="noConversion"/>
  </si>
  <si>
    <t>삼중+현중</t>
    <phoneticPr fontId="1" type="noConversion"/>
  </si>
  <si>
    <t>26척</t>
    <phoneticPr fontId="1" type="noConversion"/>
  </si>
  <si>
    <t>카타르 골든패스</t>
    <phoneticPr fontId="1" type="noConversion"/>
  </si>
  <si>
    <t>12척</t>
    <phoneticPr fontId="1" type="noConversion"/>
  </si>
  <si>
    <t>러시아 노바텍</t>
    <phoneticPr fontId="1" type="noConversion"/>
  </si>
  <si>
    <t>6척 예상</t>
    <phoneticPr fontId="1" type="noConversion"/>
  </si>
  <si>
    <t>추가 10대 물량 나오는데 올해 숏리스트 나오는 수준/ 물량 포함 x</t>
    <phoneticPr fontId="1" type="noConversion"/>
  </si>
  <si>
    <t>프로젝트</t>
    <phoneticPr fontId="1" type="noConversion"/>
  </si>
  <si>
    <t>총 선박 주문 물량</t>
    <phoneticPr fontId="1" type="noConversion"/>
  </si>
  <si>
    <t>LNG선 수주 예상 기업</t>
    <phoneticPr fontId="1" type="noConversion"/>
  </si>
  <si>
    <t>상태</t>
    <phoneticPr fontId="1" type="noConversion"/>
  </si>
  <si>
    <t>본계약 예상년도</t>
    <phoneticPr fontId="1" type="noConversion"/>
  </si>
  <si>
    <t>모잠비크(Total)</t>
    <phoneticPr fontId="1" type="noConversion"/>
  </si>
  <si>
    <t>LOI</t>
    <phoneticPr fontId="1" type="noConversion"/>
  </si>
  <si>
    <t>캐나다LNG</t>
    <phoneticPr fontId="1" type="noConversion"/>
  </si>
  <si>
    <t>산둥중화조선</t>
    <phoneticPr fontId="1" type="noConversion"/>
  </si>
  <si>
    <t>슬롯예약 확정</t>
    <phoneticPr fontId="1" type="noConversion"/>
  </si>
  <si>
    <t>6월 슬롯예약 예상</t>
    <phoneticPr fontId="1" type="noConversion"/>
  </si>
  <si>
    <t>대우조선해양</t>
    <phoneticPr fontId="1" type="noConversion"/>
  </si>
  <si>
    <t>수주 예상 물량 (척)</t>
    <phoneticPr fontId="1" type="noConversion"/>
  </si>
  <si>
    <t>LNG플랜트 건설중</t>
    <phoneticPr fontId="1" type="noConversion"/>
  </si>
  <si>
    <t>삼중+현중 물량 총합</t>
    <phoneticPr fontId="1" type="noConversion"/>
  </si>
  <si>
    <t>보냉자재</t>
    <phoneticPr fontId="1" type="noConversion"/>
  </si>
  <si>
    <t>현대삼호중공업</t>
    <phoneticPr fontId="1" type="noConversion"/>
  </si>
  <si>
    <t>투자리스크</t>
    <phoneticPr fontId="1" type="noConversion"/>
  </si>
  <si>
    <t>판매수수료</t>
    <phoneticPr fontId="1" type="noConversion"/>
  </si>
  <si>
    <t>3Q21E</t>
    <phoneticPr fontId="1" type="noConversion"/>
  </si>
  <si>
    <t>4Q21E</t>
    <phoneticPr fontId="1" type="noConversion"/>
  </si>
  <si>
    <t>`</t>
    <phoneticPr fontId="1" type="noConversion"/>
  </si>
  <si>
    <t>1Q19</t>
    <phoneticPr fontId="1" type="noConversion"/>
  </si>
  <si>
    <t>1Q22E</t>
    <phoneticPr fontId="1" type="noConversion"/>
  </si>
  <si>
    <t>2Q22E</t>
    <phoneticPr fontId="1" type="noConversion"/>
  </si>
  <si>
    <t>3Q22E</t>
    <phoneticPr fontId="1" type="noConversion"/>
  </si>
  <si>
    <t>4Q22E</t>
    <phoneticPr fontId="1" type="noConversion"/>
  </si>
  <si>
    <t>코스모신소재</t>
    <phoneticPr fontId="1" type="noConversion"/>
  </si>
  <si>
    <t>005070</t>
    <phoneticPr fontId="1" type="noConversion"/>
  </si>
  <si>
    <t>화학</t>
    <phoneticPr fontId="1" type="noConversion"/>
  </si>
  <si>
    <t>기능성필름</t>
    <phoneticPr fontId="1" type="noConversion"/>
  </si>
  <si>
    <t>Toner LCO 등</t>
    <phoneticPr fontId="1" type="noConversion"/>
  </si>
  <si>
    <t>bps=자본/발행주식수</t>
    <phoneticPr fontId="1" type="noConversion"/>
  </si>
  <si>
    <t>eps=당기순이익/발행주식수</t>
    <phoneticPr fontId="1" type="noConversion"/>
  </si>
  <si>
    <t>roe=당기순이익/자기자본</t>
    <phoneticPr fontId="1" type="noConversion"/>
  </si>
  <si>
    <t>pbr=주가/bps</t>
    <phoneticPr fontId="1" type="noConversion"/>
  </si>
  <si>
    <t>per=주가/eps</t>
    <phoneticPr fontId="1" type="noConversion"/>
  </si>
  <si>
    <t>1. 이차전지와 mlcc의 사용 증가가 예상되므로 코스모신소재의 주상품인 양극재와 이형필름의 매출증가가 기대된다.</t>
    <phoneticPr fontId="1" type="noConversion"/>
  </si>
  <si>
    <t xml:space="preserve">2. 양극화물질 생산능력이 현재 2만톤, 내년 3만톤, 내후년 5만톤을 갖출 것으로 예상된다. </t>
    <phoneticPr fontId="1" type="noConversion"/>
  </si>
  <si>
    <t>생산능력 1만톤당 약 2천억원의 추가매출이 기대된다.</t>
  </si>
  <si>
    <t>3. 이형필름 생산능력이 올해 4,300만m^2, 내년 5,500만m^2, 내후년 7,000만m^2을 갖출 것으로 예상된다.</t>
    <phoneticPr fontId="1" type="noConversion"/>
  </si>
  <si>
    <t>연평균 20~30%의 매출상승이 기대된다.</t>
    <phoneticPr fontId="1" type="noConversion"/>
  </si>
  <si>
    <t>1. 주요 원재료인 코발트와 레진의 가격 상승이 예상된다.</t>
    <phoneticPr fontId="1" type="noConversion"/>
  </si>
  <si>
    <t>제련소들의 수산화 코발트 재고 비축 수요 증가, 그리고 세계 매장량의 절반을 차지하는 콩고민주공화국의 코로나로 인한 공급 감소로 코발트 가격이 상승할 것으로 예상됩니다.</t>
  </si>
  <si>
    <t>최근 레진의 주 원료인BPA, MEG, TPA 등 석유화학 가격이 상향 추세에 있어 향후 원부재 가격이 상향세로 예상됩니다.</t>
    <phoneticPr fontId="1" type="noConversion"/>
  </si>
  <si>
    <t>1분기당 6%증가</t>
    <phoneticPr fontId="1" type="noConversion"/>
  </si>
  <si>
    <t>1분기당 5%증가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</si>
</sst>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#,##0.0_ ;[Red]\-#,##0.0\ "/>
    <numFmt numFmtId="177" formatCode="#,##0_ ;[Red]\-#,##0\ "/>
    <numFmt numFmtId="178" formatCode="0.0%"/>
    <numFmt numFmtId="179" formatCode="#,##0_ "/>
    <numFmt numFmtId="180" formatCode="0.00_ "/>
    <numFmt numFmtId="181" formatCode="#,##0.00_);[Red]\(#,##0.00\)"/>
    <numFmt numFmtId="182" formatCode="0.0_);[Red]\(0.0\)"/>
    <numFmt numFmtId="183" formatCode="0_ ;[Red]\-0\ "/>
    <numFmt numFmtId="184" formatCode="_-* #,##0.0_-;\-* #,##0.0_-;_-* &quot;-&quot;_-;_-@_-"/>
    <numFmt numFmtId="185" formatCode="0_ "/>
    <numFmt numFmtId="186" formatCode="#,##0;[Red]#,##0"/>
    <numFmt numFmtId="187" formatCode="#,##0.00_ ;[Red]\-#,##0.00\ "/>
  </numFmts>
  <fonts count="3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D3D3D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i/>
      <sz val="10"/>
      <color rgb="FF00206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1"/>
      <color rgb="FF1E2022"/>
      <name val="Arial"/>
      <family val="2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9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9"/>
      <name val="맑은 고딕"/>
      <family val="3"/>
      <charset val="129"/>
      <scheme val="major"/>
    </font>
    <font>
      <b/>
      <i/>
      <sz val="9"/>
      <name val="맑은 고딕"/>
      <family val="3"/>
      <charset val="129"/>
      <scheme val="major"/>
    </font>
    <font>
      <i/>
      <sz val="9"/>
      <color theme="1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b/>
      <sz val="9"/>
      <color rgb="FF000000"/>
      <name val="맑은 고딕"/>
      <family val="3"/>
      <charset val="129"/>
      <scheme val="maj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i/>
      <sz val="9"/>
      <name val="맑은 고딕"/>
      <family val="3"/>
      <charset val="129"/>
      <scheme val="major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002060"/>
      <name val="맑은 고딕"/>
      <family val="3"/>
      <charset val="129"/>
      <scheme val="minor"/>
    </font>
    <font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0"/>
      <color rgb="FFFF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Down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lightDown"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ck">
        <color indexed="64"/>
      </left>
      <right style="thin">
        <color auto="1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/>
      <diagonal/>
    </border>
    <border>
      <left/>
      <right style="thin">
        <color theme="1" tint="4.9989318521683403E-2"/>
      </right>
      <top/>
      <bottom/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 tint="4.9989318521683403E-2"/>
      </right>
      <top/>
      <bottom/>
      <diagonal/>
    </border>
    <border>
      <left style="medium">
        <color indexed="64"/>
      </left>
      <right style="medium">
        <color theme="1" tint="4.9989318521683403E-2"/>
      </right>
      <top/>
      <bottom style="thin">
        <color indexed="64"/>
      </bottom>
      <diagonal/>
    </border>
    <border>
      <left style="medium">
        <color indexed="64"/>
      </left>
      <right style="medium">
        <color theme="1" tint="4.9989318521683403E-2"/>
      </right>
      <top style="thin">
        <color indexed="64"/>
      </top>
      <bottom/>
      <diagonal/>
    </border>
    <border>
      <left style="medium">
        <color indexed="64"/>
      </left>
      <right style="medium">
        <color theme="1" tint="4.9989318521683403E-2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 tint="4.9989318521683403E-2"/>
      </right>
      <top/>
      <bottom style="double">
        <color indexed="64"/>
      </bottom>
      <diagonal/>
    </border>
    <border>
      <left style="thin">
        <color theme="0" tint="-0.249977111117893"/>
      </left>
      <right style="medium">
        <color theme="1" tint="4.9989318521683403E-2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1" tint="4.9989318521683403E-2"/>
      </right>
      <top/>
      <bottom/>
      <diagonal/>
    </border>
    <border>
      <left/>
      <right style="medium">
        <color theme="1" tint="4.9989318521683403E-2"/>
      </right>
      <top/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/>
      <diagonal/>
    </border>
    <border>
      <left style="thin">
        <color indexed="64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/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indexed="64"/>
      </top>
      <bottom/>
      <diagonal/>
    </border>
    <border>
      <left style="medium">
        <color theme="1" tint="4.9989318521683403E-2"/>
      </left>
      <right style="thin">
        <color theme="1" tint="4.9989318521683403E-2"/>
      </right>
      <top/>
      <bottom/>
      <diagonal/>
    </border>
    <border>
      <left style="medium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ck">
        <color indexed="64"/>
      </left>
      <right style="thin">
        <color theme="1" tint="4.9989318521683403E-2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 tint="4.9989318521683403E-2"/>
      </right>
      <top style="thin">
        <color indexed="64"/>
      </top>
      <bottom/>
      <diagonal/>
    </border>
    <border>
      <left style="thick">
        <color indexed="64"/>
      </left>
      <right style="thin">
        <color theme="1" tint="4.9989318521683403E-2"/>
      </right>
      <top/>
      <bottom/>
      <diagonal/>
    </border>
    <border>
      <left style="thick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ck">
        <color indexed="64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 tint="4.9989318521683403E-2"/>
      </right>
      <top style="medium">
        <color theme="1" tint="4.9989318521683403E-2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indexed="64"/>
      </bottom>
      <diagonal/>
    </border>
    <border>
      <left/>
      <right style="thin">
        <color theme="1" tint="4.9989318521683403E-2"/>
      </right>
      <top style="medium">
        <color theme="1" tint="4.9989318521683403E-2"/>
      </top>
      <bottom style="thin">
        <color indexed="64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 tint="-0.249977111117893"/>
      </bottom>
      <diagonal/>
    </border>
    <border>
      <left style="medium">
        <color theme="1" tint="4.9989318521683403E-2"/>
      </left>
      <right style="thin">
        <color theme="1" tint="4.9989318521683403E-2"/>
      </right>
      <top/>
      <bottom style="thin">
        <color theme="0" tint="-0.249977111117893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theme="1" tint="4.9989318521683403E-2"/>
      </right>
      <top/>
      <bottom style="thin">
        <color theme="0" tint="-0.249977111117893"/>
      </bottom>
      <diagonal/>
    </border>
    <border>
      <left/>
      <right style="thin">
        <color theme="1" tint="4.9989318521683403E-2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4.9989318521683403E-2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double">
        <color indexed="64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0" tint="-0.249977111117893"/>
      </top>
      <bottom style="thin">
        <color indexed="64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auto="1"/>
      </top>
      <bottom style="double">
        <color auto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 tint="-0.249977111117893"/>
      </bottom>
      <diagonal/>
    </border>
    <border>
      <left/>
      <right style="thick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ck">
        <color indexed="64"/>
      </left>
      <right style="thin">
        <color theme="1" tint="4.9989318521683403E-2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ck">
        <color indexed="64"/>
      </right>
      <top/>
      <bottom style="thin">
        <color theme="0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499984740745262"/>
      </top>
      <bottom/>
      <diagonal/>
    </border>
    <border>
      <left/>
      <right style="thin">
        <color theme="1" tint="4.9989318521683403E-2"/>
      </right>
      <top style="thin">
        <color theme="0" tint="-0.499984740745262"/>
      </top>
      <bottom/>
      <diagonal/>
    </border>
    <border>
      <left/>
      <right style="thick">
        <color indexed="64"/>
      </right>
      <top style="thin">
        <color theme="0" tint="-0.249977111117893"/>
      </top>
      <bottom style="thin">
        <color theme="0" tint="-0.499984740745262"/>
      </bottom>
      <diagonal/>
    </border>
    <border>
      <left style="thick">
        <color indexed="64"/>
      </left>
      <right style="thin">
        <color theme="1" tint="4.9989318521683403E-2"/>
      </right>
      <top style="thin">
        <color theme="0" tint="-0.249977111117893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249977111117893"/>
      </top>
      <bottom style="thin">
        <color theme="0" tint="-0.499984740745262"/>
      </bottom>
      <diagonal/>
    </border>
    <border>
      <left/>
      <right style="thin">
        <color theme="1" tint="4.9989318521683403E-2"/>
      </right>
      <top style="thin">
        <color theme="0" tint="-0.249977111117893"/>
      </top>
      <bottom style="thin">
        <color theme="0" tint="-0.499984740745262"/>
      </bottom>
      <diagonal/>
    </border>
    <border>
      <left/>
      <right style="thick">
        <color theme="1" tint="4.9989318521683403E-2"/>
      </right>
      <top style="thin">
        <color indexed="64"/>
      </top>
      <bottom/>
      <diagonal/>
    </border>
    <border>
      <left/>
      <right style="thick">
        <color theme="1" tint="4.9989318521683403E-2"/>
      </right>
      <top style="thin">
        <color theme="0" tint="-0.249977111117893"/>
      </top>
      <bottom style="thin">
        <color theme="0" tint="-0.499984740745262"/>
      </bottom>
      <diagonal/>
    </border>
    <border>
      <left style="thin">
        <color theme="1" tint="4.9989318521683403E-2"/>
      </left>
      <right style="thick">
        <color theme="1" tint="4.9989318521683403E-2"/>
      </right>
      <top style="thin">
        <color indexed="64"/>
      </top>
      <bottom/>
      <diagonal/>
    </border>
    <border>
      <left style="thin">
        <color theme="1" tint="4.9989318521683403E-2"/>
      </left>
      <right style="thick">
        <color theme="1" tint="4.9989318521683403E-2"/>
      </right>
      <top style="thin">
        <color theme="0" tint="-0.249977111117893"/>
      </top>
      <bottom style="thin">
        <color theme="0" tint="-0.499984740745262"/>
      </bottom>
      <diagonal/>
    </border>
    <border>
      <left style="thick">
        <color indexed="64"/>
      </left>
      <right style="thin">
        <color indexed="64"/>
      </right>
      <top/>
      <bottom style="thin">
        <color theme="1" tint="4.9989318521683403E-2"/>
      </bottom>
      <diagonal/>
    </border>
    <border>
      <left style="thin">
        <color indexed="64"/>
      </left>
      <right style="thick">
        <color indexed="64"/>
      </right>
      <top/>
      <bottom style="thin">
        <color theme="1" tint="4.9989318521683403E-2"/>
      </bottom>
      <diagonal/>
    </border>
    <border>
      <left/>
      <right style="thin">
        <color indexed="64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ck">
        <color indexed="64"/>
      </right>
      <top/>
      <bottom style="thin">
        <color theme="1" tint="4.9989318521683403E-2"/>
      </bottom>
      <diagonal/>
    </border>
    <border>
      <left style="thick">
        <color theme="1" tint="4.9989318521683403E-2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ck">
        <color indexed="64"/>
      </left>
      <right style="thin">
        <color auto="1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ck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indexed="64"/>
      </left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249977111117893"/>
      </top>
      <bottom/>
      <diagonal/>
    </border>
    <border>
      <left style="thin">
        <color theme="1" tint="4.9989318521683403E-2"/>
      </left>
      <right style="thick">
        <color theme="1" tint="4.9989318521683403E-2"/>
      </right>
      <top/>
      <bottom/>
      <diagonal/>
    </border>
    <border>
      <left/>
      <right style="thick">
        <color theme="1" tint="4.9989318521683403E-2"/>
      </right>
      <top style="thin">
        <color theme="0" tint="-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ck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ck">
        <color indexed="64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ck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ck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ck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ck">
        <color theme="1" tint="4.9989318521683403E-2"/>
      </left>
      <right style="thin">
        <color theme="1" tint="4.9989318521683403E-2"/>
      </right>
      <top style="thin">
        <color theme="0" tint="-0.499984740745262"/>
      </top>
      <bottom/>
      <diagonal/>
    </border>
    <border>
      <left style="thick">
        <color theme="1" tint="4.9989318521683403E-2"/>
      </left>
      <right style="thin">
        <color theme="1" tint="4.9989318521683403E-2"/>
      </right>
      <top/>
      <bottom/>
      <diagonal/>
    </border>
    <border>
      <left style="thick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795">
    <xf numFmtId="0" fontId="0" fillId="0" borderId="0" xfId="0">
      <alignment vertical="center"/>
    </xf>
    <xf numFmtId="0" fontId="0" fillId="3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177" fontId="5" fillId="3" borderId="9" xfId="0" applyNumberFormat="1" applyFont="1" applyFill="1" applyBorder="1" applyAlignment="1">
      <alignment horizontal="right" vertical="center"/>
    </xf>
    <xf numFmtId="0" fontId="9" fillId="7" borderId="13" xfId="0" applyFont="1" applyFill="1" applyBorder="1">
      <alignment vertical="center"/>
    </xf>
    <xf numFmtId="177" fontId="7" fillId="7" borderId="14" xfId="0" applyNumberFormat="1" applyFont="1" applyFill="1" applyBorder="1">
      <alignment vertical="center"/>
    </xf>
    <xf numFmtId="177" fontId="6" fillId="7" borderId="14" xfId="0" applyNumberFormat="1" applyFont="1" applyFill="1" applyBorder="1">
      <alignment vertical="center"/>
    </xf>
    <xf numFmtId="0" fontId="7" fillId="2" borderId="13" xfId="0" applyFont="1" applyFill="1" applyBorder="1">
      <alignment vertical="center"/>
    </xf>
    <xf numFmtId="177" fontId="6" fillId="2" borderId="14" xfId="0" applyNumberFormat="1" applyFont="1" applyFill="1" applyBorder="1">
      <alignment vertical="center"/>
    </xf>
    <xf numFmtId="0" fontId="7" fillId="7" borderId="13" xfId="0" applyFont="1" applyFill="1" applyBorder="1">
      <alignment vertical="center"/>
    </xf>
    <xf numFmtId="0" fontId="0" fillId="3" borderId="0" xfId="0" applyFill="1">
      <alignment vertical="center"/>
    </xf>
    <xf numFmtId="1" fontId="0" fillId="0" borderId="0" xfId="0" applyNumberFormat="1">
      <alignment vertical="center"/>
    </xf>
    <xf numFmtId="0" fontId="14" fillId="0" borderId="0" xfId="0" applyFont="1">
      <alignment vertical="center"/>
    </xf>
    <xf numFmtId="0" fontId="0" fillId="0" borderId="1" xfId="0" applyBorder="1">
      <alignment vertical="center"/>
    </xf>
    <xf numFmtId="0" fontId="0" fillId="3" borderId="4" xfId="0" applyFill="1" applyBorder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3" fontId="5" fillId="0" borderId="21" xfId="0" applyNumberFormat="1" applyFont="1" applyBorder="1" applyAlignment="1">
      <alignment horizontal="center" vertical="center"/>
    </xf>
    <xf numFmtId="4" fontId="5" fillId="0" borderId="21" xfId="0" applyNumberFormat="1" applyFont="1" applyBorder="1" applyAlignment="1">
      <alignment horizontal="center" vertical="center"/>
    </xf>
    <xf numFmtId="177" fontId="5" fillId="0" borderId="22" xfId="0" applyNumberFormat="1" applyFont="1" applyBorder="1" applyAlignment="1">
      <alignment horizontal="center" vertical="center"/>
    </xf>
    <xf numFmtId="179" fontId="5" fillId="4" borderId="21" xfId="0" applyNumberFormat="1" applyFont="1" applyFill="1" applyBorder="1" applyAlignment="1">
      <alignment horizontal="center" vertical="center"/>
    </xf>
    <xf numFmtId="180" fontId="5" fillId="4" borderId="21" xfId="0" applyNumberFormat="1" applyFont="1" applyFill="1" applyBorder="1" applyAlignment="1">
      <alignment horizontal="center" vertical="center"/>
    </xf>
    <xf numFmtId="177" fontId="5" fillId="4" borderId="22" xfId="0" applyNumberFormat="1" applyFont="1" applyFill="1" applyBorder="1" applyAlignment="1">
      <alignment horizontal="center" vertical="center"/>
    </xf>
    <xf numFmtId="178" fontId="5" fillId="4" borderId="21" xfId="0" applyNumberFormat="1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5" fillId="7" borderId="0" xfId="0" applyFont="1" applyFill="1">
      <alignment vertical="center"/>
    </xf>
    <xf numFmtId="0" fontId="16" fillId="7" borderId="14" xfId="0" applyFont="1" applyFill="1" applyBorder="1">
      <alignment vertical="center"/>
    </xf>
    <xf numFmtId="0" fontId="17" fillId="7" borderId="14" xfId="0" quotePrefix="1" applyFont="1" applyFill="1" applyBorder="1" applyAlignment="1">
      <alignment horizontal="left" vertical="center"/>
    </xf>
    <xf numFmtId="0" fontId="17" fillId="7" borderId="14" xfId="0" applyFont="1" applyFill="1" applyBorder="1">
      <alignment vertical="center"/>
    </xf>
    <xf numFmtId="0" fontId="5" fillId="0" borderId="0" xfId="0" applyFont="1" applyAlignment="1">
      <alignment horizontal="center" vertical="center"/>
    </xf>
    <xf numFmtId="177" fontId="18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177" fontId="18" fillId="0" borderId="9" xfId="0" applyNumberFormat="1" applyFont="1" applyBorder="1" applyAlignment="1">
      <alignment horizontal="center" vertical="center"/>
    </xf>
    <xf numFmtId="3" fontId="18" fillId="0" borderId="9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9" fontId="21" fillId="2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9" fontId="20" fillId="6" borderId="9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10" fontId="7" fillId="0" borderId="21" xfId="0" applyNumberFormat="1" applyFont="1" applyBorder="1">
      <alignment vertical="center"/>
    </xf>
    <xf numFmtId="179" fontId="20" fillId="6" borderId="27" xfId="0" applyNumberFormat="1" applyFont="1" applyFill="1" applyBorder="1" applyAlignment="1">
      <alignment horizontal="center" vertical="center"/>
    </xf>
    <xf numFmtId="181" fontId="24" fillId="0" borderId="3" xfId="0" applyNumberFormat="1" applyFont="1" applyBorder="1" applyAlignment="1">
      <alignment horizontal="center" vertical="center"/>
    </xf>
    <xf numFmtId="182" fontId="20" fillId="0" borderId="1" xfId="0" applyNumberFormat="1" applyFont="1" applyBorder="1" applyAlignment="1">
      <alignment horizontal="center" vertical="center"/>
    </xf>
    <xf numFmtId="179" fontId="18" fillId="0" borderId="25" xfId="0" applyNumberFormat="1" applyFont="1" applyBorder="1" applyAlignment="1">
      <alignment horizontal="center" vertical="center"/>
    </xf>
    <xf numFmtId="9" fontId="21" fillId="2" borderId="0" xfId="0" applyNumberFormat="1" applyFont="1" applyFill="1" applyBorder="1" applyAlignment="1">
      <alignment horizontal="center" vertical="center"/>
    </xf>
    <xf numFmtId="179" fontId="18" fillId="0" borderId="0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82" fontId="18" fillId="0" borderId="1" xfId="0" applyNumberFormat="1" applyFont="1" applyBorder="1" applyAlignment="1">
      <alignment horizontal="center" vertical="center"/>
    </xf>
    <xf numFmtId="181" fontId="23" fillId="0" borderId="0" xfId="0" applyNumberFormat="1" applyFont="1" applyBorder="1" applyAlignment="1">
      <alignment horizontal="center" vertical="center"/>
    </xf>
    <xf numFmtId="9" fontId="21" fillId="0" borderId="0" xfId="0" applyNumberFormat="1" applyFont="1" applyFill="1" applyAlignment="1">
      <alignment horizontal="center" vertical="center"/>
    </xf>
    <xf numFmtId="9" fontId="22" fillId="0" borderId="0" xfId="0" applyNumberFormat="1" applyFont="1" applyFill="1" applyAlignment="1">
      <alignment horizontal="center" vertical="center"/>
    </xf>
    <xf numFmtId="9" fontId="22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9" fontId="7" fillId="0" borderId="0" xfId="1" applyFont="1" applyFill="1" applyBorder="1" applyAlignment="1">
      <alignment horizontal="right" vertical="center"/>
    </xf>
    <xf numFmtId="177" fontId="6" fillId="0" borderId="0" xfId="0" applyNumberFormat="1" applyFont="1" applyFill="1" applyBorder="1" applyAlignment="1">
      <alignment horizontal="right" vertical="center"/>
    </xf>
    <xf numFmtId="0" fontId="26" fillId="0" borderId="0" xfId="0" applyFont="1">
      <alignment vertical="center"/>
    </xf>
    <xf numFmtId="0" fontId="0" fillId="0" borderId="28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26" fillId="0" borderId="33" xfId="0" applyFont="1" applyBorder="1">
      <alignment vertical="center"/>
    </xf>
    <xf numFmtId="0" fontId="25" fillId="0" borderId="26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178" fontId="6" fillId="5" borderId="0" xfId="0" applyNumberFormat="1" applyFont="1" applyFill="1" applyBorder="1">
      <alignment vertical="center"/>
    </xf>
    <xf numFmtId="178" fontId="6" fillId="0" borderId="0" xfId="0" applyNumberFormat="1" applyFont="1" applyFill="1" applyBorder="1">
      <alignment vertical="center"/>
    </xf>
    <xf numFmtId="178" fontId="7" fillId="0" borderId="0" xfId="0" applyNumberFormat="1" applyFont="1" applyBorder="1" applyAlignment="1">
      <alignment horizontal="right" vertical="center"/>
    </xf>
    <xf numFmtId="9" fontId="10" fillId="0" borderId="0" xfId="1" applyFont="1" applyBorder="1">
      <alignment vertical="center"/>
    </xf>
    <xf numFmtId="9" fontId="7" fillId="0" borderId="0" xfId="0" applyNumberFormat="1" applyFont="1" applyBorder="1">
      <alignment vertical="center"/>
    </xf>
    <xf numFmtId="0" fontId="0" fillId="7" borderId="0" xfId="0" applyFill="1" applyBorder="1">
      <alignment vertical="center"/>
    </xf>
    <xf numFmtId="177" fontId="6" fillId="0" borderId="0" xfId="0" applyNumberFormat="1" applyFont="1" applyFill="1" applyBorder="1">
      <alignment vertical="center"/>
    </xf>
    <xf numFmtId="183" fontId="7" fillId="0" borderId="0" xfId="0" applyNumberFormat="1" applyFont="1" applyFill="1" applyBorder="1" applyAlignment="1">
      <alignment horizontal="right" vertical="center"/>
    </xf>
    <xf numFmtId="41" fontId="7" fillId="0" borderId="0" xfId="2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center" vertical="center"/>
    </xf>
    <xf numFmtId="179" fontId="18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9" fillId="0" borderId="0" xfId="1" applyFont="1" applyFill="1" applyBorder="1" applyAlignment="1">
      <alignment horizontal="right" vertical="center"/>
    </xf>
    <xf numFmtId="9" fontId="10" fillId="0" borderId="0" xfId="1" applyFont="1" applyFill="1" applyBorder="1" applyAlignment="1">
      <alignment horizontal="right" vertical="center"/>
    </xf>
    <xf numFmtId="177" fontId="10" fillId="0" borderId="9" xfId="0" applyNumberFormat="1" applyFont="1" applyBorder="1">
      <alignment vertical="center"/>
    </xf>
    <xf numFmtId="177" fontId="10" fillId="7" borderId="0" xfId="0" applyNumberFormat="1" applyFont="1" applyFill="1" applyBorder="1">
      <alignment vertical="center"/>
    </xf>
    <xf numFmtId="177" fontId="6" fillId="7" borderId="0" xfId="0" applyNumberFormat="1" applyFont="1" applyFill="1" applyBorder="1">
      <alignment vertical="center"/>
    </xf>
    <xf numFmtId="177" fontId="6" fillId="2" borderId="0" xfId="0" applyNumberFormat="1" applyFont="1" applyFill="1" applyBorder="1">
      <alignment vertical="center"/>
    </xf>
    <xf numFmtId="177" fontId="7" fillId="7" borderId="0" xfId="0" applyNumberFormat="1" applyFont="1" applyFill="1" applyBorder="1">
      <alignment vertical="center"/>
    </xf>
    <xf numFmtId="176" fontId="7" fillId="7" borderId="0" xfId="0" applyNumberFormat="1" applyFont="1" applyFill="1" applyBorder="1">
      <alignment vertical="center"/>
    </xf>
    <xf numFmtId="178" fontId="9" fillId="6" borderId="0" xfId="0" applyNumberFormat="1" applyFont="1" applyFill="1" applyBorder="1">
      <alignment vertical="center"/>
    </xf>
    <xf numFmtId="178" fontId="5" fillId="0" borderId="0" xfId="0" applyNumberFormat="1" applyFont="1" applyBorder="1" applyAlignment="1">
      <alignment horizontal="right" vertical="center"/>
    </xf>
    <xf numFmtId="177" fontId="12" fillId="9" borderId="0" xfId="0" applyNumberFormat="1" applyFont="1" applyFill="1" applyBorder="1">
      <alignment vertical="center"/>
    </xf>
    <xf numFmtId="9" fontId="9" fillId="0" borderId="9" xfId="0" applyNumberFormat="1" applyFont="1" applyFill="1" applyBorder="1">
      <alignment vertical="center"/>
    </xf>
    <xf numFmtId="183" fontId="6" fillId="0" borderId="0" xfId="0" applyNumberFormat="1" applyFont="1" applyFill="1" applyBorder="1">
      <alignment vertical="center"/>
    </xf>
    <xf numFmtId="177" fontId="11" fillId="0" borderId="0" xfId="0" applyNumberFormat="1" applyFont="1" applyFill="1" applyBorder="1" applyAlignment="1">
      <alignment horizontal="right" vertical="center"/>
    </xf>
    <xf numFmtId="177" fontId="12" fillId="0" borderId="0" xfId="0" applyNumberFormat="1" applyFont="1" applyFill="1" applyBorder="1" applyAlignment="1">
      <alignment horizontal="right" vertical="center"/>
    </xf>
    <xf numFmtId="9" fontId="6" fillId="5" borderId="0" xfId="1" applyFont="1" applyFill="1" applyBorder="1">
      <alignment vertical="center"/>
    </xf>
    <xf numFmtId="9" fontId="6" fillId="0" borderId="0" xfId="1" applyFont="1" applyFill="1" applyBorder="1">
      <alignment vertical="center"/>
    </xf>
    <xf numFmtId="9" fontId="7" fillId="0" borderId="0" xfId="1" applyFont="1" applyFill="1" applyBorder="1">
      <alignment vertical="center"/>
    </xf>
    <xf numFmtId="9" fontId="0" fillId="0" borderId="0" xfId="0" applyNumberFormat="1">
      <alignment vertical="center"/>
    </xf>
    <xf numFmtId="3" fontId="18" fillId="0" borderId="9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right" vertical="center"/>
    </xf>
    <xf numFmtId="0" fontId="8" fillId="0" borderId="13" xfId="0" applyFont="1" applyBorder="1" applyAlignment="1">
      <alignment horizontal="right" vertical="center" indent="1"/>
    </xf>
    <xf numFmtId="0" fontId="27" fillId="0" borderId="13" xfId="0" applyFont="1" applyBorder="1" applyAlignment="1">
      <alignment horizontal="right" vertical="center" indent="1"/>
    </xf>
    <xf numFmtId="0" fontId="8" fillId="0" borderId="13" xfId="0" applyFont="1" applyFill="1" applyBorder="1" applyAlignment="1">
      <alignment horizontal="right" vertical="center"/>
    </xf>
    <xf numFmtId="177" fontId="6" fillId="0" borderId="14" xfId="0" applyNumberFormat="1" applyFont="1" applyFill="1" applyBorder="1">
      <alignment vertical="center"/>
    </xf>
    <xf numFmtId="9" fontId="7" fillId="7" borderId="0" xfId="0" applyNumberFormat="1" applyFont="1" applyFill="1" applyBorder="1">
      <alignment vertical="center"/>
    </xf>
    <xf numFmtId="1" fontId="6" fillId="3" borderId="12" xfId="0" applyNumberFormat="1" applyFont="1" applyFill="1" applyBorder="1">
      <alignment vertical="center"/>
    </xf>
    <xf numFmtId="178" fontId="9" fillId="6" borderId="25" xfId="0" applyNumberFormat="1" applyFont="1" applyFill="1" applyBorder="1">
      <alignment vertical="center"/>
    </xf>
    <xf numFmtId="177" fontId="11" fillId="3" borderId="25" xfId="0" applyNumberFormat="1" applyFont="1" applyFill="1" applyBorder="1">
      <alignment vertical="center"/>
    </xf>
    <xf numFmtId="177" fontId="7" fillId="7" borderId="25" xfId="0" applyNumberFormat="1" applyFont="1" applyFill="1" applyBorder="1">
      <alignment vertical="center"/>
    </xf>
    <xf numFmtId="177" fontId="11" fillId="9" borderId="25" xfId="0" applyNumberFormat="1" applyFont="1" applyFill="1" applyBorder="1">
      <alignment vertical="center"/>
    </xf>
    <xf numFmtId="176" fontId="10" fillId="7" borderId="25" xfId="0" applyNumberFormat="1" applyFont="1" applyFill="1" applyBorder="1">
      <alignment vertical="center"/>
    </xf>
    <xf numFmtId="178" fontId="9" fillId="6" borderId="18" xfId="0" applyNumberFormat="1" applyFont="1" applyFill="1" applyBorder="1">
      <alignment vertical="center"/>
    </xf>
    <xf numFmtId="0" fontId="0" fillId="6" borderId="5" xfId="0" applyFill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0" fillId="6" borderId="0" xfId="0" applyFill="1">
      <alignment vertical="center"/>
    </xf>
    <xf numFmtId="0" fontId="0" fillId="6" borderId="14" xfId="0" applyFill="1" applyBorder="1" applyAlignment="1">
      <alignment horizontal="right" vertical="center"/>
    </xf>
    <xf numFmtId="1" fontId="0" fillId="0" borderId="14" xfId="0" applyNumberFormat="1" applyBorder="1">
      <alignment vertical="center"/>
    </xf>
    <xf numFmtId="0" fontId="0" fillId="0" borderId="14" xfId="0" applyBorder="1">
      <alignment vertical="center"/>
    </xf>
    <xf numFmtId="0" fontId="26" fillId="0" borderId="17" xfId="0" applyFont="1" applyBorder="1">
      <alignment vertical="center"/>
    </xf>
    <xf numFmtId="1" fontId="0" fillId="0" borderId="1" xfId="0" applyNumberFormat="1" applyBorder="1">
      <alignment vertical="center"/>
    </xf>
    <xf numFmtId="1" fontId="0" fillId="0" borderId="4" xfId="0" applyNumberFormat="1" applyBorder="1">
      <alignment vertical="center"/>
    </xf>
    <xf numFmtId="181" fontId="23" fillId="0" borderId="0" xfId="0" applyNumberFormat="1" applyFont="1" applyAlignment="1">
      <alignment horizontal="center" vertical="center"/>
    </xf>
    <xf numFmtId="0" fontId="0" fillId="13" borderId="5" xfId="0" applyFill="1" applyBorder="1">
      <alignment vertical="center"/>
    </xf>
    <xf numFmtId="0" fontId="0" fillId="13" borderId="0" xfId="0" applyFill="1">
      <alignment vertical="center"/>
    </xf>
    <xf numFmtId="0" fontId="0" fillId="13" borderId="14" xfId="0" applyFill="1" applyBorder="1" applyAlignment="1">
      <alignment horizontal="right" vertical="center"/>
    </xf>
    <xf numFmtId="9" fontId="22" fillId="0" borderId="0" xfId="0" applyNumberFormat="1" applyFont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177" fontId="18" fillId="0" borderId="0" xfId="0" applyNumberFormat="1" applyFont="1" applyBorder="1" applyAlignment="1">
      <alignment horizontal="center" vertical="center"/>
    </xf>
    <xf numFmtId="178" fontId="18" fillId="0" borderId="0" xfId="0" applyNumberFormat="1" applyFont="1" applyBorder="1" applyAlignment="1">
      <alignment horizontal="center" vertical="center"/>
    </xf>
    <xf numFmtId="181" fontId="24" fillId="0" borderId="0" xfId="0" applyNumberFormat="1" applyFont="1" applyBorder="1" applyAlignment="1">
      <alignment horizontal="center" vertical="center"/>
    </xf>
    <xf numFmtId="182" fontId="18" fillId="0" borderId="0" xfId="0" applyNumberFormat="1" applyFont="1" applyBorder="1" applyAlignment="1">
      <alignment horizontal="center" vertical="center"/>
    </xf>
    <xf numFmtId="182" fontId="20" fillId="0" borderId="0" xfId="0" applyNumberFormat="1" applyFont="1" applyBorder="1" applyAlignment="1">
      <alignment horizontal="center" vertical="center"/>
    </xf>
    <xf numFmtId="182" fontId="20" fillId="0" borderId="0" xfId="0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179" fontId="18" fillId="0" borderId="1" xfId="0" applyNumberFormat="1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177" fontId="18" fillId="0" borderId="17" xfId="0" applyNumberFormat="1" applyFont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177" fontId="18" fillId="0" borderId="8" xfId="0" applyNumberFormat="1" applyFont="1" applyBorder="1" applyAlignment="1">
      <alignment horizontal="center" vertical="center"/>
    </xf>
    <xf numFmtId="177" fontId="18" fillId="0" borderId="13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179" fontId="18" fillId="0" borderId="15" xfId="0" applyNumberFormat="1" applyFont="1" applyBorder="1" applyAlignment="1">
      <alignment horizontal="center" vertical="center"/>
    </xf>
    <xf numFmtId="179" fontId="20" fillId="6" borderId="44" xfId="0" applyNumberFormat="1" applyFont="1" applyFill="1" applyBorder="1" applyAlignment="1">
      <alignment horizontal="center" vertical="center"/>
    </xf>
    <xf numFmtId="3" fontId="18" fillId="0" borderId="11" xfId="0" applyNumberFormat="1" applyFont="1" applyBorder="1" applyAlignment="1">
      <alignment horizontal="center" vertical="center"/>
    </xf>
    <xf numFmtId="179" fontId="18" fillId="0" borderId="16" xfId="0" applyNumberFormat="1" applyFont="1" applyBorder="1" applyAlignment="1">
      <alignment horizontal="center" vertical="center"/>
    </xf>
    <xf numFmtId="9" fontId="22" fillId="0" borderId="15" xfId="0" applyNumberFormat="1" applyFont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9" fontId="18" fillId="0" borderId="1" xfId="0" applyNumberFormat="1" applyFont="1" applyBorder="1" applyAlignment="1">
      <alignment horizontal="center" vertical="center"/>
    </xf>
    <xf numFmtId="9" fontId="18" fillId="0" borderId="0" xfId="0" applyNumberFormat="1" applyFont="1" applyAlignment="1">
      <alignment horizontal="center" vertical="center"/>
    </xf>
    <xf numFmtId="9" fontId="18" fillId="0" borderId="45" xfId="0" applyNumberFormat="1" applyFont="1" applyBorder="1" applyAlignment="1">
      <alignment horizontal="center" vertical="center"/>
    </xf>
    <xf numFmtId="183" fontId="9" fillId="0" borderId="0" xfId="0" applyNumberFormat="1" applyFont="1" applyFill="1" applyBorder="1">
      <alignment vertical="center"/>
    </xf>
    <xf numFmtId="181" fontId="23" fillId="0" borderId="3" xfId="0" applyNumberFormat="1" applyFont="1" applyBorder="1" applyAlignment="1">
      <alignment horizontal="center" vertical="center"/>
    </xf>
    <xf numFmtId="181" fontId="23" fillId="0" borderId="7" xfId="0" applyNumberFormat="1" applyFont="1" applyBorder="1" applyAlignment="1">
      <alignment horizontal="center" vertical="center"/>
    </xf>
    <xf numFmtId="182" fontId="18" fillId="0" borderId="45" xfId="0" applyNumberFormat="1" applyFont="1" applyBorder="1" applyAlignment="1">
      <alignment horizontal="center" vertical="center"/>
    </xf>
    <xf numFmtId="182" fontId="18" fillId="0" borderId="4" xfId="0" applyNumberFormat="1" applyFont="1" applyBorder="1" applyAlignment="1">
      <alignment horizontal="center" vertical="center"/>
    </xf>
    <xf numFmtId="9" fontId="28" fillId="0" borderId="0" xfId="0" applyNumberFormat="1" applyFont="1" applyAlignment="1">
      <alignment horizontal="center" vertical="center"/>
    </xf>
    <xf numFmtId="9" fontId="28" fillId="0" borderId="0" xfId="0" applyNumberFormat="1" applyFont="1" applyFill="1" applyAlignment="1">
      <alignment horizontal="center" vertical="center"/>
    </xf>
    <xf numFmtId="9" fontId="28" fillId="0" borderId="15" xfId="0" applyNumberFormat="1" applyFont="1" applyFill="1" applyBorder="1" applyAlignment="1">
      <alignment horizontal="center" vertical="center"/>
    </xf>
    <xf numFmtId="9" fontId="28" fillId="0" borderId="0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right" vertical="center"/>
    </xf>
    <xf numFmtId="177" fontId="18" fillId="0" borderId="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right" vertical="center"/>
    </xf>
    <xf numFmtId="1" fontId="0" fillId="0" borderId="0" xfId="0" applyNumberFormat="1" applyFill="1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5" fillId="0" borderId="28" xfId="0" applyFont="1" applyFill="1" applyBorder="1" applyAlignment="1">
      <alignment horizontal="center" vertical="center"/>
    </xf>
    <xf numFmtId="1" fontId="0" fillId="12" borderId="28" xfId="0" applyNumberFormat="1" applyFill="1" applyBorder="1">
      <alignment vertical="center"/>
    </xf>
    <xf numFmtId="0" fontId="0" fillId="0" borderId="39" xfId="0" applyBorder="1">
      <alignment vertical="center"/>
    </xf>
    <xf numFmtId="1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1" fontId="0" fillId="0" borderId="0" xfId="0" applyNumberFormat="1" applyBorder="1" applyAlignment="1">
      <alignment horizontal="center" vertical="center"/>
    </xf>
    <xf numFmtId="1" fontId="0" fillId="2" borderId="43" xfId="0" applyNumberFormat="1" applyFill="1" applyBorder="1">
      <alignment vertical="center"/>
    </xf>
    <xf numFmtId="1" fontId="0" fillId="0" borderId="39" xfId="0" applyNumberFormat="1" applyBorder="1">
      <alignment vertical="center"/>
    </xf>
    <xf numFmtId="0" fontId="25" fillId="0" borderId="46" xfId="0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right" vertical="center"/>
    </xf>
    <xf numFmtId="9" fontId="0" fillId="0" borderId="0" xfId="1" applyFont="1" applyFill="1" applyBorder="1">
      <alignment vertical="center"/>
    </xf>
    <xf numFmtId="9" fontId="0" fillId="0" borderId="0" xfId="1" applyFont="1" applyFill="1">
      <alignment vertical="center"/>
    </xf>
    <xf numFmtId="177" fontId="11" fillId="0" borderId="0" xfId="0" applyNumberFormat="1" applyFont="1" applyFill="1" applyBorder="1">
      <alignment vertical="center"/>
    </xf>
    <xf numFmtId="177" fontId="6" fillId="3" borderId="0" xfId="0" applyNumberFormat="1" applyFont="1" applyFill="1" applyBorder="1">
      <alignment vertical="center"/>
    </xf>
    <xf numFmtId="177" fontId="11" fillId="3" borderId="0" xfId="0" applyNumberFormat="1" applyFont="1" applyFill="1" applyBorder="1" applyAlignment="1">
      <alignment horizontal="right" vertical="center"/>
    </xf>
    <xf numFmtId="183" fontId="11" fillId="3" borderId="0" xfId="0" applyNumberFormat="1" applyFont="1" applyFill="1" applyBorder="1">
      <alignment vertical="center"/>
    </xf>
    <xf numFmtId="0" fontId="0" fillId="6" borderId="0" xfId="0" applyFill="1" applyBorder="1" applyAlignment="1">
      <alignment horizontal="right" vertical="center"/>
    </xf>
    <xf numFmtId="0" fontId="0" fillId="13" borderId="0" xfId="0" applyFill="1" applyBorder="1" applyAlignment="1">
      <alignment horizontal="right" vertical="center"/>
    </xf>
    <xf numFmtId="0" fontId="0" fillId="13" borderId="0" xfId="0" applyFill="1" applyBorder="1">
      <alignment vertical="center"/>
    </xf>
    <xf numFmtId="0" fontId="0" fillId="0" borderId="3" xfId="0" applyFill="1" applyBorder="1">
      <alignment vertical="center"/>
    </xf>
    <xf numFmtId="0" fontId="0" fillId="6" borderId="0" xfId="0" applyFill="1" applyBorder="1">
      <alignment vertical="center"/>
    </xf>
    <xf numFmtId="1" fontId="0" fillId="0" borderId="0" xfId="0" applyNumberFormat="1" applyFill="1">
      <alignment vertical="center"/>
    </xf>
    <xf numFmtId="1" fontId="0" fillId="0" borderId="14" xfId="0" applyNumberFormat="1" applyFill="1" applyBorder="1">
      <alignment vertical="center"/>
    </xf>
    <xf numFmtId="9" fontId="0" fillId="0" borderId="0" xfId="1" applyFont="1">
      <alignment vertical="center"/>
    </xf>
    <xf numFmtId="1" fontId="0" fillId="12" borderId="31" xfId="0" applyNumberFormat="1" applyFill="1" applyBorder="1">
      <alignment vertical="center"/>
    </xf>
    <xf numFmtId="14" fontId="0" fillId="0" borderId="0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right" vertical="center"/>
    </xf>
    <xf numFmtId="184" fontId="6" fillId="0" borderId="0" xfId="2" applyNumberFormat="1" applyFont="1" applyFill="1" applyBorder="1" applyAlignment="1">
      <alignment horizontal="right" vertical="center"/>
    </xf>
    <xf numFmtId="178" fontId="6" fillId="0" borderId="0" xfId="0" applyNumberFormat="1" applyFont="1" applyBorder="1" applyAlignment="1">
      <alignment horizontal="right" vertical="center"/>
    </xf>
    <xf numFmtId="185" fontId="0" fillId="0" borderId="0" xfId="0" applyNumberFormat="1" applyBorder="1">
      <alignment vertical="center"/>
    </xf>
    <xf numFmtId="0" fontId="5" fillId="4" borderId="52" xfId="0" applyFont="1" applyFill="1" applyBorder="1" applyAlignment="1">
      <alignment horizontal="center" vertical="center"/>
    </xf>
    <xf numFmtId="186" fontId="7" fillId="0" borderId="0" xfId="0" applyNumberFormat="1" applyFont="1" applyFill="1" applyBorder="1">
      <alignment vertical="center"/>
    </xf>
    <xf numFmtId="186" fontId="8" fillId="0" borderId="0" xfId="0" applyNumberFormat="1" applyFont="1" applyFill="1" applyBorder="1">
      <alignment vertical="center"/>
    </xf>
    <xf numFmtId="177" fontId="10" fillId="13" borderId="9" xfId="0" applyNumberFormat="1" applyFont="1" applyFill="1" applyBorder="1">
      <alignment vertical="center"/>
    </xf>
    <xf numFmtId="183" fontId="11" fillId="0" borderId="0" xfId="0" applyNumberFormat="1" applyFont="1" applyFill="1" applyBorder="1">
      <alignment vertical="center"/>
    </xf>
    <xf numFmtId="183" fontId="11" fillId="13" borderId="0" xfId="0" applyNumberFormat="1" applyFont="1" applyFill="1" applyBorder="1">
      <alignment vertical="center"/>
    </xf>
    <xf numFmtId="177" fontId="10" fillId="13" borderId="0" xfId="0" applyNumberFormat="1" applyFont="1" applyFill="1" applyBorder="1">
      <alignment vertical="center"/>
    </xf>
    <xf numFmtId="0" fontId="5" fillId="0" borderId="0" xfId="0" applyFont="1">
      <alignment vertical="center"/>
    </xf>
    <xf numFmtId="49" fontId="16" fillId="0" borderId="5" xfId="0" applyNumberFormat="1" applyFont="1" applyFill="1" applyBorder="1">
      <alignment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76" fontId="16" fillId="3" borderId="13" xfId="0" applyNumberFormat="1" applyFont="1" applyFill="1" applyBorder="1">
      <alignment vertical="center"/>
    </xf>
    <xf numFmtId="177" fontId="11" fillId="3" borderId="14" xfId="0" applyNumberFormat="1" applyFont="1" applyFill="1" applyBorder="1" applyAlignment="1">
      <alignment horizontal="right" vertical="center"/>
    </xf>
    <xf numFmtId="0" fontId="9" fillId="0" borderId="8" xfId="0" applyFont="1" applyBorder="1" applyAlignment="1">
      <alignment horizontal="right" vertical="center"/>
    </xf>
    <xf numFmtId="177" fontId="10" fillId="13" borderId="10" xfId="0" applyNumberFormat="1" applyFont="1" applyFill="1" applyBorder="1">
      <alignment vertical="center"/>
    </xf>
    <xf numFmtId="0" fontId="16" fillId="0" borderId="13" xfId="0" applyFont="1" applyFill="1" applyBorder="1">
      <alignment vertical="center"/>
    </xf>
    <xf numFmtId="177" fontId="11" fillId="0" borderId="14" xfId="0" applyNumberFormat="1" applyFont="1" applyFill="1" applyBorder="1" applyAlignment="1">
      <alignment horizontal="right" vertical="center"/>
    </xf>
    <xf numFmtId="0" fontId="27" fillId="0" borderId="13" xfId="0" applyFont="1" applyFill="1" applyBorder="1" applyAlignment="1">
      <alignment horizontal="right" vertical="center" indent="1"/>
    </xf>
    <xf numFmtId="9" fontId="7" fillId="0" borderId="14" xfId="1" applyFont="1" applyFill="1" applyBorder="1" applyAlignment="1">
      <alignment horizontal="right" vertical="center"/>
    </xf>
    <xf numFmtId="9" fontId="6" fillId="5" borderId="14" xfId="1" applyFont="1" applyFill="1" applyBorder="1">
      <alignment vertical="center"/>
    </xf>
    <xf numFmtId="0" fontId="8" fillId="0" borderId="13" xfId="0" applyFont="1" applyFill="1" applyBorder="1" applyAlignment="1">
      <alignment horizontal="right" vertical="center" indent="1"/>
    </xf>
    <xf numFmtId="9" fontId="6" fillId="0" borderId="14" xfId="1" applyFont="1" applyFill="1" applyBorder="1">
      <alignment vertical="center"/>
    </xf>
    <xf numFmtId="0" fontId="8" fillId="0" borderId="13" xfId="0" applyFont="1" applyFill="1" applyBorder="1">
      <alignment vertical="center"/>
    </xf>
    <xf numFmtId="9" fontId="10" fillId="0" borderId="14" xfId="1" applyFont="1" applyFill="1" applyBorder="1" applyAlignment="1">
      <alignment horizontal="right" vertical="center"/>
    </xf>
    <xf numFmtId="9" fontId="9" fillId="0" borderId="14" xfId="1" applyFont="1" applyFill="1" applyBorder="1" applyAlignment="1">
      <alignment horizontal="right" vertical="center"/>
    </xf>
    <xf numFmtId="0" fontId="7" fillId="0" borderId="13" xfId="0" applyFont="1" applyFill="1" applyBorder="1" applyAlignment="1">
      <alignment vertical="center"/>
    </xf>
    <xf numFmtId="186" fontId="7" fillId="0" borderId="14" xfId="0" applyNumberFormat="1" applyFont="1" applyFill="1" applyBorder="1">
      <alignment vertical="center"/>
    </xf>
    <xf numFmtId="0" fontId="9" fillId="0" borderId="8" xfId="0" applyFont="1" applyFill="1" applyBorder="1" applyAlignment="1">
      <alignment horizontal="right" vertical="center" indent="1"/>
    </xf>
    <xf numFmtId="9" fontId="9" fillId="0" borderId="10" xfId="0" applyNumberFormat="1" applyFont="1" applyFill="1" applyBorder="1">
      <alignment vertical="center"/>
    </xf>
    <xf numFmtId="177" fontId="12" fillId="0" borderId="14" xfId="0" applyNumberFormat="1" applyFont="1" applyFill="1" applyBorder="1" applyAlignment="1">
      <alignment horizontal="right" vertical="center"/>
    </xf>
    <xf numFmtId="178" fontId="7" fillId="0" borderId="14" xfId="0" applyNumberFormat="1" applyFont="1" applyBorder="1" applyAlignment="1">
      <alignment horizontal="right" vertical="center"/>
    </xf>
    <xf numFmtId="178" fontId="6" fillId="5" borderId="14" xfId="0" applyNumberFormat="1" applyFont="1" applyFill="1" applyBorder="1">
      <alignment vertical="center"/>
    </xf>
    <xf numFmtId="9" fontId="10" fillId="0" borderId="14" xfId="1" applyFont="1" applyBorder="1">
      <alignment vertical="center"/>
    </xf>
    <xf numFmtId="41" fontId="7" fillId="0" borderId="14" xfId="2" applyFont="1" applyFill="1" applyBorder="1" applyAlignment="1">
      <alignment horizontal="right" vertical="center"/>
    </xf>
    <xf numFmtId="0" fontId="9" fillId="0" borderId="13" xfId="0" applyFont="1" applyBorder="1" applyAlignment="1">
      <alignment horizontal="right" vertical="center" indent="1"/>
    </xf>
    <xf numFmtId="9" fontId="7" fillId="0" borderId="14" xfId="0" applyNumberFormat="1" applyFont="1" applyBorder="1">
      <alignment vertical="center"/>
    </xf>
    <xf numFmtId="183" fontId="7" fillId="0" borderId="14" xfId="0" applyNumberFormat="1" applyFont="1" applyFill="1" applyBorder="1" applyAlignment="1">
      <alignment horizontal="right" vertical="center"/>
    </xf>
    <xf numFmtId="183" fontId="9" fillId="0" borderId="14" xfId="0" applyNumberFormat="1" applyFont="1" applyFill="1" applyBorder="1">
      <alignment vertical="center"/>
    </xf>
    <xf numFmtId="0" fontId="7" fillId="3" borderId="13" xfId="0" applyFont="1" applyFill="1" applyBorder="1">
      <alignment vertical="center"/>
    </xf>
    <xf numFmtId="177" fontId="6" fillId="3" borderId="14" xfId="0" applyNumberFormat="1" applyFont="1" applyFill="1" applyBorder="1">
      <alignment vertical="center"/>
    </xf>
    <xf numFmtId="0" fontId="11" fillId="0" borderId="13" xfId="0" applyFont="1" applyFill="1" applyBorder="1">
      <alignment vertical="center"/>
    </xf>
    <xf numFmtId="177" fontId="11" fillId="0" borderId="14" xfId="0" applyNumberFormat="1" applyFont="1" applyFill="1" applyBorder="1">
      <alignment vertical="center"/>
    </xf>
    <xf numFmtId="0" fontId="7" fillId="0" borderId="13" xfId="0" applyFont="1" applyFill="1" applyBorder="1">
      <alignment vertical="center"/>
    </xf>
    <xf numFmtId="183" fontId="6" fillId="0" borderId="14" xfId="0" applyNumberFormat="1" applyFont="1" applyFill="1" applyBorder="1">
      <alignment vertical="center"/>
    </xf>
    <xf numFmtId="0" fontId="7" fillId="0" borderId="13" xfId="0" applyFont="1" applyFill="1" applyBorder="1" applyAlignment="1">
      <alignment horizontal="right" vertical="center" indent="1"/>
    </xf>
    <xf numFmtId="9" fontId="7" fillId="0" borderId="14" xfId="1" applyFont="1" applyFill="1" applyBorder="1">
      <alignment vertical="center"/>
    </xf>
    <xf numFmtId="0" fontId="11" fillId="3" borderId="13" xfId="0" applyFont="1" applyFill="1" applyBorder="1">
      <alignment vertical="center"/>
    </xf>
    <xf numFmtId="183" fontId="11" fillId="3" borderId="14" xfId="0" applyNumberFormat="1" applyFont="1" applyFill="1" applyBorder="1">
      <alignment vertical="center"/>
    </xf>
    <xf numFmtId="0" fontId="9" fillId="0" borderId="13" xfId="0" applyFont="1" applyFill="1" applyBorder="1" applyAlignment="1">
      <alignment horizontal="right" vertical="center"/>
    </xf>
    <xf numFmtId="183" fontId="11" fillId="13" borderId="14" xfId="0" applyNumberFormat="1" applyFont="1" applyFill="1" applyBorder="1">
      <alignment vertical="center"/>
    </xf>
    <xf numFmtId="0" fontId="9" fillId="6" borderId="13" xfId="0" applyFont="1" applyFill="1" applyBorder="1" applyAlignment="1">
      <alignment horizontal="right" vertical="center" indent="1"/>
    </xf>
    <xf numFmtId="178" fontId="9" fillId="6" borderId="14" xfId="0" applyNumberFormat="1" applyFont="1" applyFill="1" applyBorder="1">
      <alignment vertical="center"/>
    </xf>
    <xf numFmtId="178" fontId="6" fillId="0" borderId="14" xfId="0" applyNumberFormat="1" applyFont="1" applyFill="1" applyBorder="1">
      <alignment vertical="center"/>
    </xf>
    <xf numFmtId="0" fontId="7" fillId="0" borderId="13" xfId="0" applyFont="1" applyFill="1" applyBorder="1" applyAlignment="1">
      <alignment horizontal="left" vertical="center"/>
    </xf>
    <xf numFmtId="0" fontId="7" fillId="7" borderId="13" xfId="0" applyFont="1" applyFill="1" applyBorder="1" applyAlignment="1">
      <alignment horizontal="left" vertical="center" indent="1"/>
    </xf>
    <xf numFmtId="178" fontId="5" fillId="0" borderId="14" xfId="0" applyNumberFormat="1" applyFont="1" applyBorder="1" applyAlignment="1">
      <alignment horizontal="right" vertical="center"/>
    </xf>
    <xf numFmtId="177" fontId="11" fillId="0" borderId="13" xfId="0" applyNumberFormat="1" applyFont="1" applyFill="1" applyBorder="1">
      <alignment vertical="center"/>
    </xf>
    <xf numFmtId="177" fontId="10" fillId="13" borderId="14" xfId="0" applyNumberFormat="1" applyFont="1" applyFill="1" applyBorder="1">
      <alignment vertical="center"/>
    </xf>
    <xf numFmtId="0" fontId="11" fillId="9" borderId="13" xfId="0" applyFont="1" applyFill="1" applyBorder="1">
      <alignment vertical="center"/>
    </xf>
    <xf numFmtId="177" fontId="12" fillId="9" borderId="14" xfId="0" applyNumberFormat="1" applyFont="1" applyFill="1" applyBorder="1">
      <alignment vertical="center"/>
    </xf>
    <xf numFmtId="0" fontId="9" fillId="6" borderId="17" xfId="0" applyFont="1" applyFill="1" applyBorder="1" applyAlignment="1">
      <alignment horizontal="right" vertical="center" indent="1"/>
    </xf>
    <xf numFmtId="178" fontId="9" fillId="6" borderId="1" xfId="0" applyNumberFormat="1" applyFont="1" applyFill="1" applyBorder="1">
      <alignment vertical="center"/>
    </xf>
    <xf numFmtId="178" fontId="9" fillId="6" borderId="4" xfId="0" applyNumberFormat="1" applyFont="1" applyFill="1" applyBorder="1">
      <alignment vertical="center"/>
    </xf>
    <xf numFmtId="187" fontId="5" fillId="0" borderId="21" xfId="0" applyNumberFormat="1" applyFont="1" applyBorder="1" applyAlignment="1">
      <alignment horizontal="center" vertical="center"/>
    </xf>
    <xf numFmtId="183" fontId="9" fillId="13" borderId="0" xfId="0" applyNumberFormat="1" applyFont="1" applyFill="1" applyBorder="1">
      <alignment vertical="center"/>
    </xf>
    <xf numFmtId="178" fontId="9" fillId="6" borderId="12" xfId="0" applyNumberFormat="1" applyFont="1" applyFill="1" applyBorder="1">
      <alignment vertical="center"/>
    </xf>
    <xf numFmtId="9" fontId="8" fillId="0" borderId="39" xfId="0" applyNumberFormat="1" applyFont="1" applyBorder="1">
      <alignment vertical="center"/>
    </xf>
    <xf numFmtId="177" fontId="6" fillId="3" borderId="50" xfId="0" applyNumberFormat="1" applyFont="1" applyFill="1" applyBorder="1">
      <alignment vertical="center"/>
    </xf>
    <xf numFmtId="9" fontId="7" fillId="7" borderId="39" xfId="0" applyNumberFormat="1" applyFont="1" applyFill="1" applyBorder="1">
      <alignment vertical="center"/>
    </xf>
    <xf numFmtId="177" fontId="6" fillId="7" borderId="39" xfId="0" applyNumberFormat="1" applyFont="1" applyFill="1" applyBorder="1">
      <alignment vertical="center"/>
    </xf>
    <xf numFmtId="177" fontId="7" fillId="7" borderId="55" xfId="0" applyNumberFormat="1" applyFont="1" applyFill="1" applyBorder="1">
      <alignment vertical="center"/>
    </xf>
    <xf numFmtId="177" fontId="11" fillId="9" borderId="55" xfId="0" applyNumberFormat="1" applyFont="1" applyFill="1" applyBorder="1">
      <alignment vertical="center"/>
    </xf>
    <xf numFmtId="178" fontId="9" fillId="6" borderId="47" xfId="0" applyNumberFormat="1" applyFont="1" applyFill="1" applyBorder="1">
      <alignment vertical="center"/>
    </xf>
    <xf numFmtId="178" fontId="9" fillId="6" borderId="40" xfId="0" applyNumberFormat="1" applyFont="1" applyFill="1" applyBorder="1">
      <alignment vertical="center"/>
    </xf>
    <xf numFmtId="1" fontId="6" fillId="3" borderId="50" xfId="0" applyNumberFormat="1" applyFont="1" applyFill="1" applyBorder="1">
      <alignment vertical="center"/>
    </xf>
    <xf numFmtId="0" fontId="0" fillId="6" borderId="14" xfId="0" applyFill="1" applyBorder="1">
      <alignment vertical="center"/>
    </xf>
    <xf numFmtId="0" fontId="0" fillId="13" borderId="14" xfId="0" applyFill="1" applyBorder="1">
      <alignment vertical="center"/>
    </xf>
    <xf numFmtId="0" fontId="0" fillId="0" borderId="38" xfId="0" applyBorder="1">
      <alignment vertical="center"/>
    </xf>
    <xf numFmtId="9" fontId="6" fillId="5" borderId="39" xfId="0" applyNumberFormat="1" applyFont="1" applyFill="1" applyBorder="1">
      <alignment vertical="center"/>
    </xf>
    <xf numFmtId="177" fontId="7" fillId="0" borderId="54" xfId="0" applyNumberFormat="1" applyFont="1" applyBorder="1">
      <alignment vertical="center"/>
    </xf>
    <xf numFmtId="178" fontId="9" fillId="6" borderId="50" xfId="0" applyNumberFormat="1" applyFont="1" applyFill="1" applyBorder="1">
      <alignment vertical="center"/>
    </xf>
    <xf numFmtId="177" fontId="11" fillId="3" borderId="50" xfId="0" applyNumberFormat="1" applyFont="1" applyFill="1" applyBorder="1">
      <alignment vertical="center"/>
    </xf>
    <xf numFmtId="9" fontId="6" fillId="7" borderId="39" xfId="0" applyNumberFormat="1" applyFont="1" applyFill="1" applyBorder="1">
      <alignment vertical="center"/>
    </xf>
    <xf numFmtId="9" fontId="6" fillId="8" borderId="54" xfId="0" applyNumberFormat="1" applyFont="1" applyFill="1" applyBorder="1">
      <alignment vertical="center"/>
    </xf>
    <xf numFmtId="177" fontId="6" fillId="7" borderId="54" xfId="0" applyNumberFormat="1" applyFont="1" applyFill="1" applyBorder="1">
      <alignment vertical="center"/>
    </xf>
    <xf numFmtId="177" fontId="7" fillId="7" borderId="39" xfId="0" applyNumberFormat="1" applyFont="1" applyFill="1" applyBorder="1">
      <alignment vertical="center"/>
    </xf>
    <xf numFmtId="9" fontId="5" fillId="0" borderId="54" xfId="0" applyNumberFormat="1" applyFont="1" applyBorder="1" applyAlignment="1">
      <alignment horizontal="right" vertical="center"/>
    </xf>
    <xf numFmtId="0" fontId="16" fillId="2" borderId="53" xfId="0" applyFont="1" applyFill="1" applyBorder="1" applyAlignment="1">
      <alignment horizontal="center" vertical="center"/>
    </xf>
    <xf numFmtId="177" fontId="5" fillId="3" borderId="32" xfId="0" applyNumberFormat="1" applyFont="1" applyFill="1" applyBorder="1" applyAlignment="1">
      <alignment horizontal="right" vertical="center"/>
    </xf>
    <xf numFmtId="9" fontId="6" fillId="5" borderId="59" xfId="0" applyNumberFormat="1" applyFont="1" applyFill="1" applyBorder="1">
      <alignment vertical="center"/>
    </xf>
    <xf numFmtId="177" fontId="6" fillId="3" borderId="30" xfId="0" applyNumberFormat="1" applyFont="1" applyFill="1" applyBorder="1">
      <alignment vertical="center"/>
    </xf>
    <xf numFmtId="178" fontId="9" fillId="6" borderId="30" xfId="0" applyNumberFormat="1" applyFont="1" applyFill="1" applyBorder="1">
      <alignment vertical="center"/>
    </xf>
    <xf numFmtId="177" fontId="11" fillId="3" borderId="30" xfId="0" applyNumberFormat="1" applyFont="1" applyFill="1" applyBorder="1">
      <alignment vertical="center"/>
    </xf>
    <xf numFmtId="177" fontId="10" fillId="7" borderId="59" xfId="0" applyNumberFormat="1" applyFont="1" applyFill="1" applyBorder="1">
      <alignment vertical="center"/>
    </xf>
    <xf numFmtId="9" fontId="6" fillId="8" borderId="32" xfId="0" applyNumberFormat="1" applyFont="1" applyFill="1" applyBorder="1">
      <alignment vertical="center"/>
    </xf>
    <xf numFmtId="177" fontId="6" fillId="7" borderId="59" xfId="0" applyNumberFormat="1" applyFont="1" applyFill="1" applyBorder="1">
      <alignment vertical="center"/>
    </xf>
    <xf numFmtId="177" fontId="6" fillId="7" borderId="32" xfId="0" applyNumberFormat="1" applyFont="1" applyFill="1" applyBorder="1">
      <alignment vertical="center"/>
    </xf>
    <xf numFmtId="177" fontId="7" fillId="7" borderId="59" xfId="0" applyNumberFormat="1" applyFont="1" applyFill="1" applyBorder="1">
      <alignment vertical="center"/>
    </xf>
    <xf numFmtId="177" fontId="10" fillId="7" borderId="60" xfId="0" applyNumberFormat="1" applyFont="1" applyFill="1" applyBorder="1">
      <alignment vertical="center"/>
    </xf>
    <xf numFmtId="177" fontId="11" fillId="9" borderId="30" xfId="0" applyNumberFormat="1" applyFont="1" applyFill="1" applyBorder="1">
      <alignment vertical="center"/>
    </xf>
    <xf numFmtId="177" fontId="10" fillId="10" borderId="39" xfId="0" applyNumberFormat="1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62" xfId="0" applyFill="1" applyBorder="1">
      <alignment vertical="center"/>
    </xf>
    <xf numFmtId="1" fontId="5" fillId="3" borderId="29" xfId="0" applyNumberFormat="1" applyFont="1" applyFill="1" applyBorder="1" applyAlignment="1">
      <alignment horizontal="right" vertical="center"/>
    </xf>
    <xf numFmtId="178" fontId="9" fillId="6" borderId="63" xfId="0" applyNumberFormat="1" applyFont="1" applyFill="1" applyBorder="1">
      <alignment vertical="center"/>
    </xf>
    <xf numFmtId="177" fontId="11" fillId="3" borderId="63" xfId="0" applyNumberFormat="1" applyFont="1" applyFill="1" applyBorder="1">
      <alignment vertical="center"/>
    </xf>
    <xf numFmtId="177" fontId="9" fillId="7" borderId="63" xfId="0" applyNumberFormat="1" applyFont="1" applyFill="1" applyBorder="1">
      <alignment vertical="center"/>
    </xf>
    <xf numFmtId="9" fontId="7" fillId="7" borderId="24" xfId="0" applyNumberFormat="1" applyFont="1" applyFill="1" applyBorder="1">
      <alignment vertical="center"/>
    </xf>
    <xf numFmtId="177" fontId="7" fillId="7" borderId="63" xfId="0" applyNumberFormat="1" applyFont="1" applyFill="1" applyBorder="1">
      <alignment vertical="center"/>
    </xf>
    <xf numFmtId="177" fontId="11" fillId="9" borderId="63" xfId="0" applyNumberFormat="1" applyFont="1" applyFill="1" applyBorder="1">
      <alignment vertical="center"/>
    </xf>
    <xf numFmtId="178" fontId="9" fillId="6" borderId="19" xfId="0" applyNumberFormat="1" applyFont="1" applyFill="1" applyBorder="1">
      <alignment vertical="center"/>
    </xf>
    <xf numFmtId="178" fontId="9" fillId="6" borderId="29" xfId="0" applyNumberFormat="1" applyFont="1" applyFill="1" applyBorder="1">
      <alignment vertical="center"/>
    </xf>
    <xf numFmtId="177" fontId="5" fillId="7" borderId="0" xfId="0" applyNumberFormat="1" applyFont="1" applyFill="1" applyBorder="1" applyAlignment="1">
      <alignment horizontal="right" vertical="center"/>
    </xf>
    <xf numFmtId="183" fontId="5" fillId="7" borderId="24" xfId="0" applyNumberFormat="1" applyFont="1" applyFill="1" applyBorder="1" applyAlignment="1">
      <alignment horizontal="right" vertical="center"/>
    </xf>
    <xf numFmtId="9" fontId="5" fillId="7" borderId="24" xfId="0" applyNumberFormat="1" applyFont="1" applyFill="1" applyBorder="1" applyAlignment="1">
      <alignment horizontal="right" vertical="center"/>
    </xf>
    <xf numFmtId="14" fontId="0" fillId="0" borderId="0" xfId="0" applyNumberForma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6" fillId="0" borderId="35" xfId="0" applyFont="1" applyBorder="1">
      <alignment vertical="center"/>
    </xf>
    <xf numFmtId="0" fontId="26" fillId="0" borderId="34" xfId="0" applyFont="1" applyBorder="1">
      <alignment vertical="center"/>
    </xf>
    <xf numFmtId="0" fontId="0" fillId="12" borderId="56" xfId="0" applyFill="1" applyBorder="1">
      <alignment vertical="center"/>
    </xf>
    <xf numFmtId="1" fontId="25" fillId="14" borderId="26" xfId="0" applyNumberFormat="1" applyFont="1" applyFill="1" applyBorder="1" applyAlignment="1">
      <alignment horizontal="center" vertical="center"/>
    </xf>
    <xf numFmtId="1" fontId="25" fillId="14" borderId="31" xfId="0" applyNumberFormat="1" applyFont="1" applyFill="1" applyBorder="1" applyAlignment="1">
      <alignment horizontal="center" vertical="center"/>
    </xf>
    <xf numFmtId="1" fontId="25" fillId="14" borderId="49" xfId="0" applyNumberFormat="1" applyFont="1" applyFill="1" applyBorder="1" applyAlignment="1">
      <alignment horizontal="center" vertical="center"/>
    </xf>
    <xf numFmtId="1" fontId="25" fillId="14" borderId="48" xfId="0" applyNumberFormat="1" applyFont="1" applyFill="1" applyBorder="1" applyAlignment="1">
      <alignment horizontal="center" vertical="center"/>
    </xf>
    <xf numFmtId="1" fontId="25" fillId="14" borderId="51" xfId="0" applyNumberFormat="1" applyFont="1" applyFill="1" applyBorder="1" applyAlignment="1">
      <alignment horizontal="center" vertical="center"/>
    </xf>
    <xf numFmtId="0" fontId="0" fillId="0" borderId="36" xfId="0" applyBorder="1">
      <alignment vertical="center"/>
    </xf>
    <xf numFmtId="0" fontId="0" fillId="12" borderId="24" xfId="0" applyFill="1" applyBorder="1">
      <alignment vertical="center"/>
    </xf>
    <xf numFmtId="1" fontId="25" fillId="0" borderId="28" xfId="0" applyNumberFormat="1" applyFont="1" applyBorder="1" applyAlignment="1">
      <alignment horizontal="center" vertical="center"/>
    </xf>
    <xf numFmtId="1" fontId="25" fillId="0" borderId="30" xfId="0" applyNumberFormat="1" applyFont="1" applyBorder="1" applyAlignment="1">
      <alignment horizontal="center" vertical="center"/>
    </xf>
    <xf numFmtId="0" fontId="25" fillId="14" borderId="2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29" xfId="0" applyFont="1" applyFill="1" applyBorder="1" applyAlignment="1">
      <alignment horizontal="center" vertical="center"/>
    </xf>
    <xf numFmtId="1" fontId="25" fillId="14" borderId="28" xfId="0" applyNumberFormat="1" applyFont="1" applyFill="1" applyBorder="1" applyAlignment="1">
      <alignment horizontal="center" vertical="center"/>
    </xf>
    <xf numFmtId="1" fontId="25" fillId="0" borderId="29" xfId="0" applyNumberFormat="1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1" fontId="25" fillId="14" borderId="30" xfId="0" applyNumberFormat="1" applyFont="1" applyFill="1" applyBorder="1" applyAlignment="1">
      <alignment horizontal="center" vertical="center"/>
    </xf>
    <xf numFmtId="1" fontId="25" fillId="0" borderId="64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>
      <alignment vertical="center"/>
    </xf>
    <xf numFmtId="0" fontId="0" fillId="0" borderId="38" xfId="0" applyBorder="1" applyAlignment="1">
      <alignment horizontal="right" vertical="center"/>
    </xf>
    <xf numFmtId="1" fontId="0" fillId="0" borderId="41" xfId="0" applyNumberFormat="1" applyBorder="1">
      <alignment vertical="center"/>
    </xf>
    <xf numFmtId="41" fontId="33" fillId="0" borderId="0" xfId="2" applyFont="1" applyFill="1" applyBorder="1">
      <alignment vertical="center"/>
    </xf>
    <xf numFmtId="0" fontId="0" fillId="0" borderId="42" xfId="0" applyBorder="1">
      <alignment vertical="center"/>
    </xf>
    <xf numFmtId="0" fontId="0" fillId="15" borderId="0" xfId="0" applyFill="1">
      <alignment vertical="center"/>
    </xf>
    <xf numFmtId="0" fontId="0" fillId="15" borderId="0" xfId="0" applyFill="1" applyAlignment="1">
      <alignment horizontal="center" vertical="center"/>
    </xf>
    <xf numFmtId="0" fontId="0" fillId="0" borderId="17" xfId="0" applyBorder="1">
      <alignment vertical="center"/>
    </xf>
    <xf numFmtId="0" fontId="0" fillId="0" borderId="4" xfId="0" applyBorder="1">
      <alignment vertical="center"/>
    </xf>
    <xf numFmtId="0" fontId="0" fillId="0" borderId="62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0" xfId="0" applyAlignment="1">
      <alignment vertical="center"/>
    </xf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0" fontId="0" fillId="0" borderId="24" xfId="0" applyFill="1" applyBorder="1">
      <alignment vertical="center"/>
    </xf>
    <xf numFmtId="1" fontId="0" fillId="0" borderId="28" xfId="0" applyNumberForma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14" fontId="0" fillId="0" borderId="3" xfId="0" applyNumberFormat="1" applyBorder="1" applyAlignment="1">
      <alignment horizontal="right" vertical="center"/>
    </xf>
    <xf numFmtId="1" fontId="0" fillId="0" borderId="3" xfId="0" applyNumberFormat="1" applyBorder="1">
      <alignment vertical="center"/>
    </xf>
    <xf numFmtId="14" fontId="0" fillId="0" borderId="0" xfId="0" applyNumberFormat="1" applyAlignment="1">
      <alignment horizontal="right" vertical="center"/>
    </xf>
    <xf numFmtId="14" fontId="0" fillId="0" borderId="9" xfId="0" applyNumberFormat="1" applyBorder="1" applyAlignment="1">
      <alignment horizontal="right" vertical="center"/>
    </xf>
    <xf numFmtId="1" fontId="0" fillId="0" borderId="9" xfId="0" applyNumberFormat="1" applyBorder="1">
      <alignment vertical="center"/>
    </xf>
    <xf numFmtId="0" fontId="0" fillId="0" borderId="25" xfId="0" applyBorder="1">
      <alignment vertical="center"/>
    </xf>
    <xf numFmtId="14" fontId="0" fillId="0" borderId="25" xfId="0" applyNumberFormat="1" applyBorder="1" applyAlignment="1">
      <alignment horizontal="right" vertical="center"/>
    </xf>
    <xf numFmtId="1" fontId="0" fillId="0" borderId="25" xfId="0" applyNumberFormat="1" applyBorder="1">
      <alignment vertical="center"/>
    </xf>
    <xf numFmtId="0" fontId="0" fillId="0" borderId="63" xfId="0" applyBorder="1">
      <alignment vertical="center"/>
    </xf>
    <xf numFmtId="14" fontId="0" fillId="0" borderId="0" xfId="0" applyNumberFormat="1">
      <alignment vertical="center"/>
    </xf>
    <xf numFmtId="0" fontId="0" fillId="0" borderId="24" xfId="0" applyBorder="1">
      <alignment vertical="center"/>
    </xf>
    <xf numFmtId="14" fontId="0" fillId="0" borderId="9" xfId="0" applyNumberFormat="1" applyBorder="1">
      <alignment vertical="center"/>
    </xf>
    <xf numFmtId="0" fontId="0" fillId="0" borderId="26" xfId="0" applyBorder="1">
      <alignment vertical="center"/>
    </xf>
    <xf numFmtId="3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14" fontId="32" fillId="0" borderId="0" xfId="0" applyNumberFormat="1" applyFont="1" applyAlignment="1">
      <alignment horizontal="right" vertical="center"/>
    </xf>
    <xf numFmtId="14" fontId="32" fillId="0" borderId="9" xfId="0" applyNumberFormat="1" applyFont="1" applyBorder="1" applyAlignment="1">
      <alignment horizontal="right" vertical="center"/>
    </xf>
    <xf numFmtId="14" fontId="32" fillId="0" borderId="25" xfId="0" applyNumberFormat="1" applyFont="1" applyBorder="1" applyAlignment="1">
      <alignment horizontal="right" vertical="center"/>
    </xf>
    <xf numFmtId="14" fontId="32" fillId="0" borderId="0" xfId="0" applyNumberFormat="1" applyFont="1">
      <alignment vertical="center"/>
    </xf>
    <xf numFmtId="1" fontId="25" fillId="0" borderId="64" xfId="0" applyNumberFormat="1" applyFont="1" applyFill="1" applyBorder="1" applyAlignment="1">
      <alignment horizontal="center" vertical="center"/>
    </xf>
    <xf numFmtId="1" fontId="25" fillId="0" borderId="28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5" fillId="0" borderId="13" xfId="0" applyFont="1" applyBorder="1">
      <alignment vertical="center"/>
    </xf>
    <xf numFmtId="9" fontId="6" fillId="5" borderId="67" xfId="0" applyNumberFormat="1" applyFont="1" applyFill="1" applyBorder="1">
      <alignment vertical="center"/>
    </xf>
    <xf numFmtId="177" fontId="10" fillId="7" borderId="67" xfId="0" applyNumberFormat="1" applyFont="1" applyFill="1" applyBorder="1">
      <alignment vertical="center"/>
    </xf>
    <xf numFmtId="177" fontId="6" fillId="7" borderId="67" xfId="0" applyNumberFormat="1" applyFont="1" applyFill="1" applyBorder="1">
      <alignment vertical="center"/>
    </xf>
    <xf numFmtId="177" fontId="10" fillId="7" borderId="68" xfId="0" applyNumberFormat="1" applyFont="1" applyFill="1" applyBorder="1">
      <alignment vertical="center"/>
    </xf>
    <xf numFmtId="177" fontId="5" fillId="3" borderId="54" xfId="0" applyNumberFormat="1" applyFont="1" applyFill="1" applyBorder="1" applyAlignment="1">
      <alignment horizontal="right" vertical="center"/>
    </xf>
    <xf numFmtId="9" fontId="6" fillId="5" borderId="54" xfId="0" applyNumberFormat="1" applyFont="1" applyFill="1" applyBorder="1">
      <alignment vertical="center"/>
    </xf>
    <xf numFmtId="9" fontId="8" fillId="0" borderId="59" xfId="0" applyNumberFormat="1" applyFont="1" applyBorder="1">
      <alignment vertical="center"/>
    </xf>
    <xf numFmtId="177" fontId="5" fillId="3" borderId="49" xfId="0" applyNumberFormat="1" applyFont="1" applyFill="1" applyBorder="1" applyAlignment="1">
      <alignment horizontal="right" vertical="center"/>
    </xf>
    <xf numFmtId="177" fontId="6" fillId="7" borderId="63" xfId="0" applyNumberFormat="1" applyFont="1" applyFill="1" applyBorder="1" applyAlignment="1">
      <alignment horizontal="right" vertical="center"/>
    </xf>
    <xf numFmtId="177" fontId="6" fillId="7" borderId="55" xfId="0" applyNumberFormat="1" applyFont="1" applyFill="1" applyBorder="1" applyAlignment="1">
      <alignment horizontal="right" vertical="center"/>
    </xf>
    <xf numFmtId="177" fontId="6" fillId="7" borderId="24" xfId="0" applyNumberFormat="1" applyFont="1" applyFill="1" applyBorder="1" applyAlignment="1">
      <alignment horizontal="right" vertical="center"/>
    </xf>
    <xf numFmtId="177" fontId="6" fillId="7" borderId="39" xfId="0" applyNumberFormat="1" applyFont="1" applyFill="1" applyBorder="1" applyAlignment="1">
      <alignment horizontal="right" vertical="center"/>
    </xf>
    <xf numFmtId="9" fontId="8" fillId="7" borderId="0" xfId="0" applyNumberFormat="1" applyFont="1" applyFill="1" applyBorder="1">
      <alignment vertical="center"/>
    </xf>
    <xf numFmtId="9" fontId="8" fillId="7" borderId="24" xfId="0" applyNumberFormat="1" applyFont="1" applyFill="1" applyBorder="1">
      <alignment vertical="center"/>
    </xf>
    <xf numFmtId="9" fontId="8" fillId="7" borderId="39" xfId="0" applyNumberFormat="1" applyFont="1" applyFill="1" applyBorder="1">
      <alignment vertical="center"/>
    </xf>
    <xf numFmtId="177" fontId="7" fillId="7" borderId="24" xfId="0" applyNumberFormat="1" applyFont="1" applyFill="1" applyBorder="1">
      <alignment vertical="center"/>
    </xf>
    <xf numFmtId="177" fontId="9" fillId="7" borderId="24" xfId="0" applyNumberFormat="1" applyFont="1" applyFill="1" applyBorder="1">
      <alignment vertical="center"/>
    </xf>
    <xf numFmtId="9" fontId="8" fillId="7" borderId="26" xfId="0" applyNumberFormat="1" applyFont="1" applyFill="1" applyBorder="1">
      <alignment vertical="center"/>
    </xf>
    <xf numFmtId="0" fontId="0" fillId="7" borderId="0" xfId="0" applyFill="1">
      <alignment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3" fontId="5" fillId="7" borderId="21" xfId="0" applyNumberFormat="1" applyFont="1" applyFill="1" applyBorder="1" applyAlignment="1">
      <alignment horizontal="center" vertical="center"/>
    </xf>
    <xf numFmtId="4" fontId="5" fillId="7" borderId="21" xfId="0" applyNumberFormat="1" applyFont="1" applyFill="1" applyBorder="1" applyAlignment="1">
      <alignment horizontal="center" vertical="center"/>
    </xf>
    <xf numFmtId="178" fontId="7" fillId="7" borderId="21" xfId="0" applyNumberFormat="1" applyFont="1" applyFill="1" applyBorder="1" applyAlignment="1">
      <alignment horizontal="center" vertical="center"/>
    </xf>
    <xf numFmtId="176" fontId="5" fillId="7" borderId="21" xfId="0" applyNumberFormat="1" applyFont="1" applyFill="1" applyBorder="1" applyAlignment="1">
      <alignment horizontal="center" vertical="center"/>
    </xf>
    <xf numFmtId="177" fontId="5" fillId="7" borderId="22" xfId="0" applyNumberFormat="1" applyFont="1" applyFill="1" applyBorder="1" applyAlignment="1">
      <alignment horizontal="center" vertical="center"/>
    </xf>
    <xf numFmtId="1" fontId="5" fillId="7" borderId="63" xfId="0" applyNumberFormat="1" applyFont="1" applyFill="1" applyBorder="1" applyAlignment="1">
      <alignment horizontal="right" vertical="center"/>
    </xf>
    <xf numFmtId="1" fontId="6" fillId="7" borderId="55" xfId="0" applyNumberFormat="1" applyFont="1" applyFill="1" applyBorder="1">
      <alignment vertical="center"/>
    </xf>
    <xf numFmtId="1" fontId="6" fillId="7" borderId="59" xfId="0" applyNumberFormat="1" applyFont="1" applyFill="1" applyBorder="1">
      <alignment vertical="center"/>
    </xf>
    <xf numFmtId="1" fontId="6" fillId="7" borderId="39" xfId="0" applyNumberFormat="1" applyFont="1" applyFill="1" applyBorder="1">
      <alignment vertical="center"/>
    </xf>
    <xf numFmtId="178" fontId="7" fillId="7" borderId="24" xfId="0" applyNumberFormat="1" applyFont="1" applyFill="1" applyBorder="1">
      <alignment vertical="center"/>
    </xf>
    <xf numFmtId="178" fontId="7" fillId="7" borderId="39" xfId="0" applyNumberFormat="1" applyFont="1" applyFill="1" applyBorder="1">
      <alignment vertical="center"/>
    </xf>
    <xf numFmtId="178" fontId="7" fillId="7" borderId="54" xfId="0" applyNumberFormat="1" applyFont="1" applyFill="1" applyBorder="1">
      <alignment vertical="center"/>
    </xf>
    <xf numFmtId="178" fontId="7" fillId="7" borderId="67" xfId="0" applyNumberFormat="1" applyFont="1" applyFill="1" applyBorder="1">
      <alignment vertical="center"/>
    </xf>
    <xf numFmtId="178" fontId="7" fillId="7" borderId="59" xfId="0" applyNumberFormat="1" applyFont="1" applyFill="1" applyBorder="1">
      <alignment vertical="center"/>
    </xf>
    <xf numFmtId="9" fontId="8" fillId="7" borderId="59" xfId="0" applyNumberFormat="1" applyFont="1" applyFill="1" applyBorder="1">
      <alignment vertical="center"/>
    </xf>
    <xf numFmtId="177" fontId="13" fillId="7" borderId="24" xfId="0" applyNumberFormat="1" applyFont="1" applyFill="1" applyBorder="1" applyAlignment="1">
      <alignment horizontal="right" vertical="center"/>
    </xf>
    <xf numFmtId="176" fontId="5" fillId="7" borderId="24" xfId="0" applyNumberFormat="1" applyFont="1" applyFill="1" applyBorder="1" applyAlignment="1">
      <alignment horizontal="right" vertical="center"/>
    </xf>
    <xf numFmtId="177" fontId="7" fillId="7" borderId="0" xfId="0" applyNumberFormat="1" applyFont="1" applyFill="1">
      <alignment vertical="center"/>
    </xf>
    <xf numFmtId="177" fontId="6" fillId="7" borderId="69" xfId="0" applyNumberFormat="1" applyFont="1" applyFill="1" applyBorder="1">
      <alignment vertical="center"/>
    </xf>
    <xf numFmtId="177" fontId="6" fillId="7" borderId="24" xfId="0" applyNumberFormat="1" applyFont="1" applyFill="1" applyBorder="1">
      <alignment vertical="center"/>
    </xf>
    <xf numFmtId="9" fontId="27" fillId="7" borderId="0" xfId="0" applyNumberFormat="1" applyFont="1" applyFill="1">
      <alignment vertical="center"/>
    </xf>
    <xf numFmtId="9" fontId="27" fillId="7" borderId="39" xfId="0" applyNumberFormat="1" applyFont="1" applyFill="1" applyBorder="1">
      <alignment vertical="center"/>
    </xf>
    <xf numFmtId="9" fontId="27" fillId="7" borderId="24" xfId="0" applyNumberFormat="1" applyFont="1" applyFill="1" applyBorder="1">
      <alignment vertical="center"/>
    </xf>
    <xf numFmtId="9" fontId="6" fillId="5" borderId="24" xfId="0" applyNumberFormat="1" applyFont="1" applyFill="1" applyBorder="1">
      <alignment vertical="center"/>
    </xf>
    <xf numFmtId="9" fontId="27" fillId="7" borderId="26" xfId="0" applyNumberFormat="1" applyFont="1" applyFill="1" applyBorder="1">
      <alignment vertical="center"/>
    </xf>
    <xf numFmtId="9" fontId="27" fillId="7" borderId="54" xfId="0" applyNumberFormat="1" applyFont="1" applyFill="1" applyBorder="1">
      <alignment vertical="center"/>
    </xf>
    <xf numFmtId="9" fontId="27" fillId="7" borderId="0" xfId="0" applyNumberFormat="1" applyFont="1" applyFill="1" applyBorder="1">
      <alignment vertical="center"/>
    </xf>
    <xf numFmtId="9" fontId="8" fillId="7" borderId="9" xfId="0" applyNumberFormat="1" applyFont="1" applyFill="1" applyBorder="1">
      <alignment vertical="center"/>
    </xf>
    <xf numFmtId="9" fontId="8" fillId="7" borderId="54" xfId="0" applyNumberFormat="1" applyFont="1" applyFill="1" applyBorder="1">
      <alignment vertical="center"/>
    </xf>
    <xf numFmtId="9" fontId="6" fillId="5" borderId="31" xfId="0" applyNumberFormat="1" applyFont="1" applyFill="1" applyBorder="1">
      <alignment vertical="center"/>
    </xf>
    <xf numFmtId="9" fontId="6" fillId="5" borderId="32" xfId="0" applyNumberFormat="1" applyFont="1" applyFill="1" applyBorder="1">
      <alignment vertical="center"/>
    </xf>
    <xf numFmtId="177" fontId="10" fillId="10" borderId="55" xfId="0" applyNumberFormat="1" applyFont="1" applyFill="1" applyBorder="1">
      <alignment vertical="center"/>
    </xf>
    <xf numFmtId="177" fontId="11" fillId="9" borderId="46" xfId="0" applyNumberFormat="1" applyFont="1" applyFill="1" applyBorder="1">
      <alignment vertical="center"/>
    </xf>
    <xf numFmtId="177" fontId="10" fillId="10" borderId="25" xfId="0" applyNumberFormat="1" applyFont="1" applyFill="1" applyBorder="1">
      <alignment vertical="center"/>
    </xf>
    <xf numFmtId="177" fontId="11" fillId="0" borderId="25" xfId="0" applyNumberFormat="1" applyFont="1" applyFill="1" applyBorder="1">
      <alignment vertical="center"/>
    </xf>
    <xf numFmtId="177" fontId="11" fillId="0" borderId="63" xfId="0" applyNumberFormat="1" applyFont="1" applyFill="1" applyBorder="1">
      <alignment vertical="center"/>
    </xf>
    <xf numFmtId="177" fontId="11" fillId="0" borderId="55" xfId="0" applyNumberFormat="1" applyFont="1" applyFill="1" applyBorder="1">
      <alignment vertical="center"/>
    </xf>
    <xf numFmtId="177" fontId="11" fillId="0" borderId="68" xfId="0" applyNumberFormat="1" applyFont="1" applyFill="1" applyBorder="1">
      <alignment vertical="center"/>
    </xf>
    <xf numFmtId="177" fontId="11" fillId="0" borderId="60" xfId="0" applyNumberFormat="1" applyFont="1" applyFill="1" applyBorder="1">
      <alignment vertical="center"/>
    </xf>
    <xf numFmtId="0" fontId="32" fillId="0" borderId="0" xfId="0" applyFont="1">
      <alignment vertical="center"/>
    </xf>
    <xf numFmtId="9" fontId="6" fillId="7" borderId="60" xfId="0" applyNumberFormat="1" applyFont="1" applyFill="1" applyBorder="1">
      <alignment vertical="center"/>
    </xf>
    <xf numFmtId="177" fontId="10" fillId="0" borderId="0" xfId="0" applyNumberFormat="1" applyFont="1" applyFill="1" applyBorder="1">
      <alignment vertical="center"/>
    </xf>
    <xf numFmtId="177" fontId="10" fillId="0" borderId="25" xfId="0" applyNumberFormat="1" applyFont="1" applyFill="1" applyBorder="1">
      <alignment vertical="center"/>
    </xf>
    <xf numFmtId="177" fontId="10" fillId="7" borderId="63" xfId="0" applyNumberFormat="1" applyFont="1" applyFill="1" applyBorder="1">
      <alignment vertical="center"/>
    </xf>
    <xf numFmtId="1" fontId="6" fillId="3" borderId="29" xfId="0" applyNumberFormat="1" applyFont="1" applyFill="1" applyBorder="1">
      <alignment vertical="center"/>
    </xf>
    <xf numFmtId="1" fontId="6" fillId="7" borderId="63" xfId="0" applyNumberFormat="1" applyFont="1" applyFill="1" applyBorder="1">
      <alignment vertical="center"/>
    </xf>
    <xf numFmtId="9" fontId="7" fillId="7" borderId="26" xfId="0" applyNumberFormat="1" applyFont="1" applyFill="1" applyBorder="1">
      <alignment vertical="center"/>
    </xf>
    <xf numFmtId="183" fontId="6" fillId="7" borderId="24" xfId="0" applyNumberFormat="1" applyFont="1" applyFill="1" applyBorder="1">
      <alignment vertical="center"/>
    </xf>
    <xf numFmtId="176" fontId="6" fillId="7" borderId="24" xfId="0" applyNumberFormat="1" applyFont="1" applyFill="1" applyBorder="1">
      <alignment vertical="center"/>
    </xf>
    <xf numFmtId="176" fontId="10" fillId="7" borderId="29" xfId="0" applyNumberFormat="1" applyFont="1" applyFill="1" applyBorder="1">
      <alignment vertical="center"/>
    </xf>
    <xf numFmtId="177" fontId="11" fillId="9" borderId="61" xfId="0" applyNumberFormat="1" applyFont="1" applyFill="1" applyBorder="1">
      <alignment vertical="center"/>
    </xf>
    <xf numFmtId="9" fontId="6" fillId="5" borderId="69" xfId="0" applyNumberFormat="1" applyFont="1" applyFill="1" applyBorder="1">
      <alignment vertical="center"/>
    </xf>
    <xf numFmtId="9" fontId="6" fillId="5" borderId="70" xfId="0" applyNumberFormat="1" applyFont="1" applyFill="1" applyBorder="1">
      <alignment vertical="center"/>
    </xf>
    <xf numFmtId="9" fontId="6" fillId="8" borderId="70" xfId="0" applyNumberFormat="1" applyFont="1" applyFill="1" applyBorder="1">
      <alignment vertical="center"/>
    </xf>
    <xf numFmtId="0" fontId="5" fillId="0" borderId="19" xfId="0" applyFont="1" applyFill="1" applyBorder="1" applyAlignment="1">
      <alignment horizontal="center" vertical="center"/>
    </xf>
    <xf numFmtId="180" fontId="5" fillId="0" borderId="22" xfId="0" applyNumberFormat="1" applyFont="1" applyFill="1" applyBorder="1" applyAlignment="1">
      <alignment horizontal="center" vertical="center"/>
    </xf>
    <xf numFmtId="177" fontId="5" fillId="3" borderId="70" xfId="0" applyNumberFormat="1" applyFont="1" applyFill="1" applyBorder="1" applyAlignment="1">
      <alignment horizontal="right" vertical="center"/>
    </xf>
    <xf numFmtId="177" fontId="10" fillId="10" borderId="69" xfId="0" applyNumberFormat="1" applyFont="1" applyFill="1" applyBorder="1">
      <alignment vertical="center"/>
    </xf>
    <xf numFmtId="9" fontId="8" fillId="0" borderId="69" xfId="0" applyNumberFormat="1" applyFont="1" applyBorder="1">
      <alignment vertical="center"/>
    </xf>
    <xf numFmtId="9" fontId="27" fillId="7" borderId="69" xfId="0" applyNumberFormat="1" applyFont="1" applyFill="1" applyBorder="1">
      <alignment vertical="center"/>
    </xf>
    <xf numFmtId="177" fontId="6" fillId="3" borderId="46" xfId="0" applyNumberFormat="1" applyFont="1" applyFill="1" applyBorder="1">
      <alignment vertical="center"/>
    </xf>
    <xf numFmtId="178" fontId="9" fillId="6" borderId="46" xfId="0" applyNumberFormat="1" applyFont="1" applyFill="1" applyBorder="1">
      <alignment vertical="center"/>
    </xf>
    <xf numFmtId="1" fontId="6" fillId="7" borderId="69" xfId="0" applyNumberFormat="1" applyFont="1" applyFill="1" applyBorder="1">
      <alignment vertical="center"/>
    </xf>
    <xf numFmtId="178" fontId="7" fillId="7" borderId="69" xfId="0" applyNumberFormat="1" applyFont="1" applyFill="1" applyBorder="1">
      <alignment vertical="center"/>
    </xf>
    <xf numFmtId="177" fontId="11" fillId="3" borderId="46" xfId="0" applyNumberFormat="1" applyFont="1" applyFill="1" applyBorder="1">
      <alignment vertical="center"/>
    </xf>
    <xf numFmtId="9" fontId="6" fillId="7" borderId="69" xfId="0" applyNumberFormat="1" applyFont="1" applyFill="1" applyBorder="1">
      <alignment vertical="center"/>
    </xf>
    <xf numFmtId="177" fontId="11" fillId="0" borderId="71" xfId="0" applyNumberFormat="1" applyFont="1" applyFill="1" applyBorder="1">
      <alignment vertical="center"/>
    </xf>
    <xf numFmtId="177" fontId="11" fillId="9" borderId="71" xfId="0" applyNumberFormat="1" applyFont="1" applyFill="1" applyBorder="1">
      <alignment vertical="center"/>
    </xf>
    <xf numFmtId="177" fontId="10" fillId="10" borderId="71" xfId="0" applyNumberFormat="1" applyFont="1" applyFill="1" applyBorder="1">
      <alignment vertical="center"/>
    </xf>
    <xf numFmtId="178" fontId="9" fillId="6" borderId="72" xfId="0" applyNumberFormat="1" applyFont="1" applyFill="1" applyBorder="1">
      <alignment vertical="center"/>
    </xf>
    <xf numFmtId="177" fontId="11" fillId="9" borderId="68" xfId="0" applyNumberFormat="1" applyFont="1" applyFill="1" applyBorder="1">
      <alignment vertical="center"/>
    </xf>
    <xf numFmtId="177" fontId="10" fillId="10" borderId="68" xfId="0" applyNumberFormat="1" applyFont="1" applyFill="1" applyBorder="1">
      <alignment vertical="center"/>
    </xf>
    <xf numFmtId="178" fontId="9" fillId="6" borderId="33" xfId="0" applyNumberFormat="1" applyFont="1" applyFill="1" applyBorder="1">
      <alignment vertical="center"/>
    </xf>
    <xf numFmtId="177" fontId="7" fillId="3" borderId="70" xfId="0" applyNumberFormat="1" applyFont="1" applyFill="1" applyBorder="1" applyAlignment="1">
      <alignment horizontal="right" vertical="center"/>
    </xf>
    <xf numFmtId="177" fontId="5" fillId="0" borderId="24" xfId="0" applyNumberFormat="1" applyFont="1" applyFill="1" applyBorder="1" applyAlignment="1">
      <alignment horizontal="right" vertical="center"/>
    </xf>
    <xf numFmtId="177" fontId="6" fillId="0" borderId="24" xfId="0" applyNumberFormat="1" applyFont="1" applyFill="1" applyBorder="1">
      <alignment vertical="center"/>
    </xf>
    <xf numFmtId="1" fontId="5" fillId="0" borderId="24" xfId="0" applyNumberFormat="1" applyFont="1" applyFill="1" applyBorder="1" applyAlignment="1">
      <alignment horizontal="right" vertical="center"/>
    </xf>
    <xf numFmtId="1" fontId="6" fillId="0" borderId="24" xfId="0" applyNumberFormat="1" applyFont="1" applyFill="1" applyBorder="1">
      <alignment vertical="center"/>
    </xf>
    <xf numFmtId="177" fontId="7" fillId="0" borderId="24" xfId="0" applyNumberFormat="1" applyFont="1" applyFill="1" applyBorder="1">
      <alignment vertical="center"/>
    </xf>
    <xf numFmtId="9" fontId="0" fillId="0" borderId="0" xfId="0" applyNumberFormat="1" applyBorder="1">
      <alignment vertical="center"/>
    </xf>
    <xf numFmtId="0" fontId="0" fillId="0" borderId="0" xfId="0" applyBorder="1" applyAlignment="1">
      <alignment horizontal="right" vertical="center"/>
    </xf>
    <xf numFmtId="0" fontId="0" fillId="7" borderId="25" xfId="0" applyFill="1" applyBorder="1">
      <alignment vertical="center"/>
    </xf>
    <xf numFmtId="177" fontId="10" fillId="10" borderId="50" xfId="0" applyNumberFormat="1" applyFont="1" applyFill="1" applyBorder="1">
      <alignment vertical="center"/>
    </xf>
    <xf numFmtId="177" fontId="10" fillId="7" borderId="24" xfId="0" applyNumberFormat="1" applyFont="1" applyFill="1" applyBorder="1">
      <alignment vertical="center"/>
    </xf>
    <xf numFmtId="9" fontId="6" fillId="8" borderId="26" xfId="0" applyNumberFormat="1" applyFont="1" applyFill="1" applyBorder="1">
      <alignment vertical="center"/>
    </xf>
    <xf numFmtId="177" fontId="6" fillId="7" borderId="26" xfId="0" applyNumberFormat="1" applyFont="1" applyFill="1" applyBorder="1">
      <alignment vertical="center"/>
    </xf>
    <xf numFmtId="177" fontId="10" fillId="10" borderId="59" xfId="0" applyNumberFormat="1" applyFont="1" applyFill="1" applyBorder="1">
      <alignment vertical="center"/>
    </xf>
    <xf numFmtId="9" fontId="27" fillId="7" borderId="59" xfId="0" applyNumberFormat="1" applyFont="1" applyFill="1" applyBorder="1">
      <alignment vertical="center"/>
    </xf>
    <xf numFmtId="9" fontId="6" fillId="7" borderId="59" xfId="0" applyNumberFormat="1" applyFont="1" applyFill="1" applyBorder="1">
      <alignment vertical="center"/>
    </xf>
    <xf numFmtId="0" fontId="0" fillId="0" borderId="41" xfId="0" applyBorder="1">
      <alignment vertical="center"/>
    </xf>
    <xf numFmtId="0" fontId="0" fillId="0" borderId="41" xfId="0" applyFill="1" applyBorder="1">
      <alignment vertical="center"/>
    </xf>
    <xf numFmtId="178" fontId="0" fillId="0" borderId="0" xfId="0" applyNumberFormat="1">
      <alignment vertical="center"/>
    </xf>
    <xf numFmtId="177" fontId="6" fillId="3" borderId="29" xfId="0" applyNumberFormat="1" applyFont="1" applyFill="1" applyBorder="1">
      <alignment vertical="center"/>
    </xf>
    <xf numFmtId="1" fontId="6" fillId="7" borderId="24" xfId="0" applyNumberFormat="1" applyFont="1" applyFill="1" applyBorder="1">
      <alignment vertical="center"/>
    </xf>
    <xf numFmtId="0" fontId="5" fillId="4" borderId="18" xfId="0" applyFont="1" applyFill="1" applyBorder="1" applyAlignment="1">
      <alignment horizontal="center" vertical="center"/>
    </xf>
    <xf numFmtId="177" fontId="5" fillId="4" borderId="21" xfId="0" applyNumberFormat="1" applyFont="1" applyFill="1" applyBorder="1" applyAlignment="1">
      <alignment horizontal="center" vertical="center"/>
    </xf>
    <xf numFmtId="177" fontId="5" fillId="4" borderId="22" xfId="0" applyNumberFormat="1" applyFont="1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6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1" fillId="3" borderId="73" xfId="0" applyNumberFormat="1" applyFont="1" applyFill="1" applyBorder="1">
      <alignment vertical="center"/>
    </xf>
    <xf numFmtId="177" fontId="10" fillId="10" borderId="32" xfId="0" applyNumberFormat="1" applyFont="1" applyFill="1" applyBorder="1">
      <alignment vertical="center"/>
    </xf>
    <xf numFmtId="9" fontId="5" fillId="7" borderId="39" xfId="0" applyNumberFormat="1" applyFont="1" applyFill="1" applyBorder="1" applyAlignment="1">
      <alignment horizontal="right" vertical="center"/>
    </xf>
    <xf numFmtId="177" fontId="11" fillId="3" borderId="55" xfId="0" applyNumberFormat="1" applyFont="1" applyFill="1" applyBorder="1">
      <alignment vertical="center"/>
    </xf>
    <xf numFmtId="177" fontId="10" fillId="0" borderId="50" xfId="0" applyNumberFormat="1" applyFont="1" applyFill="1" applyBorder="1">
      <alignment vertical="center"/>
    </xf>
    <xf numFmtId="0" fontId="36" fillId="2" borderId="23" xfId="0" applyFont="1" applyFill="1" applyBorder="1" applyAlignment="1">
      <alignment horizontal="center" vertical="center"/>
    </xf>
    <xf numFmtId="177" fontId="7" fillId="7" borderId="74" xfId="0" applyNumberFormat="1" applyFont="1" applyFill="1" applyBorder="1">
      <alignment vertical="center"/>
    </xf>
    <xf numFmtId="177" fontId="6" fillId="7" borderId="74" xfId="0" applyNumberFormat="1" applyFont="1" applyFill="1" applyBorder="1" applyAlignment="1">
      <alignment horizontal="right" vertical="center"/>
    </xf>
    <xf numFmtId="177" fontId="6" fillId="7" borderId="75" xfId="0" applyNumberFormat="1" applyFont="1" applyFill="1" applyBorder="1" applyAlignment="1">
      <alignment horizontal="right" vertical="center"/>
    </xf>
    <xf numFmtId="0" fontId="16" fillId="0" borderId="78" xfId="0" applyFont="1" applyFill="1" applyBorder="1" applyAlignment="1">
      <alignment horizontal="center" vertical="center"/>
    </xf>
    <xf numFmtId="0" fontId="9" fillId="6" borderId="79" xfId="0" applyFont="1" applyFill="1" applyBorder="1" applyAlignment="1">
      <alignment horizontal="right" vertical="center" indent="1"/>
    </xf>
    <xf numFmtId="0" fontId="7" fillId="7" borderId="80" xfId="0" applyFont="1" applyFill="1" applyBorder="1" applyAlignment="1">
      <alignment horizontal="right" vertical="center" indent="1"/>
    </xf>
    <xf numFmtId="0" fontId="7" fillId="7" borderId="81" xfId="0" applyFont="1" applyFill="1" applyBorder="1" applyAlignment="1">
      <alignment horizontal="right" vertical="center" indent="1"/>
    </xf>
    <xf numFmtId="0" fontId="7" fillId="7" borderId="80" xfId="0" applyFont="1" applyFill="1" applyBorder="1" applyAlignment="1">
      <alignment horizontal="left" vertical="center"/>
    </xf>
    <xf numFmtId="0" fontId="7" fillId="0" borderId="80" xfId="0" applyFont="1" applyFill="1" applyBorder="1">
      <alignment vertical="center"/>
    </xf>
    <xf numFmtId="0" fontId="7" fillId="7" borderId="80" xfId="0" applyFont="1" applyFill="1" applyBorder="1">
      <alignment vertical="center"/>
    </xf>
    <xf numFmtId="0" fontId="7" fillId="0" borderId="81" xfId="0" applyFont="1" applyFill="1" applyBorder="1">
      <alignment vertical="center"/>
    </xf>
    <xf numFmtId="177" fontId="11" fillId="0" borderId="82" xfId="0" applyNumberFormat="1" applyFont="1" applyFill="1" applyBorder="1">
      <alignment vertical="center"/>
    </xf>
    <xf numFmtId="0" fontId="11" fillId="9" borderId="83" xfId="0" applyFont="1" applyFill="1" applyBorder="1">
      <alignment vertical="center"/>
    </xf>
    <xf numFmtId="0" fontId="9" fillId="7" borderId="82" xfId="0" applyFont="1" applyFill="1" applyBorder="1">
      <alignment vertical="center"/>
    </xf>
    <xf numFmtId="0" fontId="9" fillId="6" borderId="84" xfId="0" applyFont="1" applyFill="1" applyBorder="1" applyAlignment="1">
      <alignment horizontal="right" vertical="center" indent="1"/>
    </xf>
    <xf numFmtId="0" fontId="7" fillId="7" borderId="82" xfId="0" applyFont="1" applyFill="1" applyBorder="1" applyAlignment="1">
      <alignment horizontal="left" vertical="center"/>
    </xf>
    <xf numFmtId="0" fontId="27" fillId="7" borderId="80" xfId="0" applyFont="1" applyFill="1" applyBorder="1" applyAlignment="1">
      <alignment horizontal="right" vertical="center" indent="1"/>
    </xf>
    <xf numFmtId="0" fontId="11" fillId="3" borderId="79" xfId="0" applyFont="1" applyFill="1" applyBorder="1">
      <alignment vertical="center"/>
    </xf>
    <xf numFmtId="0" fontId="8" fillId="0" borderId="82" xfId="0" applyFont="1" applyFill="1" applyBorder="1" applyAlignment="1">
      <alignment horizontal="right" vertical="center"/>
    </xf>
    <xf numFmtId="0" fontId="8" fillId="0" borderId="85" xfId="0" applyFont="1" applyFill="1" applyBorder="1" applyAlignment="1">
      <alignment horizontal="right" vertical="center"/>
    </xf>
    <xf numFmtId="0" fontId="8" fillId="7" borderId="85" xfId="0" applyFont="1" applyFill="1" applyBorder="1" applyAlignment="1">
      <alignment horizontal="left" vertical="center" indent="1"/>
    </xf>
    <xf numFmtId="0" fontId="7" fillId="7" borderId="81" xfId="0" applyFont="1" applyFill="1" applyBorder="1">
      <alignment vertical="center"/>
    </xf>
    <xf numFmtId="0" fontId="7" fillId="7" borderId="82" xfId="0" applyFont="1" applyFill="1" applyBorder="1">
      <alignment vertical="center"/>
    </xf>
    <xf numFmtId="0" fontId="9" fillId="7" borderId="81" xfId="0" applyFont="1" applyFill="1" applyBorder="1">
      <alignment vertical="center"/>
    </xf>
    <xf numFmtId="0" fontId="17" fillId="7" borderId="86" xfId="0" applyFont="1" applyFill="1" applyBorder="1">
      <alignment vertical="center"/>
    </xf>
    <xf numFmtId="0" fontId="5" fillId="7" borderId="87" xfId="0" applyFont="1" applyFill="1" applyBorder="1">
      <alignment vertical="center"/>
    </xf>
    <xf numFmtId="49" fontId="16" fillId="0" borderId="80" xfId="0" applyNumberFormat="1" applyFont="1" applyFill="1" applyBorder="1">
      <alignment vertical="center"/>
    </xf>
    <xf numFmtId="176" fontId="16" fillId="3" borderId="81" xfId="0" applyNumberFormat="1" applyFont="1" applyFill="1" applyBorder="1">
      <alignment vertical="center"/>
    </xf>
    <xf numFmtId="0" fontId="9" fillId="7" borderId="80" xfId="0" applyFont="1" applyFill="1" applyBorder="1">
      <alignment vertical="center"/>
    </xf>
    <xf numFmtId="0" fontId="8" fillId="7" borderId="80" xfId="0" applyFont="1" applyFill="1" applyBorder="1" applyAlignment="1">
      <alignment horizontal="right" vertical="center" indent="1"/>
    </xf>
    <xf numFmtId="0" fontId="8" fillId="7" borderId="81" xfId="0" applyFont="1" applyFill="1" applyBorder="1" applyAlignment="1">
      <alignment horizontal="right" vertical="center" indent="1"/>
    </xf>
    <xf numFmtId="41" fontId="0" fillId="7" borderId="25" xfId="2" applyFont="1" applyFill="1" applyBorder="1" applyAlignment="1">
      <alignment horizontal="center" vertical="center"/>
    </xf>
    <xf numFmtId="178" fontId="0" fillId="7" borderId="0" xfId="1" applyNumberFormat="1" applyFont="1" applyFill="1" applyBorder="1" applyAlignment="1">
      <alignment horizontal="center" vertical="center"/>
    </xf>
    <xf numFmtId="0" fontId="8" fillId="2" borderId="78" xfId="0" applyFont="1" applyFill="1" applyBorder="1" applyAlignment="1">
      <alignment horizontal="center" vertical="center"/>
    </xf>
    <xf numFmtId="0" fontId="16" fillId="2" borderId="78" xfId="0" applyFont="1" applyFill="1" applyBorder="1" applyAlignment="1">
      <alignment horizontal="center" vertical="center"/>
    </xf>
    <xf numFmtId="177" fontId="9" fillId="7" borderId="89" xfId="0" applyNumberFormat="1" applyFont="1" applyFill="1" applyBorder="1">
      <alignment vertical="center"/>
    </xf>
    <xf numFmtId="9" fontId="8" fillId="7" borderId="90" xfId="0" applyNumberFormat="1" applyFont="1" applyFill="1" applyBorder="1">
      <alignment vertical="center"/>
    </xf>
    <xf numFmtId="9" fontId="8" fillId="7" borderId="91" xfId="0" applyNumberFormat="1" applyFont="1" applyFill="1" applyBorder="1">
      <alignment vertical="center"/>
    </xf>
    <xf numFmtId="177" fontId="7" fillId="7" borderId="89" xfId="0" applyNumberFormat="1" applyFont="1" applyFill="1" applyBorder="1">
      <alignment vertical="center"/>
    </xf>
    <xf numFmtId="9" fontId="27" fillId="7" borderId="90" xfId="0" applyNumberFormat="1" applyFont="1" applyFill="1" applyBorder="1">
      <alignment vertical="center"/>
    </xf>
    <xf numFmtId="177" fontId="7" fillId="7" borderId="90" xfId="0" applyNumberFormat="1" applyFont="1" applyFill="1" applyBorder="1">
      <alignment vertical="center"/>
    </xf>
    <xf numFmtId="9" fontId="27" fillId="7" borderId="91" xfId="0" applyNumberFormat="1" applyFont="1" applyFill="1" applyBorder="1">
      <alignment vertical="center"/>
    </xf>
    <xf numFmtId="177" fontId="10" fillId="7" borderId="93" xfId="0" applyNumberFormat="1" applyFont="1" applyFill="1" applyBorder="1">
      <alignment vertical="center"/>
    </xf>
    <xf numFmtId="9" fontId="8" fillId="7" borderId="94" xfId="0" applyNumberFormat="1" applyFont="1" applyFill="1" applyBorder="1">
      <alignment vertical="center"/>
    </xf>
    <xf numFmtId="9" fontId="8" fillId="7" borderId="95" xfId="0" applyNumberFormat="1" applyFont="1" applyFill="1" applyBorder="1">
      <alignment vertical="center"/>
    </xf>
    <xf numFmtId="177" fontId="7" fillId="7" borderId="94" xfId="0" applyNumberFormat="1" applyFont="1" applyFill="1" applyBorder="1">
      <alignment vertical="center"/>
    </xf>
    <xf numFmtId="9" fontId="27" fillId="7" borderId="94" xfId="0" applyNumberFormat="1" applyFont="1" applyFill="1" applyBorder="1">
      <alignment vertical="center"/>
    </xf>
    <xf numFmtId="9" fontId="27" fillId="7" borderId="95" xfId="0" applyNumberFormat="1" applyFont="1" applyFill="1" applyBorder="1">
      <alignment vertical="center"/>
    </xf>
    <xf numFmtId="177" fontId="10" fillId="7" borderId="97" xfId="0" applyNumberFormat="1" applyFont="1" applyFill="1" applyBorder="1">
      <alignment vertical="center"/>
    </xf>
    <xf numFmtId="9" fontId="8" fillId="7" borderId="76" xfId="0" applyNumberFormat="1" applyFont="1" applyFill="1" applyBorder="1">
      <alignment vertical="center"/>
    </xf>
    <xf numFmtId="9" fontId="8" fillId="7" borderId="77" xfId="0" applyNumberFormat="1" applyFont="1" applyFill="1" applyBorder="1">
      <alignment vertical="center"/>
    </xf>
    <xf numFmtId="177" fontId="7" fillId="7" borderId="76" xfId="0" applyNumberFormat="1" applyFont="1" applyFill="1" applyBorder="1">
      <alignment vertical="center"/>
    </xf>
    <xf numFmtId="9" fontId="27" fillId="7" borderId="76" xfId="0" applyNumberFormat="1" applyFont="1" applyFill="1" applyBorder="1">
      <alignment vertical="center"/>
    </xf>
    <xf numFmtId="9" fontId="27" fillId="7" borderId="77" xfId="0" applyNumberFormat="1" applyFont="1" applyFill="1" applyBorder="1">
      <alignment vertical="center"/>
    </xf>
    <xf numFmtId="177" fontId="10" fillId="7" borderId="89" xfId="0" applyNumberFormat="1" applyFont="1" applyFill="1" applyBorder="1">
      <alignment vertical="center"/>
    </xf>
    <xf numFmtId="177" fontId="9" fillId="7" borderId="99" xfId="0" applyNumberFormat="1" applyFont="1" applyFill="1" applyBorder="1">
      <alignment vertical="center"/>
    </xf>
    <xf numFmtId="9" fontId="6" fillId="5" borderId="100" xfId="0" applyNumberFormat="1" applyFont="1" applyFill="1" applyBorder="1">
      <alignment vertical="center"/>
    </xf>
    <xf numFmtId="9" fontId="6" fillId="5" borderId="101" xfId="0" applyNumberFormat="1" applyFont="1" applyFill="1" applyBorder="1">
      <alignment vertical="center"/>
    </xf>
    <xf numFmtId="177" fontId="7" fillId="0" borderId="98" xfId="0" applyNumberFormat="1" applyFont="1" applyFill="1" applyBorder="1">
      <alignment vertical="center"/>
    </xf>
    <xf numFmtId="177" fontId="7" fillId="7" borderId="100" xfId="0" applyNumberFormat="1" applyFont="1" applyFill="1" applyBorder="1">
      <alignment vertical="center"/>
    </xf>
    <xf numFmtId="177" fontId="9" fillId="7" borderId="93" xfId="0" applyNumberFormat="1" applyFont="1" applyFill="1" applyBorder="1">
      <alignment vertical="center"/>
    </xf>
    <xf numFmtId="9" fontId="6" fillId="5" borderId="94" xfId="0" applyNumberFormat="1" applyFont="1" applyFill="1" applyBorder="1">
      <alignment vertical="center"/>
    </xf>
    <xf numFmtId="177" fontId="5" fillId="7" borderId="39" xfId="0" applyNumberFormat="1" applyFont="1" applyFill="1" applyBorder="1" applyAlignment="1">
      <alignment horizontal="right" vertical="center"/>
    </xf>
    <xf numFmtId="177" fontId="6" fillId="10" borderId="103" xfId="0" applyNumberFormat="1" applyFont="1" applyFill="1" applyBorder="1">
      <alignment vertical="center"/>
    </xf>
    <xf numFmtId="9" fontId="8" fillId="7" borderId="104" xfId="0" applyNumberFormat="1" applyFont="1" applyFill="1" applyBorder="1">
      <alignment vertical="center"/>
    </xf>
    <xf numFmtId="9" fontId="8" fillId="7" borderId="105" xfId="0" applyNumberFormat="1" applyFont="1" applyFill="1" applyBorder="1">
      <alignment vertical="center"/>
    </xf>
    <xf numFmtId="177" fontId="7" fillId="7" borderId="104" xfId="0" applyNumberFormat="1" applyFont="1" applyFill="1" applyBorder="1">
      <alignment vertical="center"/>
    </xf>
    <xf numFmtId="9" fontId="27" fillId="7" borderId="104" xfId="0" applyNumberFormat="1" applyFont="1" applyFill="1" applyBorder="1">
      <alignment vertical="center"/>
    </xf>
    <xf numFmtId="1" fontId="6" fillId="3" borderId="106" xfId="0" applyNumberFormat="1" applyFont="1" applyFill="1" applyBorder="1">
      <alignment vertical="center"/>
    </xf>
    <xf numFmtId="177" fontId="6" fillId="7" borderId="103" xfId="0" applyNumberFormat="1" applyFont="1" applyFill="1" applyBorder="1" applyAlignment="1">
      <alignment horizontal="right" vertical="center"/>
    </xf>
    <xf numFmtId="1" fontId="6" fillId="7" borderId="103" xfId="0" applyNumberFormat="1" applyFont="1" applyFill="1" applyBorder="1">
      <alignment vertical="center"/>
    </xf>
    <xf numFmtId="178" fontId="7" fillId="7" borderId="104" xfId="0" applyNumberFormat="1" applyFont="1" applyFill="1" applyBorder="1">
      <alignment vertical="center"/>
    </xf>
    <xf numFmtId="177" fontId="11" fillId="3" borderId="103" xfId="0" applyNumberFormat="1" applyFont="1" applyFill="1" applyBorder="1">
      <alignment vertical="center"/>
    </xf>
    <xf numFmtId="177" fontId="10" fillId="10" borderId="103" xfId="0" applyNumberFormat="1" applyFont="1" applyFill="1" applyBorder="1">
      <alignment vertical="center"/>
    </xf>
    <xf numFmtId="178" fontId="9" fillId="6" borderId="106" xfId="0" applyNumberFormat="1" applyFont="1" applyFill="1" applyBorder="1">
      <alignment vertical="center"/>
    </xf>
    <xf numFmtId="9" fontId="7" fillId="7" borderId="104" xfId="0" applyNumberFormat="1" applyFont="1" applyFill="1" applyBorder="1">
      <alignment vertical="center"/>
    </xf>
    <xf numFmtId="177" fontId="7" fillId="7" borderId="103" xfId="0" applyNumberFormat="1" applyFont="1" applyFill="1" applyBorder="1">
      <alignment vertical="center"/>
    </xf>
    <xf numFmtId="177" fontId="6" fillId="7" borderId="104" xfId="0" applyNumberFormat="1" applyFont="1" applyFill="1" applyBorder="1">
      <alignment vertical="center"/>
    </xf>
    <xf numFmtId="177" fontId="5" fillId="7" borderId="104" xfId="0" applyNumberFormat="1" applyFont="1" applyFill="1" applyBorder="1" applyAlignment="1">
      <alignment horizontal="right" vertical="center"/>
    </xf>
    <xf numFmtId="9" fontId="5" fillId="7" borderId="104" xfId="0" applyNumberFormat="1" applyFont="1" applyFill="1" applyBorder="1" applyAlignment="1">
      <alignment horizontal="right" vertical="center"/>
    </xf>
    <xf numFmtId="177" fontId="11" fillId="0" borderId="103" xfId="0" applyNumberFormat="1" applyFont="1" applyFill="1" applyBorder="1">
      <alignment vertical="center"/>
    </xf>
    <xf numFmtId="177" fontId="11" fillId="9" borderId="103" xfId="0" applyNumberFormat="1" applyFont="1" applyFill="1" applyBorder="1">
      <alignment vertical="center"/>
    </xf>
    <xf numFmtId="178" fontId="9" fillId="6" borderId="102" xfId="0" applyNumberFormat="1" applyFont="1" applyFill="1" applyBorder="1">
      <alignment vertical="center"/>
    </xf>
    <xf numFmtId="177" fontId="5" fillId="3" borderId="107" xfId="0" applyNumberFormat="1" applyFont="1" applyFill="1" applyBorder="1" applyAlignment="1">
      <alignment horizontal="right" vertical="center"/>
    </xf>
    <xf numFmtId="177" fontId="10" fillId="10" borderId="104" xfId="0" applyNumberFormat="1" applyFont="1" applyFill="1" applyBorder="1">
      <alignment vertical="center"/>
    </xf>
    <xf numFmtId="177" fontId="6" fillId="7" borderId="105" xfId="0" applyNumberFormat="1" applyFont="1" applyFill="1" applyBorder="1">
      <alignment vertical="center"/>
    </xf>
    <xf numFmtId="177" fontId="5" fillId="3" borderId="108" xfId="0" applyNumberFormat="1" applyFont="1" applyFill="1" applyBorder="1" applyAlignment="1">
      <alignment horizontal="right" vertical="center"/>
    </xf>
    <xf numFmtId="177" fontId="10" fillId="10" borderId="94" xfId="0" applyNumberFormat="1" applyFont="1" applyFill="1" applyBorder="1">
      <alignment vertical="center"/>
    </xf>
    <xf numFmtId="177" fontId="7" fillId="7" borderId="93" xfId="0" applyNumberFormat="1" applyFont="1" applyFill="1" applyBorder="1">
      <alignment vertical="center"/>
    </xf>
    <xf numFmtId="1" fontId="6" fillId="3" borderId="92" xfId="0" applyNumberFormat="1" applyFont="1" applyFill="1" applyBorder="1">
      <alignment vertical="center"/>
    </xf>
    <xf numFmtId="177" fontId="6" fillId="7" borderId="93" xfId="0" applyNumberFormat="1" applyFont="1" applyFill="1" applyBorder="1" applyAlignment="1">
      <alignment horizontal="right" vertical="center"/>
    </xf>
    <xf numFmtId="178" fontId="9" fillId="6" borderId="93" xfId="0" applyNumberFormat="1" applyFont="1" applyFill="1" applyBorder="1">
      <alignment vertical="center"/>
    </xf>
    <xf numFmtId="1" fontId="6" fillId="7" borderId="93" xfId="0" applyNumberFormat="1" applyFont="1" applyFill="1" applyBorder="1">
      <alignment vertical="center"/>
    </xf>
    <xf numFmtId="178" fontId="7" fillId="7" borderId="94" xfId="0" applyNumberFormat="1" applyFont="1" applyFill="1" applyBorder="1">
      <alignment vertical="center"/>
    </xf>
    <xf numFmtId="177" fontId="11" fillId="3" borderId="93" xfId="0" applyNumberFormat="1" applyFont="1" applyFill="1" applyBorder="1">
      <alignment vertical="center"/>
    </xf>
    <xf numFmtId="177" fontId="10" fillId="10" borderId="93" xfId="0" applyNumberFormat="1" applyFont="1" applyFill="1" applyBorder="1">
      <alignment vertical="center"/>
    </xf>
    <xf numFmtId="178" fontId="9" fillId="6" borderId="92" xfId="0" applyNumberFormat="1" applyFont="1" applyFill="1" applyBorder="1">
      <alignment vertical="center"/>
    </xf>
    <xf numFmtId="9" fontId="7" fillId="7" borderId="94" xfId="0" applyNumberFormat="1" applyFont="1" applyFill="1" applyBorder="1">
      <alignment vertical="center"/>
    </xf>
    <xf numFmtId="177" fontId="6" fillId="7" borderId="94" xfId="0" applyNumberFormat="1" applyFont="1" applyFill="1" applyBorder="1">
      <alignment vertical="center"/>
    </xf>
    <xf numFmtId="177" fontId="5" fillId="7" borderId="94" xfId="0" applyNumberFormat="1" applyFont="1" applyFill="1" applyBorder="1" applyAlignment="1">
      <alignment horizontal="right" vertical="center"/>
    </xf>
    <xf numFmtId="9" fontId="5" fillId="7" borderId="94" xfId="0" applyNumberFormat="1" applyFont="1" applyFill="1" applyBorder="1" applyAlignment="1">
      <alignment horizontal="right" vertical="center"/>
    </xf>
    <xf numFmtId="177" fontId="6" fillId="7" borderId="95" xfId="0" applyNumberFormat="1" applyFont="1" applyFill="1" applyBorder="1">
      <alignment vertical="center"/>
    </xf>
    <xf numFmtId="177" fontId="5" fillId="3" borderId="109" xfId="0" applyNumberFormat="1" applyFont="1" applyFill="1" applyBorder="1" applyAlignment="1">
      <alignment horizontal="right" vertical="center"/>
    </xf>
    <xf numFmtId="177" fontId="10" fillId="10" borderId="76" xfId="0" applyNumberFormat="1" applyFont="1" applyFill="1" applyBorder="1">
      <alignment vertical="center"/>
    </xf>
    <xf numFmtId="177" fontId="7" fillId="7" borderId="97" xfId="0" applyNumberFormat="1" applyFont="1" applyFill="1" applyBorder="1">
      <alignment vertical="center"/>
    </xf>
    <xf numFmtId="1" fontId="6" fillId="3" borderId="96" xfId="0" applyNumberFormat="1" applyFont="1" applyFill="1" applyBorder="1">
      <alignment vertical="center"/>
    </xf>
    <xf numFmtId="177" fontId="6" fillId="7" borderId="97" xfId="0" applyNumberFormat="1" applyFont="1" applyFill="1" applyBorder="1" applyAlignment="1">
      <alignment horizontal="right" vertical="center"/>
    </xf>
    <xf numFmtId="178" fontId="9" fillId="6" borderId="97" xfId="0" applyNumberFormat="1" applyFont="1" applyFill="1" applyBorder="1">
      <alignment vertical="center"/>
    </xf>
    <xf numFmtId="1" fontId="6" fillId="7" borderId="97" xfId="0" applyNumberFormat="1" applyFont="1" applyFill="1" applyBorder="1">
      <alignment vertical="center"/>
    </xf>
    <xf numFmtId="178" fontId="7" fillId="7" borderId="76" xfId="0" applyNumberFormat="1" applyFont="1" applyFill="1" applyBorder="1">
      <alignment vertical="center"/>
    </xf>
    <xf numFmtId="177" fontId="11" fillId="3" borderId="97" xfId="0" applyNumberFormat="1" applyFont="1" applyFill="1" applyBorder="1">
      <alignment vertical="center"/>
    </xf>
    <xf numFmtId="177" fontId="10" fillId="10" borderId="97" xfId="0" applyNumberFormat="1" applyFont="1" applyFill="1" applyBorder="1">
      <alignment vertical="center"/>
    </xf>
    <xf numFmtId="178" fontId="9" fillId="6" borderId="96" xfId="0" applyNumberFormat="1" applyFont="1" applyFill="1" applyBorder="1">
      <alignment vertical="center"/>
    </xf>
    <xf numFmtId="9" fontId="7" fillId="7" borderId="76" xfId="0" applyNumberFormat="1" applyFont="1" applyFill="1" applyBorder="1">
      <alignment vertical="center"/>
    </xf>
    <xf numFmtId="177" fontId="6" fillId="7" borderId="76" xfId="0" applyNumberFormat="1" applyFont="1" applyFill="1" applyBorder="1">
      <alignment vertical="center"/>
    </xf>
    <xf numFmtId="177" fontId="5" fillId="7" borderId="76" xfId="0" applyNumberFormat="1" applyFont="1" applyFill="1" applyBorder="1" applyAlignment="1">
      <alignment horizontal="right" vertical="center"/>
    </xf>
    <xf numFmtId="9" fontId="5" fillId="7" borderId="76" xfId="0" applyNumberFormat="1" applyFont="1" applyFill="1" applyBorder="1" applyAlignment="1">
      <alignment horizontal="right" vertical="center"/>
    </xf>
    <xf numFmtId="177" fontId="11" fillId="0" borderId="96" xfId="0" applyNumberFormat="1" applyFont="1" applyFill="1" applyBorder="1">
      <alignment vertical="center"/>
    </xf>
    <xf numFmtId="177" fontId="9" fillId="7" borderId="97" xfId="0" applyNumberFormat="1" applyFont="1" applyFill="1" applyBorder="1">
      <alignment vertical="center"/>
    </xf>
    <xf numFmtId="9" fontId="6" fillId="5" borderId="76" xfId="0" applyNumberFormat="1" applyFont="1" applyFill="1" applyBorder="1">
      <alignment vertical="center"/>
    </xf>
    <xf numFmtId="1" fontId="5" fillId="3" borderId="98" xfId="0" applyNumberFormat="1" applyFont="1" applyFill="1" applyBorder="1" applyAlignment="1">
      <alignment horizontal="right" vertical="center"/>
    </xf>
    <xf numFmtId="177" fontId="6" fillId="0" borderId="110" xfId="0" applyNumberFormat="1" applyFont="1" applyFill="1" applyBorder="1" applyAlignment="1">
      <alignment horizontal="right" vertical="center"/>
    </xf>
    <xf numFmtId="177" fontId="6" fillId="7" borderId="111" xfId="0" applyNumberFormat="1" applyFont="1" applyFill="1" applyBorder="1" applyAlignment="1">
      <alignment horizontal="right" vertical="center"/>
    </xf>
    <xf numFmtId="9" fontId="6" fillId="5" borderId="112" xfId="0" applyNumberFormat="1" applyFont="1" applyFill="1" applyBorder="1">
      <alignment vertical="center"/>
    </xf>
    <xf numFmtId="178" fontId="9" fillId="6" borderId="99" xfId="0" applyNumberFormat="1" applyFont="1" applyFill="1" applyBorder="1">
      <alignment vertical="center"/>
    </xf>
    <xf numFmtId="1" fontId="5" fillId="7" borderId="99" xfId="0" applyNumberFormat="1" applyFont="1" applyFill="1" applyBorder="1" applyAlignment="1">
      <alignment horizontal="right" vertical="center"/>
    </xf>
    <xf numFmtId="178" fontId="7" fillId="7" borderId="100" xfId="0" applyNumberFormat="1" applyFont="1" applyFill="1" applyBorder="1">
      <alignment vertical="center"/>
    </xf>
    <xf numFmtId="177" fontId="11" fillId="3" borderId="99" xfId="0" applyNumberFormat="1" applyFont="1" applyFill="1" applyBorder="1">
      <alignment vertical="center"/>
    </xf>
    <xf numFmtId="178" fontId="9" fillId="6" borderId="98" xfId="0" applyNumberFormat="1" applyFont="1" applyFill="1" applyBorder="1">
      <alignment vertical="center"/>
    </xf>
    <xf numFmtId="9" fontId="7" fillId="7" borderId="100" xfId="0" applyNumberFormat="1" applyFont="1" applyFill="1" applyBorder="1">
      <alignment vertical="center"/>
    </xf>
    <xf numFmtId="177" fontId="7" fillId="7" borderId="99" xfId="0" applyNumberFormat="1" applyFont="1" applyFill="1" applyBorder="1">
      <alignment vertical="center"/>
    </xf>
    <xf numFmtId="177" fontId="5" fillId="0" borderId="100" xfId="0" applyNumberFormat="1" applyFont="1" applyFill="1" applyBorder="1" applyAlignment="1">
      <alignment horizontal="right" vertical="center"/>
    </xf>
    <xf numFmtId="1" fontId="5" fillId="0" borderId="100" xfId="0" applyNumberFormat="1" applyFont="1" applyFill="1" applyBorder="1" applyAlignment="1">
      <alignment horizontal="right" vertical="center"/>
    </xf>
    <xf numFmtId="177" fontId="5" fillId="7" borderId="100" xfId="0" applyNumberFormat="1" applyFont="1" applyFill="1" applyBorder="1" applyAlignment="1">
      <alignment horizontal="right" vertical="center"/>
    </xf>
    <xf numFmtId="177" fontId="7" fillId="0" borderId="100" xfId="0" applyNumberFormat="1" applyFont="1" applyFill="1" applyBorder="1">
      <alignment vertical="center"/>
    </xf>
    <xf numFmtId="177" fontId="13" fillId="0" borderId="100" xfId="0" applyNumberFormat="1" applyFont="1" applyFill="1" applyBorder="1" applyAlignment="1">
      <alignment horizontal="right" vertical="center"/>
    </xf>
    <xf numFmtId="177" fontId="7" fillId="0" borderId="99" xfId="0" applyNumberFormat="1" applyFont="1" applyFill="1" applyBorder="1">
      <alignment vertical="center"/>
    </xf>
    <xf numFmtId="183" fontId="5" fillId="7" borderId="100" xfId="0" applyNumberFormat="1" applyFont="1" applyFill="1" applyBorder="1" applyAlignment="1">
      <alignment horizontal="right" vertical="center"/>
    </xf>
    <xf numFmtId="9" fontId="5" fillId="7" borderId="100" xfId="0" applyNumberFormat="1" applyFont="1" applyFill="1" applyBorder="1" applyAlignment="1">
      <alignment horizontal="right" vertical="center"/>
    </xf>
    <xf numFmtId="177" fontId="7" fillId="0" borderId="110" xfId="0" applyNumberFormat="1" applyFont="1" applyFill="1" applyBorder="1">
      <alignment vertical="center"/>
    </xf>
    <xf numFmtId="1" fontId="5" fillId="3" borderId="96" xfId="0" applyNumberFormat="1" applyFont="1" applyFill="1" applyBorder="1" applyAlignment="1">
      <alignment horizontal="right" vertical="center"/>
    </xf>
    <xf numFmtId="177" fontId="6" fillId="7" borderId="113" xfId="0" applyNumberFormat="1" applyFont="1" applyFill="1" applyBorder="1" applyAlignment="1">
      <alignment horizontal="right" vertical="center"/>
    </xf>
    <xf numFmtId="177" fontId="6" fillId="7" borderId="114" xfId="0" applyNumberFormat="1" applyFont="1" applyFill="1" applyBorder="1" applyAlignment="1">
      <alignment horizontal="right" vertical="center"/>
    </xf>
    <xf numFmtId="9" fontId="6" fillId="5" borderId="115" xfId="0" applyNumberFormat="1" applyFont="1" applyFill="1" applyBorder="1">
      <alignment vertical="center"/>
    </xf>
    <xf numFmtId="9" fontId="8" fillId="7" borderId="115" xfId="0" applyNumberFormat="1" applyFont="1" applyFill="1" applyBorder="1">
      <alignment vertical="center"/>
    </xf>
    <xf numFmtId="1" fontId="5" fillId="7" borderId="97" xfId="0" applyNumberFormat="1" applyFont="1" applyFill="1" applyBorder="1" applyAlignment="1">
      <alignment horizontal="right" vertical="center"/>
    </xf>
    <xf numFmtId="177" fontId="5" fillId="0" borderId="76" xfId="0" applyNumberFormat="1" applyFont="1" applyFill="1" applyBorder="1" applyAlignment="1">
      <alignment horizontal="right" vertical="center"/>
    </xf>
    <xf numFmtId="1" fontId="5" fillId="0" borderId="76" xfId="0" applyNumberFormat="1" applyFont="1" applyFill="1" applyBorder="1" applyAlignment="1">
      <alignment horizontal="right" vertical="center"/>
    </xf>
    <xf numFmtId="177" fontId="7" fillId="0" borderId="76" xfId="0" applyNumberFormat="1" applyFont="1" applyFill="1" applyBorder="1">
      <alignment vertical="center"/>
    </xf>
    <xf numFmtId="177" fontId="13" fillId="7" borderId="76" xfId="0" applyNumberFormat="1" applyFont="1" applyFill="1" applyBorder="1" applyAlignment="1">
      <alignment horizontal="right" vertical="center"/>
    </xf>
    <xf numFmtId="183" fontId="5" fillId="7" borderId="76" xfId="0" applyNumberFormat="1" applyFont="1" applyFill="1" applyBorder="1" applyAlignment="1">
      <alignment horizontal="right" vertical="center"/>
    </xf>
    <xf numFmtId="177" fontId="7" fillId="7" borderId="113" xfId="0" applyNumberFormat="1" applyFont="1" applyFill="1" applyBorder="1">
      <alignment vertical="center"/>
    </xf>
    <xf numFmtId="176" fontId="5" fillId="7" borderId="77" xfId="0" applyNumberFormat="1" applyFont="1" applyFill="1" applyBorder="1" applyAlignment="1">
      <alignment horizontal="right" vertical="center"/>
    </xf>
    <xf numFmtId="9" fontId="6" fillId="5" borderId="116" xfId="0" applyNumberFormat="1" applyFont="1" applyFill="1" applyBorder="1">
      <alignment vertical="center"/>
    </xf>
    <xf numFmtId="9" fontId="8" fillId="7" borderId="116" xfId="0" applyNumberFormat="1" applyFont="1" applyFill="1" applyBorder="1">
      <alignment vertical="center"/>
    </xf>
    <xf numFmtId="177" fontId="7" fillId="7" borderId="26" xfId="0" applyNumberFormat="1" applyFont="1" applyFill="1" applyBorder="1">
      <alignment vertical="center"/>
    </xf>
    <xf numFmtId="1" fontId="5" fillId="3" borderId="92" xfId="0" applyNumberFormat="1" applyFont="1" applyFill="1" applyBorder="1" applyAlignment="1">
      <alignment horizontal="right" vertical="center"/>
    </xf>
    <xf numFmtId="177" fontId="6" fillId="7" borderId="117" xfId="0" applyNumberFormat="1" applyFont="1" applyFill="1" applyBorder="1" applyAlignment="1">
      <alignment horizontal="right" vertical="center"/>
    </xf>
    <xf numFmtId="177" fontId="6" fillId="7" borderId="118" xfId="0" applyNumberFormat="1" applyFont="1" applyFill="1" applyBorder="1" applyAlignment="1">
      <alignment horizontal="right" vertical="center"/>
    </xf>
    <xf numFmtId="9" fontId="6" fillId="5" borderId="119" xfId="0" applyNumberFormat="1" applyFont="1" applyFill="1" applyBorder="1">
      <alignment vertical="center"/>
    </xf>
    <xf numFmtId="9" fontId="8" fillId="7" borderId="119" xfId="0" applyNumberFormat="1" applyFont="1" applyFill="1" applyBorder="1">
      <alignment vertical="center"/>
    </xf>
    <xf numFmtId="1" fontId="5" fillId="7" borderId="93" xfId="0" applyNumberFormat="1" applyFont="1" applyFill="1" applyBorder="1" applyAlignment="1">
      <alignment horizontal="right" vertical="center"/>
    </xf>
    <xf numFmtId="177" fontId="5" fillId="0" borderId="94" xfId="0" applyNumberFormat="1" applyFont="1" applyFill="1" applyBorder="1" applyAlignment="1">
      <alignment horizontal="right" vertical="center"/>
    </xf>
    <xf numFmtId="1" fontId="5" fillId="0" borderId="94" xfId="0" applyNumberFormat="1" applyFont="1" applyFill="1" applyBorder="1" applyAlignment="1">
      <alignment horizontal="right" vertical="center"/>
    </xf>
    <xf numFmtId="177" fontId="7" fillId="0" borderId="94" xfId="0" applyNumberFormat="1" applyFont="1" applyFill="1" applyBorder="1">
      <alignment vertical="center"/>
    </xf>
    <xf numFmtId="177" fontId="13" fillId="7" borderId="94" xfId="0" applyNumberFormat="1" applyFont="1" applyFill="1" applyBorder="1" applyAlignment="1">
      <alignment horizontal="right" vertical="center"/>
    </xf>
    <xf numFmtId="183" fontId="5" fillId="7" borderId="94" xfId="0" applyNumberFormat="1" applyFont="1" applyFill="1" applyBorder="1" applyAlignment="1">
      <alignment horizontal="right" vertical="center"/>
    </xf>
    <xf numFmtId="177" fontId="7" fillId="7" borderId="117" xfId="0" applyNumberFormat="1" applyFont="1" applyFill="1" applyBorder="1">
      <alignment vertical="center"/>
    </xf>
    <xf numFmtId="176" fontId="5" fillId="7" borderId="95" xfId="0" applyNumberFormat="1" applyFont="1" applyFill="1" applyBorder="1" applyAlignment="1">
      <alignment horizontal="right" vertical="center"/>
    </xf>
    <xf numFmtId="177" fontId="11" fillId="0" borderId="92" xfId="0" applyNumberFormat="1" applyFont="1" applyFill="1" applyBorder="1">
      <alignment vertical="center"/>
    </xf>
    <xf numFmtId="1" fontId="5" fillId="3" borderId="88" xfId="0" applyNumberFormat="1" applyFont="1" applyFill="1" applyBorder="1" applyAlignment="1">
      <alignment horizontal="right" vertical="center"/>
    </xf>
    <xf numFmtId="177" fontId="6" fillId="7" borderId="89" xfId="0" applyNumberFormat="1" applyFont="1" applyFill="1" applyBorder="1" applyAlignment="1">
      <alignment horizontal="right" vertical="center"/>
    </xf>
    <xf numFmtId="177" fontId="6" fillId="7" borderId="120" xfId="0" applyNumberFormat="1" applyFont="1" applyFill="1" applyBorder="1" applyAlignment="1">
      <alignment horizontal="right" vertical="center"/>
    </xf>
    <xf numFmtId="9" fontId="8" fillId="7" borderId="120" xfId="0" applyNumberFormat="1" applyFont="1" applyFill="1" applyBorder="1">
      <alignment vertical="center"/>
    </xf>
    <xf numFmtId="177" fontId="7" fillId="7" borderId="91" xfId="0" applyNumberFormat="1" applyFont="1" applyFill="1" applyBorder="1">
      <alignment vertical="center"/>
    </xf>
    <xf numFmtId="178" fontId="9" fillId="6" borderId="89" xfId="0" applyNumberFormat="1" applyFont="1" applyFill="1" applyBorder="1">
      <alignment vertical="center"/>
    </xf>
    <xf numFmtId="1" fontId="5" fillId="7" borderId="89" xfId="0" applyNumberFormat="1" applyFont="1" applyFill="1" applyBorder="1" applyAlignment="1">
      <alignment horizontal="right" vertical="center"/>
    </xf>
    <xf numFmtId="178" fontId="7" fillId="7" borderId="90" xfId="0" applyNumberFormat="1" applyFont="1" applyFill="1" applyBorder="1">
      <alignment vertical="center"/>
    </xf>
    <xf numFmtId="177" fontId="11" fillId="3" borderId="89" xfId="0" applyNumberFormat="1" applyFont="1" applyFill="1" applyBorder="1">
      <alignment vertical="center"/>
    </xf>
    <xf numFmtId="178" fontId="9" fillId="6" borderId="88" xfId="0" applyNumberFormat="1" applyFont="1" applyFill="1" applyBorder="1">
      <alignment vertical="center"/>
    </xf>
    <xf numFmtId="9" fontId="7" fillId="7" borderId="90" xfId="0" applyNumberFormat="1" applyFont="1" applyFill="1" applyBorder="1">
      <alignment vertical="center"/>
    </xf>
    <xf numFmtId="177" fontId="5" fillId="0" borderId="90" xfId="0" applyNumberFormat="1" applyFont="1" applyFill="1" applyBorder="1" applyAlignment="1">
      <alignment horizontal="right" vertical="center"/>
    </xf>
    <xf numFmtId="1" fontId="5" fillId="0" borderId="90" xfId="0" applyNumberFormat="1" applyFont="1" applyFill="1" applyBorder="1" applyAlignment="1">
      <alignment horizontal="right" vertical="center"/>
    </xf>
    <xf numFmtId="177" fontId="5" fillId="7" borderId="90" xfId="0" applyNumberFormat="1" applyFont="1" applyFill="1" applyBorder="1" applyAlignment="1">
      <alignment horizontal="right" vertical="center"/>
    </xf>
    <xf numFmtId="183" fontId="5" fillId="7" borderId="90" xfId="0" applyNumberFormat="1" applyFont="1" applyFill="1" applyBorder="1" applyAlignment="1">
      <alignment horizontal="right" vertical="center"/>
    </xf>
    <xf numFmtId="1" fontId="5" fillId="7" borderId="90" xfId="0" applyNumberFormat="1" applyFont="1" applyFill="1" applyBorder="1" applyAlignment="1">
      <alignment horizontal="right" vertical="center"/>
    </xf>
    <xf numFmtId="9" fontId="5" fillId="7" borderId="90" xfId="0" applyNumberFormat="1" applyFont="1" applyFill="1" applyBorder="1" applyAlignment="1">
      <alignment horizontal="right" vertical="center"/>
    </xf>
    <xf numFmtId="0" fontId="5" fillId="7" borderId="90" xfId="0" applyFont="1" applyFill="1" applyBorder="1" applyAlignment="1">
      <alignment horizontal="right" vertical="center"/>
    </xf>
    <xf numFmtId="177" fontId="11" fillId="0" borderId="88" xfId="0" applyNumberFormat="1" applyFont="1" applyFill="1" applyBorder="1">
      <alignment vertical="center"/>
    </xf>
    <xf numFmtId="177" fontId="6" fillId="7" borderId="119" xfId="0" applyNumberFormat="1" applyFont="1" applyFill="1" applyBorder="1" applyAlignment="1">
      <alignment horizontal="right" vertical="center"/>
    </xf>
    <xf numFmtId="177" fontId="6" fillId="0" borderId="94" xfId="0" applyNumberFormat="1" applyFont="1" applyFill="1" applyBorder="1">
      <alignment vertical="center"/>
    </xf>
    <xf numFmtId="176" fontId="5" fillId="7" borderId="94" xfId="0" applyNumberFormat="1" applyFont="1" applyFill="1" applyBorder="1" applyAlignment="1">
      <alignment horizontal="right" vertical="center"/>
    </xf>
    <xf numFmtId="177" fontId="6" fillId="7" borderId="116" xfId="0" applyNumberFormat="1" applyFont="1" applyFill="1" applyBorder="1" applyAlignment="1">
      <alignment horizontal="right" vertical="center"/>
    </xf>
    <xf numFmtId="177" fontId="6" fillId="0" borderId="76" xfId="0" applyNumberFormat="1" applyFont="1" applyFill="1" applyBorder="1">
      <alignment vertical="center"/>
    </xf>
    <xf numFmtId="176" fontId="5" fillId="7" borderId="76" xfId="0" applyNumberFormat="1" applyFont="1" applyFill="1" applyBorder="1" applyAlignment="1">
      <alignment horizontal="right" vertical="center"/>
    </xf>
    <xf numFmtId="177" fontId="11" fillId="0" borderId="97" xfId="0" applyNumberFormat="1" applyFont="1" applyFill="1" applyBorder="1">
      <alignment vertical="center"/>
    </xf>
    <xf numFmtId="177" fontId="11" fillId="9" borderId="97" xfId="0" applyNumberFormat="1" applyFont="1" applyFill="1" applyBorder="1">
      <alignment vertical="center"/>
    </xf>
    <xf numFmtId="176" fontId="10" fillId="7" borderId="97" xfId="0" applyNumberFormat="1" applyFont="1" applyFill="1" applyBorder="1">
      <alignment vertical="center"/>
    </xf>
    <xf numFmtId="178" fontId="9" fillId="6" borderId="121" xfId="0" applyNumberFormat="1" applyFont="1" applyFill="1" applyBorder="1">
      <alignment vertical="center"/>
    </xf>
    <xf numFmtId="1" fontId="6" fillId="3" borderId="88" xfId="0" applyNumberFormat="1" applyFont="1" applyFill="1" applyBorder="1">
      <alignment vertical="center"/>
    </xf>
    <xf numFmtId="1" fontId="6" fillId="7" borderId="89" xfId="0" applyNumberFormat="1" applyFont="1" applyFill="1" applyBorder="1">
      <alignment vertical="center"/>
    </xf>
    <xf numFmtId="177" fontId="6" fillId="7" borderId="90" xfId="0" applyNumberFormat="1" applyFont="1" applyFill="1" applyBorder="1">
      <alignment vertical="center"/>
    </xf>
    <xf numFmtId="177" fontId="11" fillId="0" borderId="89" xfId="0" applyNumberFormat="1" applyFont="1" applyFill="1" applyBorder="1">
      <alignment vertical="center"/>
    </xf>
    <xf numFmtId="177" fontId="11" fillId="9" borderId="89" xfId="0" applyNumberFormat="1" applyFont="1" applyFill="1" applyBorder="1">
      <alignment vertical="center"/>
    </xf>
    <xf numFmtId="178" fontId="9" fillId="6" borderId="122" xfId="0" applyNumberFormat="1" applyFont="1" applyFill="1" applyBorder="1">
      <alignment vertical="center"/>
    </xf>
    <xf numFmtId="176" fontId="5" fillId="7" borderId="123" xfId="0" applyNumberFormat="1" applyFont="1" applyFill="1" applyBorder="1" applyAlignment="1">
      <alignment horizontal="right" vertical="center"/>
    </xf>
    <xf numFmtId="177" fontId="11" fillId="0" borderId="99" xfId="0" applyNumberFormat="1" applyFont="1" applyFill="1" applyBorder="1">
      <alignment vertical="center"/>
    </xf>
    <xf numFmtId="178" fontId="9" fillId="6" borderId="124" xfId="0" applyNumberFormat="1" applyFont="1" applyFill="1" applyBorder="1">
      <alignment vertical="center"/>
    </xf>
    <xf numFmtId="177" fontId="11" fillId="9" borderId="93" xfId="0" applyNumberFormat="1" applyFont="1" applyFill="1" applyBorder="1">
      <alignment vertical="center"/>
    </xf>
    <xf numFmtId="178" fontId="9" fillId="6" borderId="125" xfId="0" applyNumberFormat="1" applyFont="1" applyFill="1" applyBorder="1">
      <alignment vertical="center"/>
    </xf>
    <xf numFmtId="177" fontId="7" fillId="7" borderId="127" xfId="0" applyNumberFormat="1" applyFont="1" applyFill="1" applyBorder="1">
      <alignment vertical="center"/>
    </xf>
    <xf numFmtId="177" fontId="7" fillId="7" borderId="128" xfId="0" applyNumberFormat="1" applyFont="1" applyFill="1" applyBorder="1">
      <alignment vertical="center"/>
    </xf>
    <xf numFmtId="177" fontId="7" fillId="7" borderId="129" xfId="0" applyNumberFormat="1" applyFont="1" applyFill="1" applyBorder="1">
      <alignment vertical="center"/>
    </xf>
    <xf numFmtId="177" fontId="7" fillId="7" borderId="130" xfId="0" applyNumberFormat="1" applyFont="1" applyFill="1" applyBorder="1">
      <alignment vertical="center"/>
    </xf>
    <xf numFmtId="177" fontId="7" fillId="7" borderId="131" xfId="0" applyNumberFormat="1" applyFont="1" applyFill="1" applyBorder="1">
      <alignment vertical="center"/>
    </xf>
    <xf numFmtId="177" fontId="7" fillId="7" borderId="126" xfId="0" applyNumberFormat="1" applyFont="1" applyFill="1" applyBorder="1">
      <alignment vertical="center"/>
    </xf>
    <xf numFmtId="9" fontId="8" fillId="7" borderId="132" xfId="0" applyNumberFormat="1" applyFont="1" applyFill="1" applyBorder="1">
      <alignment vertical="center"/>
    </xf>
    <xf numFmtId="9" fontId="8" fillId="7" borderId="133" xfId="0" applyNumberFormat="1" applyFont="1" applyFill="1" applyBorder="1">
      <alignment vertical="center"/>
    </xf>
    <xf numFmtId="177" fontId="6" fillId="7" borderId="134" xfId="0" applyNumberFormat="1" applyFont="1" applyFill="1" applyBorder="1" applyAlignment="1">
      <alignment horizontal="right" vertical="center"/>
    </xf>
    <xf numFmtId="177" fontId="6" fillId="7" borderId="135" xfId="0" applyNumberFormat="1" applyFont="1" applyFill="1" applyBorder="1" applyAlignment="1">
      <alignment horizontal="right" vertical="center"/>
    </xf>
    <xf numFmtId="177" fontId="6" fillId="7" borderId="136" xfId="0" applyNumberFormat="1" applyFont="1" applyFill="1" applyBorder="1" applyAlignment="1">
      <alignment horizontal="right" vertical="center"/>
    </xf>
    <xf numFmtId="177" fontId="6" fillId="7" borderId="137" xfId="0" applyNumberFormat="1" applyFont="1" applyFill="1" applyBorder="1" applyAlignment="1">
      <alignment horizontal="right" vertical="center"/>
    </xf>
    <xf numFmtId="177" fontId="6" fillId="7" borderId="138" xfId="0" applyNumberFormat="1" applyFont="1" applyFill="1" applyBorder="1" applyAlignment="1">
      <alignment horizontal="right" vertical="center"/>
    </xf>
    <xf numFmtId="177" fontId="6" fillId="7" borderId="139" xfId="0" applyNumberFormat="1" applyFont="1" applyFill="1" applyBorder="1" applyAlignment="1">
      <alignment horizontal="right" vertical="center"/>
    </xf>
    <xf numFmtId="177" fontId="6" fillId="7" borderId="140" xfId="0" applyNumberFormat="1" applyFont="1" applyFill="1" applyBorder="1" applyAlignment="1">
      <alignment horizontal="right" vertical="center"/>
    </xf>
    <xf numFmtId="177" fontId="6" fillId="7" borderId="141" xfId="0" applyNumberFormat="1" applyFont="1" applyFill="1" applyBorder="1" applyAlignment="1">
      <alignment horizontal="right" vertical="center"/>
    </xf>
    <xf numFmtId="9" fontId="5" fillId="7" borderId="142" xfId="0" applyNumberFormat="1" applyFont="1" applyFill="1" applyBorder="1" applyAlignment="1">
      <alignment horizontal="right" vertical="center"/>
    </xf>
    <xf numFmtId="9" fontId="5" fillId="7" borderId="143" xfId="0" applyNumberFormat="1" applyFont="1" applyFill="1" applyBorder="1" applyAlignment="1">
      <alignment horizontal="right" vertical="center"/>
    </xf>
    <xf numFmtId="9" fontId="5" fillId="7" borderId="144" xfId="0" applyNumberFormat="1" applyFont="1" applyFill="1" applyBorder="1" applyAlignment="1">
      <alignment horizontal="right" vertical="center"/>
    </xf>
    <xf numFmtId="177" fontId="6" fillId="7" borderId="145" xfId="0" applyNumberFormat="1" applyFont="1" applyFill="1" applyBorder="1">
      <alignment vertical="center"/>
    </xf>
    <xf numFmtId="177" fontId="6" fillId="7" borderId="146" xfId="0" applyNumberFormat="1" applyFont="1" applyFill="1" applyBorder="1" applyAlignment="1">
      <alignment horizontal="right" vertical="center"/>
    </xf>
    <xf numFmtId="177" fontId="6" fillId="7" borderId="147" xfId="0" applyNumberFormat="1" applyFont="1" applyFill="1" applyBorder="1" applyAlignment="1">
      <alignment horizontal="right" vertical="center"/>
    </xf>
    <xf numFmtId="177" fontId="6" fillId="7" borderId="148" xfId="0" applyNumberFormat="1" applyFont="1" applyFill="1" applyBorder="1" applyAlignment="1">
      <alignment horizontal="right" vertical="center"/>
    </xf>
    <xf numFmtId="177" fontId="6" fillId="7" borderId="149" xfId="0" applyNumberFormat="1" applyFont="1" applyFill="1" applyBorder="1" applyAlignment="1">
      <alignment horizontal="right" vertical="center"/>
    </xf>
    <xf numFmtId="177" fontId="6" fillId="7" borderId="150" xfId="0" applyNumberFormat="1" applyFont="1" applyFill="1" applyBorder="1" applyAlignment="1">
      <alignment horizontal="right" vertical="center"/>
    </xf>
    <xf numFmtId="9" fontId="8" fillId="7" borderId="151" xfId="0" applyNumberFormat="1" applyFont="1" applyFill="1" applyBorder="1">
      <alignment vertical="center"/>
    </xf>
    <xf numFmtId="9" fontId="8" fillId="7" borderId="153" xfId="0" applyNumberFormat="1" applyFont="1" applyFill="1" applyBorder="1">
      <alignment vertical="center"/>
    </xf>
    <xf numFmtId="178" fontId="9" fillId="6" borderId="94" xfId="0" applyNumberFormat="1" applyFont="1" applyFill="1" applyBorder="1">
      <alignment vertical="center"/>
    </xf>
    <xf numFmtId="178" fontId="9" fillId="6" borderId="76" xfId="0" applyNumberFormat="1" applyFont="1" applyFill="1" applyBorder="1">
      <alignment vertical="center"/>
    </xf>
    <xf numFmtId="178" fontId="9" fillId="6" borderId="90" xfId="0" applyNumberFormat="1" applyFont="1" applyFill="1" applyBorder="1">
      <alignment vertical="center"/>
    </xf>
    <xf numFmtId="178" fontId="9" fillId="6" borderId="54" xfId="0" applyNumberFormat="1" applyFont="1" applyFill="1" applyBorder="1">
      <alignment vertical="center"/>
    </xf>
    <xf numFmtId="178" fontId="9" fillId="6" borderId="104" xfId="0" applyNumberFormat="1" applyFont="1" applyFill="1" applyBorder="1">
      <alignment vertical="center"/>
    </xf>
    <xf numFmtId="178" fontId="9" fillId="6" borderId="39" xfId="0" applyNumberFormat="1" applyFont="1" applyFill="1" applyBorder="1">
      <alignment vertical="center"/>
    </xf>
    <xf numFmtId="178" fontId="9" fillId="6" borderId="59" xfId="0" applyNumberFormat="1" applyFont="1" applyFill="1" applyBorder="1">
      <alignment vertical="center"/>
    </xf>
    <xf numFmtId="177" fontId="7" fillId="7" borderId="154" xfId="0" applyNumberFormat="1" applyFont="1" applyFill="1" applyBorder="1">
      <alignment vertical="center"/>
    </xf>
    <xf numFmtId="177" fontId="7" fillId="7" borderId="155" xfId="0" applyNumberFormat="1" applyFont="1" applyFill="1" applyBorder="1">
      <alignment vertical="center"/>
    </xf>
    <xf numFmtId="177" fontId="7" fillId="7" borderId="156" xfId="0" applyNumberFormat="1" applyFont="1" applyFill="1" applyBorder="1">
      <alignment vertical="center"/>
    </xf>
    <xf numFmtId="177" fontId="7" fillId="7" borderId="157" xfId="0" applyNumberFormat="1" applyFont="1" applyFill="1" applyBorder="1">
      <alignment vertical="center"/>
    </xf>
    <xf numFmtId="177" fontId="7" fillId="7" borderId="158" xfId="0" applyNumberFormat="1" applyFont="1" applyFill="1" applyBorder="1">
      <alignment vertical="center"/>
    </xf>
    <xf numFmtId="177" fontId="7" fillId="7" borderId="159" xfId="0" applyNumberFormat="1" applyFont="1" applyFill="1" applyBorder="1">
      <alignment vertical="center"/>
    </xf>
    <xf numFmtId="177" fontId="7" fillId="7" borderId="160" xfId="0" applyNumberFormat="1" applyFont="1" applyFill="1" applyBorder="1">
      <alignment vertical="center"/>
    </xf>
    <xf numFmtId="177" fontId="7" fillId="7" borderId="161" xfId="0" applyNumberFormat="1" applyFont="1" applyFill="1" applyBorder="1">
      <alignment vertical="center"/>
    </xf>
    <xf numFmtId="9" fontId="8" fillId="7" borderId="152" xfId="0" applyNumberFormat="1" applyFont="1" applyFill="1" applyBorder="1">
      <alignment vertical="center"/>
    </xf>
    <xf numFmtId="9" fontId="8" fillId="7" borderId="162" xfId="0" applyNumberFormat="1" applyFont="1" applyFill="1" applyBorder="1">
      <alignment vertical="center"/>
    </xf>
    <xf numFmtId="9" fontId="8" fillId="7" borderId="163" xfId="0" applyNumberFormat="1" applyFont="1" applyFill="1" applyBorder="1">
      <alignment vertical="center"/>
    </xf>
    <xf numFmtId="9" fontId="8" fillId="7" borderId="164" xfId="0" applyNumberFormat="1" applyFont="1" applyFill="1" applyBorder="1">
      <alignment vertical="center"/>
    </xf>
    <xf numFmtId="9" fontId="8" fillId="7" borderId="165" xfId="0" applyNumberFormat="1" applyFont="1" applyFill="1" applyBorder="1">
      <alignment vertical="center"/>
    </xf>
    <xf numFmtId="9" fontId="8" fillId="7" borderId="166" xfId="0" applyNumberFormat="1" applyFont="1" applyFill="1" applyBorder="1">
      <alignment vertical="center"/>
    </xf>
    <xf numFmtId="177" fontId="7" fillId="7" borderId="167" xfId="0" applyNumberFormat="1" applyFont="1" applyFill="1" applyBorder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59531</xdr:colOff>
      <xdr:row>36</xdr:row>
      <xdr:rowOff>47625</xdr:rowOff>
    </xdr:from>
    <xdr:to>
      <xdr:col>23</xdr:col>
      <xdr:colOff>386610</xdr:colOff>
      <xdr:row>41</xdr:row>
      <xdr:rowOff>14432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ED6AF5A-1FC9-4BB0-9C67-CAC3B2AA8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87625" y="7774781"/>
          <a:ext cx="6077798" cy="1038370"/>
        </a:xfrm>
        <a:prstGeom prst="rect">
          <a:avLst/>
        </a:prstGeom>
      </xdr:spPr>
    </xdr:pic>
    <xdr:clientData/>
  </xdr:twoCellAnchor>
  <xdr:twoCellAnchor editAs="oneCell">
    <xdr:from>
      <xdr:col>18</xdr:col>
      <xdr:colOff>428625</xdr:colOff>
      <xdr:row>33</xdr:row>
      <xdr:rowOff>95250</xdr:rowOff>
    </xdr:from>
    <xdr:to>
      <xdr:col>21</xdr:col>
      <xdr:colOff>535781</xdr:colOff>
      <xdr:row>50</xdr:row>
      <xdr:rowOff>67550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805EB8F-5D55-44DF-B94C-F0DD3F03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8469" y="7179469"/>
          <a:ext cx="4000500" cy="36156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1038225</xdr:colOff>
      <xdr:row>57</xdr:row>
      <xdr:rowOff>66675</xdr:rowOff>
    </xdr:from>
    <xdr:to>
      <xdr:col>24</xdr:col>
      <xdr:colOff>229134</xdr:colOff>
      <xdr:row>72</xdr:row>
      <xdr:rowOff>57587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68A3D37-A204-4AC4-8D7F-94EAABEF1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5100" y="9182100"/>
          <a:ext cx="3829584" cy="3134162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72</xdr:row>
      <xdr:rowOff>133350</xdr:rowOff>
    </xdr:from>
    <xdr:to>
      <xdr:col>24</xdr:col>
      <xdr:colOff>467265</xdr:colOff>
      <xdr:row>87</xdr:row>
      <xdr:rowOff>95683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A416E55-1E1F-4C5F-9D4B-45E15FA22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35125" y="12392025"/>
          <a:ext cx="3867690" cy="3105583"/>
        </a:xfrm>
        <a:prstGeom prst="rect">
          <a:avLst/>
        </a:prstGeom>
      </xdr:spPr>
    </xdr:pic>
    <xdr:clientData/>
  </xdr:twoCellAnchor>
  <xdr:twoCellAnchor editAs="oneCell">
    <xdr:from>
      <xdr:col>24</xdr:col>
      <xdr:colOff>619125</xdr:colOff>
      <xdr:row>57</xdr:row>
      <xdr:rowOff>85725</xdr:rowOff>
    </xdr:from>
    <xdr:to>
      <xdr:col>30</xdr:col>
      <xdr:colOff>314857</xdr:colOff>
      <xdr:row>72</xdr:row>
      <xdr:rowOff>114743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73A8351-9A12-45A0-83C6-8106FECD0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54675" y="9201150"/>
          <a:ext cx="3810532" cy="3172268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1047750</xdr:colOff>
      <xdr:row>89</xdr:row>
      <xdr:rowOff>57150</xdr:rowOff>
    </xdr:from>
    <xdr:to>
      <xdr:col>23</xdr:col>
      <xdr:colOff>305248</xdr:colOff>
      <xdr:row>97</xdr:row>
      <xdr:rowOff>200279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E564D9B-2A4A-43DE-969D-5F5FAF511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4625" y="15878175"/>
          <a:ext cx="3210373" cy="1819529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84</xdr:row>
      <xdr:rowOff>66049</xdr:rowOff>
    </xdr:from>
    <xdr:to>
      <xdr:col>8</xdr:col>
      <xdr:colOff>238126</xdr:colOff>
      <xdr:row>100</xdr:row>
      <xdr:rowOff>58856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2A89FAD-89D5-4F93-861B-29829AABD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6" y="14629774"/>
          <a:ext cx="4991100" cy="3345607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83</xdr:row>
      <xdr:rowOff>123825</xdr:rowOff>
    </xdr:from>
    <xdr:to>
      <xdr:col>17</xdr:col>
      <xdr:colOff>38794</xdr:colOff>
      <xdr:row>99</xdr:row>
      <xdr:rowOff>162398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8825F5B-3AB4-4745-AF2F-B733FDEC7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125" y="14687550"/>
          <a:ext cx="4972744" cy="3391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1F26-32F4-427A-A78E-FBA2639492E0}">
  <sheetPr>
    <pageSetUpPr fitToPage="1"/>
  </sheetPr>
  <dimension ref="A1:AW81"/>
  <sheetViews>
    <sheetView tabSelected="1" topLeftCell="A21" zoomScale="85" zoomScaleNormal="85" workbookViewId="0">
      <pane xSplit="1" topLeftCell="B1" activePane="topRight" state="frozen"/>
      <selection activeCell="A7" sqref="A7"/>
      <selection pane="topRight" activeCell="E27" sqref="E27"/>
    </sheetView>
  </sheetViews>
  <sheetFormatPr defaultRowHeight="17.399999999999999" outlineLevelRow="1" x14ac:dyDescent="0.4"/>
  <cols>
    <col min="1" max="1" width="17.5" bestFit="1" customWidth="1"/>
    <col min="2" max="2" width="9.8984375" customWidth="1"/>
    <col min="3" max="5" width="9" customWidth="1"/>
    <col min="7" max="7" width="10.19921875" bestFit="1" customWidth="1"/>
    <col min="10" max="11" width="9.19921875" bestFit="1" customWidth="1"/>
    <col min="12" max="12" width="9.09765625" customWidth="1"/>
    <col min="13" max="13" width="9.19921875" bestFit="1" customWidth="1"/>
    <col min="14" max="14" width="11.19921875" bestFit="1" customWidth="1"/>
    <col min="19" max="19" width="9" customWidth="1"/>
    <col min="22" max="22" width="8" hidden="1" customWidth="1"/>
    <col min="23" max="25" width="9" customWidth="1"/>
    <col min="30" max="30" width="9" customWidth="1"/>
    <col min="32" max="32" width="15.8984375" bestFit="1" customWidth="1"/>
    <col min="34" max="34" width="8.5" customWidth="1"/>
    <col min="36" max="36" width="7" bestFit="1" customWidth="1"/>
    <col min="37" max="37" width="9.5" customWidth="1"/>
    <col min="38" max="38" width="12.5" customWidth="1"/>
    <col min="39" max="39" width="14.3984375" customWidth="1"/>
    <col min="40" max="40" width="8" customWidth="1"/>
  </cols>
  <sheetData>
    <row r="1" spans="1:30" ht="18" thickBot="1" x14ac:dyDescent="0.45">
      <c r="A1" s="30" t="s">
        <v>180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</row>
    <row r="2" spans="1:30" ht="18" thickBot="1" x14ac:dyDescent="0.45">
      <c r="A2" s="31" t="s">
        <v>181</v>
      </c>
      <c r="B2" s="412"/>
      <c r="C2" s="412"/>
      <c r="D2" s="412"/>
      <c r="E2" s="412"/>
      <c r="F2" s="412"/>
      <c r="G2" s="412"/>
      <c r="H2" s="412"/>
      <c r="I2" s="412"/>
      <c r="J2" s="413" t="s">
        <v>47</v>
      </c>
      <c r="K2" s="413" t="s">
        <v>48</v>
      </c>
      <c r="L2" s="413" t="s">
        <v>49</v>
      </c>
      <c r="M2" s="413" t="s">
        <v>50</v>
      </c>
      <c r="N2" s="414" t="s">
        <v>51</v>
      </c>
      <c r="O2" s="19" t="s">
        <v>52</v>
      </c>
      <c r="P2" s="19" t="s">
        <v>53</v>
      </c>
      <c r="Q2" s="469" t="s">
        <v>54</v>
      </c>
      <c r="R2" s="509" t="s">
        <v>55</v>
      </c>
      <c r="S2" s="509"/>
      <c r="T2" s="210" t="s">
        <v>56</v>
      </c>
      <c r="U2" s="20" t="s">
        <v>57</v>
      </c>
      <c r="V2" s="412"/>
    </row>
    <row r="3" spans="1:30" ht="18.600000000000001" thickTop="1" thickBot="1" x14ac:dyDescent="0.45">
      <c r="A3" s="560" t="s">
        <v>182</v>
      </c>
      <c r="B3" s="412"/>
      <c r="C3" s="412"/>
      <c r="D3" s="412"/>
      <c r="E3" s="412"/>
      <c r="F3" s="412"/>
      <c r="G3" s="412"/>
      <c r="H3" s="412"/>
      <c r="I3" s="412"/>
      <c r="J3" s="415">
        <v>46350</v>
      </c>
      <c r="K3" s="416">
        <f>J3/AC8</f>
        <v>5.5814251718787986</v>
      </c>
      <c r="L3" s="417">
        <f>AC12</f>
        <v>0.17324075640799261</v>
      </c>
      <c r="M3" s="418">
        <f>J3/O3</f>
        <v>32.217737255396187</v>
      </c>
      <c r="N3" s="419">
        <v>29247965</v>
      </c>
      <c r="O3" s="24">
        <f>AC10</f>
        <v>1438.6485193722531</v>
      </c>
      <c r="P3" s="25">
        <v>37.72</v>
      </c>
      <c r="Q3" s="470">
        <v>4</v>
      </c>
      <c r="R3" s="510">
        <f>O3*P3</f>
        <v>54265.822150721382</v>
      </c>
      <c r="S3" s="511"/>
      <c r="T3" s="27">
        <f>R3/J3-1</f>
        <v>0.1707836494222521</v>
      </c>
      <c r="U3" s="535" t="s">
        <v>66</v>
      </c>
      <c r="V3" s="412"/>
      <c r="W3" s="13"/>
      <c r="X3" s="13"/>
      <c r="Y3" s="13"/>
      <c r="Z3" s="13"/>
    </row>
    <row r="4" spans="1:30" ht="18" thickBot="1" x14ac:dyDescent="0.45">
      <c r="A4" s="561"/>
      <c r="B4" s="78"/>
      <c r="C4" s="78"/>
      <c r="D4" s="78"/>
      <c r="E4" s="78"/>
      <c r="F4" s="78"/>
      <c r="G4" s="78"/>
      <c r="H4" s="78"/>
      <c r="I4" s="78"/>
      <c r="J4" s="496"/>
      <c r="K4" s="496"/>
      <c r="L4" s="496"/>
      <c r="M4" s="496"/>
      <c r="N4" s="496"/>
      <c r="O4" s="375"/>
      <c r="P4" s="496"/>
      <c r="Q4" s="496"/>
      <c r="R4" s="567"/>
      <c r="S4" s="567"/>
      <c r="T4" s="568"/>
      <c r="U4" s="78"/>
      <c r="V4" s="412"/>
      <c r="W4" s="4"/>
      <c r="X4" s="4"/>
      <c r="Y4" s="15"/>
      <c r="Z4" s="15"/>
      <c r="AA4" s="15"/>
      <c r="AB4" s="15"/>
      <c r="AC4" s="15"/>
    </row>
    <row r="5" spans="1:30" ht="18.600000000000001" thickTop="1" thickBot="1" x14ac:dyDescent="0.45">
      <c r="A5" s="562" t="s">
        <v>6</v>
      </c>
      <c r="B5" s="539" t="s">
        <v>175</v>
      </c>
      <c r="C5" s="539" t="s">
        <v>7</v>
      </c>
      <c r="D5" s="539" t="s">
        <v>8</v>
      </c>
      <c r="E5" s="539" t="s">
        <v>68</v>
      </c>
      <c r="F5" s="539" t="s">
        <v>71</v>
      </c>
      <c r="G5" s="539" t="s">
        <v>72</v>
      </c>
      <c r="H5" s="539" t="s">
        <v>73</v>
      </c>
      <c r="I5" s="539" t="s">
        <v>74</v>
      </c>
      <c r="J5" s="539" t="s">
        <v>75</v>
      </c>
      <c r="K5" s="539" t="s">
        <v>76</v>
      </c>
      <c r="L5" s="569" t="s">
        <v>172</v>
      </c>
      <c r="M5" s="570" t="s">
        <v>173</v>
      </c>
      <c r="N5" s="570" t="s">
        <v>176</v>
      </c>
      <c r="O5" s="570" t="s">
        <v>177</v>
      </c>
      <c r="P5" s="570" t="s">
        <v>178</v>
      </c>
      <c r="Q5" s="570" t="s">
        <v>179</v>
      </c>
      <c r="R5" s="539">
        <v>2019</v>
      </c>
      <c r="S5" s="539">
        <v>2020</v>
      </c>
      <c r="T5" s="570" t="s">
        <v>44</v>
      </c>
      <c r="U5" s="570" t="s">
        <v>45</v>
      </c>
      <c r="V5" s="297" t="s">
        <v>45</v>
      </c>
      <c r="Y5" s="393"/>
      <c r="Z5" s="33">
        <v>2019</v>
      </c>
      <c r="AA5" s="43">
        <v>2020</v>
      </c>
      <c r="AB5" s="44" t="s">
        <v>44</v>
      </c>
      <c r="AC5" s="44" t="s">
        <v>45</v>
      </c>
      <c r="AD5" s="121"/>
    </row>
    <row r="6" spans="1:30" x14ac:dyDescent="0.4">
      <c r="A6" s="563" t="s">
        <v>10</v>
      </c>
      <c r="B6" s="5">
        <f>B10+B13</f>
        <v>1040</v>
      </c>
      <c r="C6" s="401">
        <f t="shared" ref="C6:Q6" si="0">C10+C13</f>
        <v>527</v>
      </c>
      <c r="D6" s="401">
        <f t="shared" si="0"/>
        <v>463</v>
      </c>
      <c r="E6" s="401">
        <f t="shared" si="0"/>
        <v>409</v>
      </c>
      <c r="F6" s="401">
        <f t="shared" si="0"/>
        <v>432</v>
      </c>
      <c r="G6" s="401">
        <f t="shared" si="0"/>
        <v>407</v>
      </c>
      <c r="H6" s="401">
        <f t="shared" si="0"/>
        <v>460</v>
      </c>
      <c r="I6" s="401">
        <f t="shared" si="0"/>
        <v>743</v>
      </c>
      <c r="J6" s="401">
        <f t="shared" si="0"/>
        <v>792</v>
      </c>
      <c r="K6" s="298">
        <f t="shared" si="0"/>
        <v>861</v>
      </c>
      <c r="L6" s="5">
        <f t="shared" si="0"/>
        <v>907.2</v>
      </c>
      <c r="M6" s="298">
        <f t="shared" si="0"/>
        <v>955.89900000000011</v>
      </c>
      <c r="N6" s="619">
        <f t="shared" si="0"/>
        <v>1007.2332900000001</v>
      </c>
      <c r="O6" s="622">
        <f t="shared" si="0"/>
        <v>1061.3466549000002</v>
      </c>
      <c r="P6" s="638">
        <f t="shared" si="0"/>
        <v>1118.3907900690003</v>
      </c>
      <c r="Q6" s="5">
        <f t="shared" si="0"/>
        <v>1178.5257401418903</v>
      </c>
      <c r="R6" s="488">
        <f>SUM(B6:E6)</f>
        <v>2439</v>
      </c>
      <c r="S6" s="298">
        <f>SUM(F6:I6)</f>
        <v>2042</v>
      </c>
      <c r="T6" s="471">
        <f>SUM(J6:M6)</f>
        <v>3516.0990000000002</v>
      </c>
      <c r="U6" s="298">
        <f>SUM(N6:Q6)</f>
        <v>4365.496475110891</v>
      </c>
      <c r="V6" s="398">
        <f>V10+V13</f>
        <v>5690.6781970518196</v>
      </c>
      <c r="Y6" s="149" t="s">
        <v>58</v>
      </c>
      <c r="Z6" s="35">
        <v>1511</v>
      </c>
      <c r="AA6" s="51">
        <v>1768</v>
      </c>
      <c r="AB6" s="51">
        <f>AA6+AB7</f>
        <v>2008.0722999999998</v>
      </c>
      <c r="AC6" s="51">
        <f>AB6+AC7</f>
        <v>2428.8477154190145</v>
      </c>
      <c r="AD6" s="121"/>
    </row>
    <row r="7" spans="1:30" x14ac:dyDescent="0.4">
      <c r="A7" s="564" t="s">
        <v>14</v>
      </c>
      <c r="B7" s="591"/>
      <c r="C7" s="654"/>
      <c r="D7" s="596"/>
      <c r="E7" s="410"/>
      <c r="F7" s="571"/>
      <c r="G7" s="578"/>
      <c r="H7" s="584"/>
      <c r="I7" s="458"/>
      <c r="J7" s="590"/>
      <c r="K7" s="456"/>
      <c r="L7" s="599"/>
      <c r="M7" s="310"/>
      <c r="N7" s="620"/>
      <c r="O7" s="623"/>
      <c r="P7" s="639"/>
      <c r="Q7" s="310"/>
      <c r="R7" s="395"/>
      <c r="S7" s="303"/>
      <c r="T7" s="472"/>
      <c r="U7" s="501"/>
      <c r="V7" s="310">
        <v>1570</v>
      </c>
      <c r="Y7" s="172" t="s">
        <v>59</v>
      </c>
      <c r="Z7" s="104">
        <f>R43</f>
        <v>-17.489999999999945</v>
      </c>
      <c r="AA7" s="104">
        <f>S43</f>
        <v>118.18999999999994</v>
      </c>
      <c r="AB7" s="104">
        <f>T43</f>
        <v>240.0722999999999</v>
      </c>
      <c r="AC7" s="104">
        <f>U43</f>
        <v>420.77541541901485</v>
      </c>
      <c r="AD7" s="142"/>
    </row>
    <row r="8" spans="1:30" s="2" customFormat="1" x14ac:dyDescent="0.4">
      <c r="A8" s="565" t="s">
        <v>11</v>
      </c>
      <c r="B8" s="592"/>
      <c r="C8" s="655"/>
      <c r="D8" s="597"/>
      <c r="E8" s="438"/>
      <c r="F8" s="572">
        <f>F6/B6-1</f>
        <v>-0.58461538461538454</v>
      </c>
      <c r="G8" s="579">
        <f t="shared" ref="G8:M8" si="1">G6/C6-1</f>
        <v>-0.22770398481973431</v>
      </c>
      <c r="H8" s="585">
        <f t="shared" si="1"/>
        <v>-6.4794816414687206E-3</v>
      </c>
      <c r="I8" s="407">
        <f t="shared" si="1"/>
        <v>0.81662591687041575</v>
      </c>
      <c r="J8" s="572">
        <f>J6/F6-1</f>
        <v>0.83333333333333326</v>
      </c>
      <c r="K8" s="406">
        <f t="shared" si="1"/>
        <v>1.1154791154791153</v>
      </c>
      <c r="L8" s="600">
        <f>L6/H6-1</f>
        <v>0.97217391304347833</v>
      </c>
      <c r="M8" s="408">
        <f t="shared" si="1"/>
        <v>0.28653970390309569</v>
      </c>
      <c r="N8" s="600">
        <f>N6/J6-1</f>
        <v>0.27175920454545466</v>
      </c>
      <c r="O8" s="579">
        <f t="shared" ref="O8" si="2">O6/K6-1</f>
        <v>0.23269065609756123</v>
      </c>
      <c r="P8" s="585">
        <f>P6/L6-1</f>
        <v>0.2327940807638893</v>
      </c>
      <c r="Q8" s="408">
        <f t="shared" ref="Q8" si="3">Q6/M6-1</f>
        <v>0.23289776445198718</v>
      </c>
      <c r="R8" s="466"/>
      <c r="S8" s="429">
        <f>S6/R6-1</f>
        <v>-0.16277162771627718</v>
      </c>
      <c r="T8" s="473">
        <f>T6/S6-1</f>
        <v>0.7218898139079335</v>
      </c>
      <c r="U8" s="400">
        <f>U6/T6-1</f>
        <v>0.24157382232721281</v>
      </c>
      <c r="V8" s="276">
        <f>V6/U6-1</f>
        <v>0.30355807855904104</v>
      </c>
      <c r="Y8" s="149" t="s">
        <v>60</v>
      </c>
      <c r="Z8" s="35">
        <f>Z6*100000000/N3</f>
        <v>5166.171390043718</v>
      </c>
      <c r="AA8" s="35">
        <f>AA6*100000000/N3</f>
        <v>6044.8650017189229</v>
      </c>
      <c r="AB8" s="49">
        <f>AB6*100000000/N3</f>
        <v>6865.6821081398302</v>
      </c>
      <c r="AC8" s="49">
        <f>AC6*100000000/N3</f>
        <v>8304.3306275120831</v>
      </c>
      <c r="AD8" s="121"/>
    </row>
    <row r="9" spans="1:30" x14ac:dyDescent="0.4">
      <c r="A9" s="566" t="s">
        <v>12</v>
      </c>
      <c r="B9" s="593"/>
      <c r="C9" s="586">
        <f t="shared" ref="C9" si="4">C6/B6-1</f>
        <v>-0.49326923076923079</v>
      </c>
      <c r="D9" s="580">
        <f t="shared" ref="D9" si="5">D6/C6-1</f>
        <v>-0.12144212523719167</v>
      </c>
      <c r="E9" s="411">
        <f t="shared" ref="E9" si="6">E6/D6-1</f>
        <v>-0.11663066954643631</v>
      </c>
      <c r="F9" s="573">
        <f t="shared" ref="F9:M9" si="7">F6/E6-1</f>
        <v>5.623471882640585E-2</v>
      </c>
      <c r="G9" s="580">
        <f t="shared" si="7"/>
        <v>-5.787037037037035E-2</v>
      </c>
      <c r="H9" s="586">
        <f t="shared" si="7"/>
        <v>0.13022113022113024</v>
      </c>
      <c r="I9" s="411">
        <f t="shared" si="7"/>
        <v>0.61521739130434772</v>
      </c>
      <c r="J9" s="573">
        <f t="shared" si="7"/>
        <v>6.5948855989232946E-2</v>
      </c>
      <c r="K9" s="442">
        <f>K6/J6-1</f>
        <v>8.7121212121212155E-2</v>
      </c>
      <c r="L9" s="601">
        <f t="shared" si="7"/>
        <v>5.3658536585365901E-2</v>
      </c>
      <c r="M9" s="443">
        <f t="shared" si="7"/>
        <v>5.3680555555555731E-2</v>
      </c>
      <c r="N9" s="601">
        <f t="shared" ref="N9" si="8">N6/M6-1</f>
        <v>5.3702629671126267E-2</v>
      </c>
      <c r="O9" s="580">
        <f>O6/N6-1</f>
        <v>5.3724758144163554E-2</v>
      </c>
      <c r="P9" s="586">
        <f t="shared" ref="P9" si="9">P6/O6-1</f>
        <v>5.3746940177971103E-2</v>
      </c>
      <c r="Q9" s="443">
        <f t="shared" ref="Q9" si="10">Q6/P6-1</f>
        <v>5.3769174967168487E-2</v>
      </c>
      <c r="R9" s="444"/>
      <c r="S9" s="445"/>
      <c r="T9" s="467"/>
      <c r="U9" s="445"/>
      <c r="V9" s="399"/>
      <c r="Y9" s="171" t="s">
        <v>38</v>
      </c>
      <c r="Z9" s="40"/>
      <c r="AA9" s="40">
        <f>(AA8-Z8)/Z8</f>
        <v>0.1700860357379218</v>
      </c>
      <c r="AB9" s="50">
        <f>(AB8-AA8)/AA8</f>
        <v>0.13578749999999984</v>
      </c>
      <c r="AC9" s="50">
        <f>(AC8-AB8)/AB8</f>
        <v>0.2095419649078446</v>
      </c>
      <c r="AD9" s="121"/>
    </row>
    <row r="10" spans="1:30" outlineLevel="1" x14ac:dyDescent="0.4">
      <c r="A10" s="551" t="s">
        <v>183</v>
      </c>
      <c r="B10" s="594">
        <v>258</v>
      </c>
      <c r="C10" s="587">
        <v>175</v>
      </c>
      <c r="D10" s="581">
        <v>164</v>
      </c>
      <c r="E10" s="319">
        <v>213</v>
      </c>
      <c r="F10" s="574">
        <v>226</v>
      </c>
      <c r="G10" s="581">
        <v>222</v>
      </c>
      <c r="H10" s="587">
        <v>259</v>
      </c>
      <c r="I10" s="319">
        <v>295</v>
      </c>
      <c r="J10" s="574">
        <v>285</v>
      </c>
      <c r="K10" s="432">
        <v>315</v>
      </c>
      <c r="L10" s="602">
        <f>K10*(1+0.06)</f>
        <v>333.90000000000003</v>
      </c>
      <c r="M10" s="280">
        <f>L10*(1+0.06)</f>
        <v>353.93400000000003</v>
      </c>
      <c r="N10" s="612">
        <f t="shared" ref="N10:Q10" si="11">M10*(1+0.06)</f>
        <v>375.17004000000003</v>
      </c>
      <c r="O10" s="624">
        <f t="shared" si="11"/>
        <v>397.68024240000005</v>
      </c>
      <c r="P10" s="640">
        <f t="shared" si="11"/>
        <v>421.5410569440001</v>
      </c>
      <c r="Q10" s="280">
        <f t="shared" si="11"/>
        <v>446.83352036064014</v>
      </c>
      <c r="R10" s="434">
        <f>SUM(B10:E10)</f>
        <v>810</v>
      </c>
      <c r="S10" s="279">
        <f>SUM(F10:I10)</f>
        <v>1002</v>
      </c>
      <c r="T10" s="433">
        <f>SUM(J10:M10)</f>
        <v>1287.8340000000001</v>
      </c>
      <c r="U10" s="305">
        <f>SUM(N10:Q10)</f>
        <v>1641.2248597046405</v>
      </c>
      <c r="V10" s="279">
        <f>U10*1.2</f>
        <v>1969.4698316455685</v>
      </c>
      <c r="Y10" s="149" t="s">
        <v>61</v>
      </c>
      <c r="Z10" s="35">
        <f>Z7*100000000/N3</f>
        <v>-59.799032171981693</v>
      </c>
      <c r="AA10" s="35">
        <f>AA7*100000000/N3</f>
        <v>404.09649013187737</v>
      </c>
      <c r="AB10" s="51">
        <f>AB7*100000000/N3</f>
        <v>820.81710642090786</v>
      </c>
      <c r="AC10" s="51">
        <f>AC7*100000000/N3</f>
        <v>1438.6485193722531</v>
      </c>
      <c r="AD10" s="121"/>
    </row>
    <row r="11" spans="1:30" outlineLevel="1" x14ac:dyDescent="0.4">
      <c r="A11" s="552" t="s">
        <v>11</v>
      </c>
      <c r="B11" s="592"/>
      <c r="C11" s="655"/>
      <c r="D11" s="597"/>
      <c r="E11" s="438"/>
      <c r="F11" s="575">
        <f>F10/B10-1</f>
        <v>-0.12403100775193798</v>
      </c>
      <c r="G11" s="582">
        <f t="shared" ref="G11" si="12">G10/C10-1</f>
        <v>0.26857142857142846</v>
      </c>
      <c r="H11" s="588">
        <f>H10/D10-1</f>
        <v>0.5792682926829269</v>
      </c>
      <c r="I11" s="437">
        <f t="shared" ref="I11" si="13">I10/E10-1</f>
        <v>0.38497652582159625</v>
      </c>
      <c r="J11" s="575">
        <f>J10/F10-1</f>
        <v>0.26106194690265494</v>
      </c>
      <c r="K11" s="441">
        <f>K10/G10-1</f>
        <v>0.41891891891891886</v>
      </c>
      <c r="L11" s="603">
        <f t="shared" ref="L11:M11" si="14">L10/H10-1</f>
        <v>0.28918918918918934</v>
      </c>
      <c r="M11" s="436">
        <f t="shared" si="14"/>
        <v>0.19977627118644081</v>
      </c>
      <c r="N11" s="603">
        <v>0.2</v>
      </c>
      <c r="O11" s="582">
        <v>0.25</v>
      </c>
      <c r="P11" s="588">
        <v>0.15</v>
      </c>
      <c r="Q11" s="436">
        <v>0.15</v>
      </c>
      <c r="R11" s="394"/>
      <c r="S11" s="435">
        <f>S10/R10-1</f>
        <v>0.23703703703703694</v>
      </c>
      <c r="T11" s="474">
        <f>T10/S10-1</f>
        <v>0.28526347305389232</v>
      </c>
      <c r="U11" s="502">
        <f>U10/T10-1</f>
        <v>0.27440715162407603</v>
      </c>
      <c r="V11" s="436">
        <f>V10/U10-1</f>
        <v>0.19999999999999996</v>
      </c>
      <c r="Y11" s="173" t="s">
        <v>38</v>
      </c>
      <c r="Z11" s="55"/>
      <c r="AA11" s="56">
        <f>(AA10-Z10)/Z10</f>
        <v>-7.7575757575757756</v>
      </c>
      <c r="AB11" s="57">
        <f>(AB10-AA10)/AA10</f>
        <v>1.0312403756663</v>
      </c>
      <c r="AC11" s="57">
        <f>(AC10-AB10)/AB10</f>
        <v>0.75270289583185979</v>
      </c>
      <c r="AD11" s="142"/>
    </row>
    <row r="12" spans="1:30" s="2" customFormat="1" ht="18" outlineLevel="1" thickBot="1" x14ac:dyDescent="0.45">
      <c r="A12" s="552" t="s">
        <v>12</v>
      </c>
      <c r="B12" s="593" t="s">
        <v>174</v>
      </c>
      <c r="C12" s="588">
        <f>C10/B10-1</f>
        <v>-0.32170542635658916</v>
      </c>
      <c r="D12" s="582">
        <f t="shared" ref="D12:K12" si="15">D10/C10-1</f>
        <v>-6.2857142857142834E-2</v>
      </c>
      <c r="E12" s="437">
        <f t="shared" si="15"/>
        <v>0.29878048780487809</v>
      </c>
      <c r="F12" s="575">
        <f t="shared" si="15"/>
        <v>6.1032863849765251E-2</v>
      </c>
      <c r="G12" s="582">
        <f t="shared" si="15"/>
        <v>-1.7699115044247815E-2</v>
      </c>
      <c r="H12" s="588">
        <f>H10/G10-1</f>
        <v>0.16666666666666674</v>
      </c>
      <c r="I12" s="437">
        <f t="shared" si="15"/>
        <v>0.13899613899613894</v>
      </c>
      <c r="J12" s="575">
        <f>J10/I10-1</f>
        <v>-3.3898305084745783E-2</v>
      </c>
      <c r="K12" s="435">
        <f t="shared" si="15"/>
        <v>0.10526315789473695</v>
      </c>
      <c r="L12" s="603">
        <f>L10/K10-1</f>
        <v>6.0000000000000053E-2</v>
      </c>
      <c r="M12" s="436">
        <f>M10/L10-1</f>
        <v>6.0000000000000053E-2</v>
      </c>
      <c r="N12" s="603">
        <f>N10/M10-1</f>
        <v>6.0000000000000053E-2</v>
      </c>
      <c r="O12" s="582">
        <f t="shared" ref="O12" si="16">O10/N10-1</f>
        <v>6.0000000000000053E-2</v>
      </c>
      <c r="P12" s="588">
        <f>P10/O10-1</f>
        <v>6.0000000000000053E-2</v>
      </c>
      <c r="Q12" s="436">
        <f t="shared" ref="Q12" si="17">Q10/P10-1</f>
        <v>6.0000000000000053E-2</v>
      </c>
      <c r="R12" s="438"/>
      <c r="S12" s="288"/>
      <c r="T12" s="466"/>
      <c r="U12" s="299"/>
      <c r="V12" s="288"/>
      <c r="Y12" s="146" t="s">
        <v>62</v>
      </c>
      <c r="Z12" s="41">
        <f>Z7/Z6</f>
        <v>-1.1575115817339474E-2</v>
      </c>
      <c r="AA12" s="41">
        <f>AA7/AA6</f>
        <v>6.6849547511312182E-2</v>
      </c>
      <c r="AB12" s="52">
        <f>AB7/AB6</f>
        <v>0.11955361368213681</v>
      </c>
      <c r="AC12" s="52">
        <f>AC7/AC6</f>
        <v>0.17324075640799261</v>
      </c>
      <c r="AD12" s="121"/>
    </row>
    <row r="13" spans="1:30" outlineLevel="1" x14ac:dyDescent="0.4">
      <c r="A13" s="543" t="s">
        <v>184</v>
      </c>
      <c r="B13" s="595">
        <v>782</v>
      </c>
      <c r="C13" s="587">
        <v>352</v>
      </c>
      <c r="D13" s="581">
        <v>299</v>
      </c>
      <c r="E13" s="409">
        <v>196</v>
      </c>
      <c r="F13" s="576">
        <v>206</v>
      </c>
      <c r="G13" s="581">
        <v>185</v>
      </c>
      <c r="H13" s="587">
        <v>201</v>
      </c>
      <c r="I13" s="91">
        <v>448</v>
      </c>
      <c r="J13" s="576">
        <v>507</v>
      </c>
      <c r="K13" s="91">
        <v>546</v>
      </c>
      <c r="L13" s="602">
        <f t="shared" ref="L13:Q13" si="18">K13*(1+0.05)</f>
        <v>573.30000000000007</v>
      </c>
      <c r="M13" s="295">
        <f t="shared" si="18"/>
        <v>601.96500000000015</v>
      </c>
      <c r="N13" s="602">
        <f t="shared" si="18"/>
        <v>632.06325000000015</v>
      </c>
      <c r="O13" s="581">
        <f t="shared" si="18"/>
        <v>663.66641250000021</v>
      </c>
      <c r="P13" s="587">
        <f t="shared" si="18"/>
        <v>696.84973312500028</v>
      </c>
      <c r="Q13" s="295">
        <f t="shared" si="18"/>
        <v>731.69221978125029</v>
      </c>
      <c r="R13" s="434">
        <f>SUM(B13:E13)</f>
        <v>1629</v>
      </c>
      <c r="S13" s="279">
        <f>SUM(F13:I13)</f>
        <v>1040</v>
      </c>
      <c r="T13" s="433">
        <f>SUM(J13:M13)</f>
        <v>2228.2650000000003</v>
      </c>
      <c r="U13" s="305">
        <f>SUM(N13:Q13)</f>
        <v>2724.2716154062509</v>
      </c>
      <c r="V13" s="279">
        <f>SUM(O13:R13)</f>
        <v>3721.2083654062508</v>
      </c>
      <c r="Y13" s="149" t="s">
        <v>63</v>
      </c>
      <c r="Z13" s="47">
        <f>J3/Z8</f>
        <v>8.9718277812706813</v>
      </c>
      <c r="AA13" s="47">
        <f>J3/AA8</f>
        <v>7.6676650325226241</v>
      </c>
      <c r="AB13" s="47">
        <f>J3/AB8</f>
        <v>6.7509679693803868</v>
      </c>
      <c r="AC13" s="47">
        <f>J3/AC8</f>
        <v>5.5814251718787986</v>
      </c>
      <c r="AD13" s="121"/>
    </row>
    <row r="14" spans="1:30" ht="18" outlineLevel="1" thickBot="1" x14ac:dyDescent="0.45">
      <c r="A14" s="552" t="s">
        <v>11</v>
      </c>
      <c r="B14" s="592"/>
      <c r="C14" s="655"/>
      <c r="D14" s="597"/>
      <c r="E14" s="438"/>
      <c r="F14" s="575">
        <f>F13/B13-1</f>
        <v>-0.73657289002557547</v>
      </c>
      <c r="G14" s="582">
        <f t="shared" ref="G14:L14" si="19">G13/C13-1</f>
        <v>-0.47443181818181823</v>
      </c>
      <c r="H14" s="588">
        <f t="shared" si="19"/>
        <v>-0.32775919732441472</v>
      </c>
      <c r="I14" s="437">
        <f t="shared" si="19"/>
        <v>1.2857142857142856</v>
      </c>
      <c r="J14" s="575">
        <f>J13/F13-1</f>
        <v>1.4611650485436893</v>
      </c>
      <c r="K14" s="435">
        <f t="shared" si="19"/>
        <v>1.9513513513513514</v>
      </c>
      <c r="L14" s="603">
        <f t="shared" si="19"/>
        <v>1.8522388059701496</v>
      </c>
      <c r="M14" s="436">
        <f>L14</f>
        <v>1.8522388059701496</v>
      </c>
      <c r="N14" s="603">
        <f>AVERAGE(F14,J14)</f>
        <v>0.36229607925905694</v>
      </c>
      <c r="O14" s="582">
        <f>AVERAGE(G14,K14)</f>
        <v>0.73845976658476653</v>
      </c>
      <c r="P14" s="588">
        <f>AVERAGE(H14,L14)</f>
        <v>0.76223980432286742</v>
      </c>
      <c r="Q14" s="436">
        <f>AVERAGE(I14,M14)</f>
        <v>1.5689765458422176</v>
      </c>
      <c r="R14" s="438"/>
      <c r="S14" s="435">
        <f>S13/R13-1</f>
        <v>-0.36157151626764883</v>
      </c>
      <c r="T14" s="474">
        <f>T13/S13-1</f>
        <v>1.1425625000000004</v>
      </c>
      <c r="U14" s="502">
        <f>U13/T13-1</f>
        <v>0.22259767819637721</v>
      </c>
      <c r="V14" s="436">
        <f>V13/U13-1</f>
        <v>0.36594616497200261</v>
      </c>
      <c r="Y14" s="150" t="s">
        <v>64</v>
      </c>
      <c r="Z14" s="48">
        <f>J3/Z10</f>
        <v>-775.09615651801266</v>
      </c>
      <c r="AA14" s="48">
        <f>J3/AA10</f>
        <v>114.7003280945935</v>
      </c>
      <c r="AB14" s="48">
        <f>J3/AB10</f>
        <v>56.468121384682888</v>
      </c>
      <c r="AC14" s="48">
        <f>J3/AC10</f>
        <v>32.217737255396187</v>
      </c>
      <c r="AD14" s="121"/>
    </row>
    <row r="15" spans="1:30" outlineLevel="1" x14ac:dyDescent="0.4">
      <c r="A15" s="552" t="s">
        <v>12</v>
      </c>
      <c r="B15" s="593" t="s">
        <v>174</v>
      </c>
      <c r="C15" s="589">
        <f>C13/B13-1</f>
        <v>-0.54987212276214836</v>
      </c>
      <c r="D15" s="583">
        <f t="shared" ref="D15" si="20">D13/C13-1</f>
        <v>-0.15056818181818177</v>
      </c>
      <c r="E15" s="439">
        <f t="shared" ref="E15" si="21">E13/D13-1</f>
        <v>-0.34448160535117056</v>
      </c>
      <c r="F15" s="577">
        <f>F13/E13-1</f>
        <v>5.1020408163265252E-2</v>
      </c>
      <c r="G15" s="583">
        <f>G13/F13-1</f>
        <v>-0.10194174757281549</v>
      </c>
      <c r="H15" s="589">
        <f t="shared" ref="H15:M15" si="22">H13/G13-1</f>
        <v>8.6486486486486491E-2</v>
      </c>
      <c r="I15" s="439">
        <f t="shared" si="22"/>
        <v>1.2288557213930349</v>
      </c>
      <c r="J15" s="577">
        <f t="shared" si="22"/>
        <v>0.1316964285714286</v>
      </c>
      <c r="K15" s="435">
        <f>K13/J13-1</f>
        <v>7.6923076923076872E-2</v>
      </c>
      <c r="L15" s="603">
        <f t="shared" si="22"/>
        <v>5.0000000000000044E-2</v>
      </c>
      <c r="M15" s="436">
        <f t="shared" si="22"/>
        <v>5.0000000000000044E-2</v>
      </c>
      <c r="N15" s="603">
        <f>N13/M13-1</f>
        <v>5.0000000000000044E-2</v>
      </c>
      <c r="O15" s="582">
        <f>O13/N13-1</f>
        <v>5.0000000000000044E-2</v>
      </c>
      <c r="P15" s="588">
        <f t="shared" ref="P15" si="23">P13/O13-1</f>
        <v>5.0000000000000044E-2</v>
      </c>
      <c r="Q15" s="440">
        <f t="shared" ref="Q15" si="24">Q13/P13-1</f>
        <v>5.0000000000000044E-2</v>
      </c>
      <c r="R15" s="467"/>
      <c r="S15" s="288"/>
      <c r="T15" s="466"/>
      <c r="U15" s="299"/>
      <c r="V15" s="288"/>
    </row>
    <row r="16" spans="1:30" x14ac:dyDescent="0.4">
      <c r="A16" s="553" t="s">
        <v>15</v>
      </c>
      <c r="B16" s="656">
        <v>978.55</v>
      </c>
      <c r="C16" s="676">
        <v>508.13</v>
      </c>
      <c r="D16" s="692">
        <v>452.68</v>
      </c>
      <c r="E16" s="314">
        <v>378</v>
      </c>
      <c r="F16" s="706">
        <v>379.61</v>
      </c>
      <c r="G16" s="692">
        <v>348.55</v>
      </c>
      <c r="H16" s="676">
        <v>386.1</v>
      </c>
      <c r="I16" s="459">
        <v>645</v>
      </c>
      <c r="J16" s="735">
        <v>691.22</v>
      </c>
      <c r="K16" s="111">
        <v>757.08</v>
      </c>
      <c r="L16" s="604">
        <f t="shared" ref="L16:Q16" si="25">K16*(1+0.05)</f>
        <v>794.93400000000008</v>
      </c>
      <c r="M16" s="284">
        <f t="shared" si="25"/>
        <v>834.68070000000012</v>
      </c>
      <c r="N16" s="604">
        <f t="shared" si="25"/>
        <v>876.41473500000018</v>
      </c>
      <c r="O16" s="625">
        <f t="shared" si="25"/>
        <v>920.23547175000022</v>
      </c>
      <c r="P16" s="641">
        <f t="shared" si="25"/>
        <v>966.24724533750032</v>
      </c>
      <c r="Q16" s="284">
        <f t="shared" si="25"/>
        <v>1014.5596076043754</v>
      </c>
      <c r="R16" s="507">
        <f>SUM(B16:E16)</f>
        <v>2317.3599999999997</v>
      </c>
      <c r="S16" s="300">
        <f>SUM(F16:I16)</f>
        <v>1759.2600000000002</v>
      </c>
      <c r="T16" s="475">
        <f>SUM(J16:M16)</f>
        <v>3077.9147000000003</v>
      </c>
      <c r="U16" s="300">
        <f>SUM(N16:Q16)</f>
        <v>3777.4570596918761</v>
      </c>
      <c r="V16" s="277">
        <f>V6-V21</f>
        <v>2759.9789255701326</v>
      </c>
      <c r="X16" s="4"/>
      <c r="Y16" s="82"/>
      <c r="Z16" s="83"/>
      <c r="AA16" s="83"/>
      <c r="AB16" s="141"/>
      <c r="AC16" s="141"/>
      <c r="AD16" s="141"/>
    </row>
    <row r="17" spans="1:49" s="2" customFormat="1" x14ac:dyDescent="0.4">
      <c r="A17" s="554" t="s">
        <v>69</v>
      </c>
      <c r="B17" s="657"/>
      <c r="C17" s="677"/>
      <c r="D17" s="693"/>
      <c r="E17" s="537"/>
      <c r="F17" s="707"/>
      <c r="G17" s="626"/>
      <c r="H17" s="677"/>
      <c r="I17" s="402"/>
      <c r="J17" s="707"/>
      <c r="K17" s="758"/>
      <c r="L17" s="642"/>
      <c r="M17" s="403"/>
      <c r="N17" s="605"/>
      <c r="O17" s="626"/>
      <c r="P17" s="642"/>
      <c r="Q17" s="760"/>
      <c r="R17" s="766"/>
      <c r="S17" s="767"/>
      <c r="T17" s="768"/>
      <c r="U17" s="767"/>
      <c r="V17" s="405" t="e">
        <f>#REF!*1.3</f>
        <v>#REF!</v>
      </c>
      <c r="W17" s="3"/>
      <c r="AC17" s="83"/>
      <c r="AD17" s="3"/>
    </row>
    <row r="18" spans="1:49" s="2" customFormat="1" x14ac:dyDescent="0.4">
      <c r="A18" s="555" t="s">
        <v>70</v>
      </c>
      <c r="B18" s="658"/>
      <c r="C18" s="678"/>
      <c r="D18" s="694"/>
      <c r="E18" s="538"/>
      <c r="F18" s="708"/>
      <c r="G18" s="725"/>
      <c r="H18" s="725"/>
      <c r="I18" s="728"/>
      <c r="J18" s="708"/>
      <c r="K18" s="759"/>
      <c r="L18" s="757"/>
      <c r="M18" s="754"/>
      <c r="N18" s="755"/>
      <c r="O18" s="756"/>
      <c r="P18" s="757"/>
      <c r="Q18" s="761"/>
      <c r="R18" s="404"/>
      <c r="S18" s="769"/>
      <c r="T18" s="770"/>
      <c r="U18" s="769"/>
      <c r="V18" s="405" t="e">
        <f t="shared" ref="V18" si="26">V16-V17</f>
        <v>#REF!</v>
      </c>
      <c r="Z18" s="2" t="s">
        <v>185</v>
      </c>
      <c r="AD18" s="83"/>
      <c r="AE18" s="3"/>
    </row>
    <row r="19" spans="1:49" s="2" customFormat="1" x14ac:dyDescent="0.4">
      <c r="A19" s="556" t="s">
        <v>11</v>
      </c>
      <c r="B19" s="659"/>
      <c r="C19" s="679"/>
      <c r="D19" s="695"/>
      <c r="E19" s="689"/>
      <c r="F19" s="709">
        <f t="shared" ref="F19:Q19" si="27">F16/B16-1</f>
        <v>-0.6120688774206734</v>
      </c>
      <c r="G19" s="771">
        <f t="shared" si="27"/>
        <v>-0.31405349024855844</v>
      </c>
      <c r="H19" s="771">
        <f t="shared" si="27"/>
        <v>-0.14707961473888831</v>
      </c>
      <c r="I19" s="771">
        <f t="shared" si="27"/>
        <v>0.70634920634920628</v>
      </c>
      <c r="J19" s="585">
        <f t="shared" si="27"/>
        <v>0.82086878638602778</v>
      </c>
      <c r="K19" s="772">
        <f t="shared" si="27"/>
        <v>1.172084349447712</v>
      </c>
      <c r="L19" s="792">
        <f t="shared" si="27"/>
        <v>1.0588811188811191</v>
      </c>
      <c r="M19" s="772">
        <f t="shared" si="27"/>
        <v>0.29407860465116298</v>
      </c>
      <c r="N19" s="753">
        <f t="shared" si="27"/>
        <v>0.26792444518387803</v>
      </c>
      <c r="O19" s="752">
        <f t="shared" si="27"/>
        <v>0.21550625000000023</v>
      </c>
      <c r="P19" s="753">
        <f t="shared" si="27"/>
        <v>0.21550625000000023</v>
      </c>
      <c r="Q19" s="772">
        <f t="shared" si="27"/>
        <v>0.21550625000000023</v>
      </c>
      <c r="R19" s="438"/>
      <c r="S19" s="400">
        <f>S16/R16-1</f>
        <v>-0.24083439776297144</v>
      </c>
      <c r="T19" s="473">
        <f>T16/S16-1</f>
        <v>0.74955077703125172</v>
      </c>
      <c r="U19" s="400">
        <f>U16/T16-1</f>
        <v>0.22727802030766986</v>
      </c>
      <c r="V19" s="276">
        <f>V16/U16-1</f>
        <v>-0.26935531444657601</v>
      </c>
      <c r="W19" s="190"/>
      <c r="X19" s="190"/>
      <c r="Z19" s="2" t="s">
        <v>186</v>
      </c>
      <c r="AD19" s="83"/>
    </row>
    <row r="20" spans="1:49" x14ac:dyDescent="0.4">
      <c r="A20" s="556" t="s">
        <v>12</v>
      </c>
      <c r="B20" s="659" t="s">
        <v>174</v>
      </c>
      <c r="C20" s="680">
        <f t="shared" ref="C20:Q20" si="28">C16/B16-1</f>
        <v>-0.48073169485463185</v>
      </c>
      <c r="D20" s="696">
        <f t="shared" si="28"/>
        <v>-0.10912561746009874</v>
      </c>
      <c r="E20" s="690">
        <f t="shared" si="28"/>
        <v>-0.16497304939471591</v>
      </c>
      <c r="F20" s="709">
        <f t="shared" si="28"/>
        <v>4.2592592592591849E-3</v>
      </c>
      <c r="G20" s="579">
        <f t="shared" si="28"/>
        <v>-8.1820816100734994E-2</v>
      </c>
      <c r="H20" s="579">
        <f t="shared" si="28"/>
        <v>0.10773203270692866</v>
      </c>
      <c r="I20" s="790">
        <f t="shared" si="28"/>
        <v>0.67055167055167053</v>
      </c>
      <c r="J20" s="585">
        <f t="shared" si="28"/>
        <v>7.1658914728682133E-2</v>
      </c>
      <c r="K20" s="788">
        <f t="shared" si="28"/>
        <v>9.5280807846995108E-2</v>
      </c>
      <c r="L20" s="793">
        <f t="shared" si="28"/>
        <v>5.0000000000000044E-2</v>
      </c>
      <c r="M20" s="789">
        <f t="shared" si="28"/>
        <v>5.0000000000000044E-2</v>
      </c>
      <c r="N20" s="585">
        <f t="shared" si="28"/>
        <v>5.0000000000000044E-2</v>
      </c>
      <c r="O20" s="579">
        <f t="shared" si="28"/>
        <v>5.0000000000000044E-2</v>
      </c>
      <c r="P20" s="791">
        <f t="shared" si="28"/>
        <v>5.0000000000000044E-2</v>
      </c>
      <c r="Q20" s="789">
        <f t="shared" si="28"/>
        <v>5.0000000000000044E-2</v>
      </c>
      <c r="R20" s="438"/>
      <c r="S20" s="299"/>
      <c r="T20" s="438"/>
      <c r="U20" s="299"/>
      <c r="V20" s="288"/>
      <c r="Z20" t="s">
        <v>187</v>
      </c>
    </row>
    <row r="21" spans="1:49" x14ac:dyDescent="0.4">
      <c r="A21" s="557" t="s">
        <v>17</v>
      </c>
      <c r="B21" s="595">
        <f t="shared" ref="B21:U21" si="29">B6-B16</f>
        <v>61.450000000000045</v>
      </c>
      <c r="C21" s="587">
        <f t="shared" si="29"/>
        <v>18.870000000000005</v>
      </c>
      <c r="D21" s="581">
        <f t="shared" si="29"/>
        <v>10.319999999999993</v>
      </c>
      <c r="E21" s="691">
        <f t="shared" si="29"/>
        <v>31</v>
      </c>
      <c r="F21" s="710">
        <f t="shared" si="29"/>
        <v>52.389999999999986</v>
      </c>
      <c r="G21" s="780">
        <f t="shared" si="29"/>
        <v>58.449999999999989</v>
      </c>
      <c r="H21" s="780">
        <f t="shared" si="29"/>
        <v>73.899999999999977</v>
      </c>
      <c r="I21" s="782">
        <f t="shared" si="29"/>
        <v>98</v>
      </c>
      <c r="J21" s="783">
        <f t="shared" si="29"/>
        <v>100.77999999999997</v>
      </c>
      <c r="K21" s="786">
        <f t="shared" si="29"/>
        <v>103.91999999999996</v>
      </c>
      <c r="L21" s="794">
        <f t="shared" si="29"/>
        <v>112.26599999999996</v>
      </c>
      <c r="M21" s="784">
        <f t="shared" si="29"/>
        <v>121.2183</v>
      </c>
      <c r="N21" s="785">
        <f t="shared" si="29"/>
        <v>130.81855499999995</v>
      </c>
      <c r="O21" s="780">
        <f t="shared" si="29"/>
        <v>141.11118314999999</v>
      </c>
      <c r="P21" s="781">
        <f t="shared" si="29"/>
        <v>152.14354473150001</v>
      </c>
      <c r="Q21" s="786">
        <f t="shared" si="29"/>
        <v>163.96613253751491</v>
      </c>
      <c r="R21" s="782">
        <f t="shared" si="29"/>
        <v>121.64000000000033</v>
      </c>
      <c r="S21" s="787">
        <f t="shared" si="29"/>
        <v>282.73999999999978</v>
      </c>
      <c r="T21" s="782">
        <f t="shared" si="29"/>
        <v>438.18429999999989</v>
      </c>
      <c r="U21" s="783">
        <f t="shared" si="29"/>
        <v>588.03941541901486</v>
      </c>
      <c r="V21" s="289">
        <f>V6*V22</f>
        <v>2930.699271481687</v>
      </c>
      <c r="Z21" t="s">
        <v>188</v>
      </c>
      <c r="AE21" s="2"/>
    </row>
    <row r="22" spans="1:49" x14ac:dyDescent="0.4">
      <c r="A22" s="540" t="s">
        <v>18</v>
      </c>
      <c r="B22" s="660">
        <f t="shared" ref="B22:U22" si="30">B21/B6</f>
        <v>5.9086538461538503E-2</v>
      </c>
      <c r="C22" s="643">
        <f t="shared" si="30"/>
        <v>3.5806451612903231E-2</v>
      </c>
      <c r="D22" s="627">
        <f t="shared" si="30"/>
        <v>2.2289416846652255E-2</v>
      </c>
      <c r="E22" s="112">
        <f t="shared" si="30"/>
        <v>7.5794621026894868E-2</v>
      </c>
      <c r="F22" s="711">
        <f t="shared" si="30"/>
        <v>0.12127314814814812</v>
      </c>
      <c r="G22" s="773">
        <f t="shared" si="30"/>
        <v>0.14361179361179358</v>
      </c>
      <c r="H22" s="774">
        <f t="shared" si="30"/>
        <v>0.16065217391304343</v>
      </c>
      <c r="I22" s="93">
        <f t="shared" si="30"/>
        <v>0.13189771197846567</v>
      </c>
      <c r="J22" s="775">
        <f t="shared" si="30"/>
        <v>0.12724747474747472</v>
      </c>
      <c r="K22" s="776">
        <f t="shared" si="30"/>
        <v>0.12069686411149821</v>
      </c>
      <c r="L22" s="777">
        <f t="shared" si="30"/>
        <v>0.12374999999999996</v>
      </c>
      <c r="M22" s="776">
        <f t="shared" si="30"/>
        <v>0.12681078231068343</v>
      </c>
      <c r="N22" s="777">
        <f t="shared" si="30"/>
        <v>0.12987910179180032</v>
      </c>
      <c r="O22" s="773">
        <f t="shared" si="30"/>
        <v>0.13295484797405371</v>
      </c>
      <c r="P22" s="774">
        <f t="shared" si="30"/>
        <v>0.13603790918388495</v>
      </c>
      <c r="Q22" s="778">
        <f t="shared" si="30"/>
        <v>0.1391281725571594</v>
      </c>
      <c r="R22" s="93">
        <f t="shared" si="30"/>
        <v>4.9872898728987425E-2</v>
      </c>
      <c r="S22" s="779">
        <f t="shared" si="30"/>
        <v>0.13846229187071488</v>
      </c>
      <c r="T22" s="93">
        <f t="shared" si="30"/>
        <v>0.12462228737017925</v>
      </c>
      <c r="U22" s="779">
        <f t="shared" si="30"/>
        <v>0.13470161269665845</v>
      </c>
      <c r="V22" s="290">
        <v>0.51500000000000001</v>
      </c>
      <c r="X22" s="506"/>
      <c r="Y22" s="506"/>
      <c r="Z22" t="s">
        <v>189</v>
      </c>
    </row>
    <row r="23" spans="1:49" s="2" customFormat="1" x14ac:dyDescent="0.4">
      <c r="A23" s="558" t="s">
        <v>19</v>
      </c>
      <c r="B23" s="661">
        <v>42.27</v>
      </c>
      <c r="C23" s="681">
        <v>35.369999999999997</v>
      </c>
      <c r="D23" s="697">
        <v>38.26</v>
      </c>
      <c r="E23" s="420">
        <v>43</v>
      </c>
      <c r="F23" s="712">
        <v>36.97</v>
      </c>
      <c r="G23" s="697">
        <v>36.81</v>
      </c>
      <c r="H23" s="681">
        <v>40.92</v>
      </c>
      <c r="I23" s="460">
        <v>44</v>
      </c>
      <c r="J23" s="736">
        <v>42.81</v>
      </c>
      <c r="K23" s="421">
        <v>46.13</v>
      </c>
      <c r="L23" s="606">
        <f>AVERAGE(B23:K23)</f>
        <v>40.654000000000003</v>
      </c>
      <c r="M23" s="421">
        <f>AVERAGE(B23:K23)</f>
        <v>40.654000000000003</v>
      </c>
      <c r="N23" s="606">
        <f>AVERAGE(B23:M23)</f>
        <v>40.654000000000003</v>
      </c>
      <c r="O23" s="628">
        <f>AVERAGE(B23:M23)</f>
        <v>40.654000000000003</v>
      </c>
      <c r="P23" s="644">
        <f>AVERAGE(B23:M23)</f>
        <v>40.654000000000003</v>
      </c>
      <c r="Q23" s="421">
        <f>AVERAGE(B23:M23)</f>
        <v>40.654000000000003</v>
      </c>
      <c r="R23" s="508">
        <f>SUM(B23:E23)</f>
        <v>158.9</v>
      </c>
      <c r="S23" s="422">
        <f>SUM(F23:I23)</f>
        <v>158.69999999999999</v>
      </c>
      <c r="T23" s="477">
        <f>SUM(J23:M23)</f>
        <v>170.24799999999999</v>
      </c>
      <c r="U23" s="422">
        <f>SUM(N23:Q23)</f>
        <v>162.61600000000001</v>
      </c>
      <c r="V23" s="423">
        <f>U23*1.1</f>
        <v>178.87760000000003</v>
      </c>
      <c r="AE23" s="3"/>
      <c r="AF23" s="207"/>
      <c r="AG23" s="4"/>
      <c r="AH23" s="189"/>
      <c r="AI23" s="189"/>
      <c r="AJ23" s="189"/>
      <c r="AL23"/>
      <c r="AO23"/>
      <c r="AP23"/>
      <c r="AQ23"/>
      <c r="AR23"/>
      <c r="AS23"/>
      <c r="AT23"/>
      <c r="AU23"/>
      <c r="AV23" s="188" t="s">
        <v>102</v>
      </c>
      <c r="AW23" s="13">
        <f>519.54</f>
        <v>519.54</v>
      </c>
    </row>
    <row r="24" spans="1:49" s="2" customFormat="1" x14ac:dyDescent="0.4">
      <c r="A24" s="542" t="s">
        <v>16</v>
      </c>
      <c r="B24" s="662">
        <f t="shared" ref="B24:J24" si="31">B23/B6</f>
        <v>4.0644230769230773E-2</v>
      </c>
      <c r="C24" s="645">
        <f t="shared" si="31"/>
        <v>6.7115749525616691E-2</v>
      </c>
      <c r="D24" s="629">
        <f t="shared" si="31"/>
        <v>8.2634989200863929E-2</v>
      </c>
      <c r="E24" s="424">
        <f t="shared" si="31"/>
        <v>0.10513447432762836</v>
      </c>
      <c r="F24" s="713">
        <f t="shared" si="31"/>
        <v>8.5578703703703699E-2</v>
      </c>
      <c r="G24" s="629">
        <f t="shared" si="31"/>
        <v>9.0442260442260447E-2</v>
      </c>
      <c r="H24" s="645">
        <f t="shared" si="31"/>
        <v>8.8956521739130434E-2</v>
      </c>
      <c r="I24" s="424">
        <f t="shared" si="31"/>
        <v>5.9219380888290714E-2</v>
      </c>
      <c r="J24" s="713">
        <f t="shared" si="31"/>
        <v>5.4053030303030304E-2</v>
      </c>
      <c r="K24" s="425">
        <f>G24</f>
        <v>9.0442260442260447E-2</v>
      </c>
      <c r="L24" s="607">
        <f>L23/L6</f>
        <v>4.4812610229276899E-2</v>
      </c>
      <c r="M24" s="426">
        <f>M23/M6</f>
        <v>4.252959779223537E-2</v>
      </c>
      <c r="N24" s="607">
        <f>N23/N6</f>
        <v>4.0362049590318839E-2</v>
      </c>
      <c r="O24" s="629">
        <f>K24</f>
        <v>9.0442260442260447E-2</v>
      </c>
      <c r="P24" s="645">
        <f t="shared" ref="P24:V24" si="32">P23/P6</f>
        <v>3.6350442404386944E-2</v>
      </c>
      <c r="Q24" s="426">
        <f t="shared" si="32"/>
        <v>3.4495640286232025E-2</v>
      </c>
      <c r="R24" s="427">
        <f t="shared" si="32"/>
        <v>6.5149651496514971E-2</v>
      </c>
      <c r="S24" s="428">
        <f t="shared" si="32"/>
        <v>7.77179236043095E-2</v>
      </c>
      <c r="T24" s="478">
        <f t="shared" si="32"/>
        <v>4.8419569528616792E-2</v>
      </c>
      <c r="U24" s="428">
        <f t="shared" si="32"/>
        <v>3.7250287779895482E-2</v>
      </c>
      <c r="V24" s="425">
        <f t="shared" si="32"/>
        <v>3.1433441464441179E-2</v>
      </c>
      <c r="AE24" s="3"/>
      <c r="AF24" s="208"/>
      <c r="AG24" s="189"/>
      <c r="AH24" s="189"/>
      <c r="AI24" s="189"/>
      <c r="AJ24" s="494"/>
      <c r="AK24" s="3"/>
      <c r="AL24"/>
    </row>
    <row r="25" spans="1:49" s="2" customFormat="1" x14ac:dyDescent="0.4">
      <c r="A25" s="553" t="s">
        <v>20</v>
      </c>
      <c r="B25" s="663">
        <f t="shared" ref="B25:S25" si="33">B21-B23</f>
        <v>19.180000000000042</v>
      </c>
      <c r="C25" s="646">
        <f t="shared" si="33"/>
        <v>-16.499999999999993</v>
      </c>
      <c r="D25" s="630">
        <f t="shared" si="33"/>
        <v>-27.940000000000005</v>
      </c>
      <c r="E25" s="316">
        <f t="shared" si="33"/>
        <v>-12</v>
      </c>
      <c r="F25" s="714">
        <f t="shared" si="33"/>
        <v>15.419999999999987</v>
      </c>
      <c r="G25" s="630">
        <f t="shared" si="33"/>
        <v>21.639999999999986</v>
      </c>
      <c r="H25" s="646">
        <f t="shared" si="33"/>
        <v>32.979999999999976</v>
      </c>
      <c r="I25" s="316">
        <f t="shared" si="33"/>
        <v>54</v>
      </c>
      <c r="J25" s="714">
        <f>J21-J23</f>
        <v>57.96999999999997</v>
      </c>
      <c r="K25" s="533">
        <f>K21-K23</f>
        <v>57.789999999999957</v>
      </c>
      <c r="L25" s="608">
        <f t="shared" ref="L25:Q25" si="34">L21-L23</f>
        <v>71.611999999999966</v>
      </c>
      <c r="M25" s="533">
        <f t="shared" si="34"/>
        <v>80.564300000000003</v>
      </c>
      <c r="N25" s="608">
        <f t="shared" si="34"/>
        <v>90.16455499999995</v>
      </c>
      <c r="O25" s="630">
        <f t="shared" si="34"/>
        <v>100.45718314999999</v>
      </c>
      <c r="P25" s="646">
        <f t="shared" si="34"/>
        <v>111.48954473150002</v>
      </c>
      <c r="Q25" s="113">
        <f t="shared" si="34"/>
        <v>123.31213253751491</v>
      </c>
      <c r="R25" s="479">
        <f t="shared" si="33"/>
        <v>-37.259999999999678</v>
      </c>
      <c r="S25" s="302">
        <f t="shared" si="33"/>
        <v>124.03999999999979</v>
      </c>
      <c r="T25" s="479">
        <f>SUM(J25:M25)</f>
        <v>267.9362999999999</v>
      </c>
      <c r="U25" s="530">
        <f>SUM(N25:Q25)</f>
        <v>425.42341541901487</v>
      </c>
      <c r="V25" s="291">
        <f>V21-V23</f>
        <v>2751.8216714816872</v>
      </c>
      <c r="AE25" s="3"/>
      <c r="AF25" s="495"/>
      <c r="AG25" s="189"/>
      <c r="AH25" s="189"/>
      <c r="AI25" s="189"/>
      <c r="AJ25" s="189"/>
      <c r="AK25" s="3"/>
    </row>
    <row r="26" spans="1:49" s="2" customFormat="1" x14ac:dyDescent="0.4">
      <c r="A26" s="559" t="s">
        <v>14</v>
      </c>
      <c r="B26" s="591"/>
      <c r="C26" s="654"/>
      <c r="D26" s="596"/>
      <c r="E26" s="317"/>
      <c r="F26" s="571"/>
      <c r="G26" s="578"/>
      <c r="H26" s="584"/>
      <c r="I26" s="458"/>
      <c r="J26" s="590"/>
      <c r="K26" s="534"/>
      <c r="L26" s="609"/>
      <c r="M26" s="497"/>
      <c r="N26" s="609"/>
      <c r="O26" s="631"/>
      <c r="P26" s="647"/>
      <c r="Q26" s="446"/>
      <c r="R26" s="498"/>
      <c r="S26" s="303"/>
      <c r="T26" s="472"/>
      <c r="U26" s="531"/>
      <c r="V26" s="310">
        <v>248</v>
      </c>
      <c r="AE26" s="3"/>
      <c r="AF26" s="205"/>
      <c r="AG26" s="205"/>
      <c r="AH26" s="189"/>
      <c r="AI26" s="189"/>
      <c r="AJ26" s="189"/>
      <c r="AK26" s="189"/>
    </row>
    <row r="27" spans="1:49" x14ac:dyDescent="0.4">
      <c r="A27" s="540" t="s">
        <v>21</v>
      </c>
      <c r="B27" s="664">
        <f t="shared" ref="B27:V27" si="35">B25/B6</f>
        <v>1.8442307692307734E-2</v>
      </c>
      <c r="C27" s="648">
        <f t="shared" si="35"/>
        <v>-3.130929791271346E-2</v>
      </c>
      <c r="D27" s="632">
        <f t="shared" si="35"/>
        <v>-6.0345572354211674E-2</v>
      </c>
      <c r="E27" s="322">
        <f t="shared" si="35"/>
        <v>-2.9339853300733496E-2</v>
      </c>
      <c r="F27" s="715">
        <f t="shared" si="35"/>
        <v>3.5694444444444418E-2</v>
      </c>
      <c r="G27" s="632">
        <f t="shared" si="35"/>
        <v>5.3169533169533136E-2</v>
      </c>
      <c r="H27" s="648">
        <f t="shared" si="35"/>
        <v>7.1695652173912994E-2</v>
      </c>
      <c r="I27" s="322">
        <f t="shared" si="35"/>
        <v>7.2678331090174964E-2</v>
      </c>
      <c r="J27" s="715">
        <f t="shared" si="35"/>
        <v>7.3194444444444409E-2</v>
      </c>
      <c r="K27" s="275">
        <f t="shared" si="35"/>
        <v>6.711962833914048E-2</v>
      </c>
      <c r="L27" s="610">
        <f t="shared" si="35"/>
        <v>7.8937389770723065E-2</v>
      </c>
      <c r="M27" s="290">
        <f t="shared" si="35"/>
        <v>8.4281184518448071E-2</v>
      </c>
      <c r="N27" s="610">
        <f t="shared" si="35"/>
        <v>8.9517052201481484E-2</v>
      </c>
      <c r="O27" s="632">
        <f t="shared" si="35"/>
        <v>9.4650680516315422E-2</v>
      </c>
      <c r="P27" s="648">
        <f t="shared" si="35"/>
        <v>9.9687466779498024E-2</v>
      </c>
      <c r="Q27" s="290">
        <f t="shared" si="35"/>
        <v>0.10463253227092738</v>
      </c>
      <c r="R27" s="315">
        <f t="shared" si="35"/>
        <v>-1.5276752767527543E-2</v>
      </c>
      <c r="S27" s="301">
        <f t="shared" si="35"/>
        <v>6.0744368266405384E-2</v>
      </c>
      <c r="T27" s="476">
        <f t="shared" si="35"/>
        <v>7.6202717841562448E-2</v>
      </c>
      <c r="U27" s="301">
        <f t="shared" si="35"/>
        <v>9.7451324916762963E-2</v>
      </c>
      <c r="V27" s="290">
        <f t="shared" si="35"/>
        <v>0.48356655853555885</v>
      </c>
    </row>
    <row r="28" spans="1:49" x14ac:dyDescent="0.4">
      <c r="A28" s="541" t="s">
        <v>11</v>
      </c>
      <c r="B28" s="665"/>
      <c r="C28" s="649"/>
      <c r="D28" s="633"/>
      <c r="E28" s="318"/>
      <c r="F28" s="716">
        <f t="shared" ref="F28:M28" si="36">F25/B25-1</f>
        <v>-0.19603753910323496</v>
      </c>
      <c r="G28" s="633">
        <f t="shared" si="36"/>
        <v>-2.3115151515151515</v>
      </c>
      <c r="H28" s="649">
        <f t="shared" si="36"/>
        <v>-2.1803865425912656</v>
      </c>
      <c r="I28" s="318">
        <f t="shared" si="36"/>
        <v>-5.5</v>
      </c>
      <c r="J28" s="716">
        <f t="shared" si="36"/>
        <v>2.7594033722438405</v>
      </c>
      <c r="K28" s="110">
        <f t="shared" si="36"/>
        <v>1.6705175600739368</v>
      </c>
      <c r="L28" s="611">
        <f>L25/H25-1</f>
        <v>1.1713765918738637</v>
      </c>
      <c r="M28" s="278">
        <f t="shared" si="36"/>
        <v>0.49193148148148147</v>
      </c>
      <c r="N28" s="611">
        <f t="shared" ref="N28" si="37">N25/J25-1</f>
        <v>0.55536579265137132</v>
      </c>
      <c r="O28" s="633">
        <f t="shared" ref="O28" si="38">O25/K25-1</f>
        <v>0.73831429572590523</v>
      </c>
      <c r="P28" s="649">
        <f>P25/L25-1</f>
        <v>0.55685562100625696</v>
      </c>
      <c r="Q28" s="278">
        <f t="shared" ref="Q28" si="39">Q25/M25-1</f>
        <v>0.53060515063762614</v>
      </c>
      <c r="R28" s="438"/>
      <c r="S28" s="455">
        <f>S25/R25-1</f>
        <v>-4.3290391841116715</v>
      </c>
      <c r="T28" s="480">
        <f>T25/S25-1</f>
        <v>1.1600798129635628</v>
      </c>
      <c r="U28" s="503">
        <f>U25/T25-1</f>
        <v>0.58777819735144154</v>
      </c>
      <c r="V28" s="292">
        <f>V25/U25-1</f>
        <v>5.4684302079877734</v>
      </c>
      <c r="AH28" s="202"/>
    </row>
    <row r="29" spans="1:49" x14ac:dyDescent="0.4">
      <c r="A29" s="542" t="s">
        <v>12</v>
      </c>
      <c r="B29" s="665"/>
      <c r="C29" s="649">
        <f t="shared" ref="C29:M29" si="40">C25/B25-1</f>
        <v>-1.860271115745566</v>
      </c>
      <c r="D29" s="633">
        <f t="shared" si="40"/>
        <v>0.69333333333333425</v>
      </c>
      <c r="E29" s="318">
        <f t="shared" si="40"/>
        <v>-0.57050823192555478</v>
      </c>
      <c r="F29" s="716">
        <f t="shared" si="40"/>
        <v>-2.2849999999999993</v>
      </c>
      <c r="G29" s="633">
        <f t="shared" si="40"/>
        <v>0.40337224383917025</v>
      </c>
      <c r="H29" s="649">
        <f t="shared" si="40"/>
        <v>0.5240295748613677</v>
      </c>
      <c r="I29" s="461">
        <f t="shared" si="40"/>
        <v>0.6373559733171632</v>
      </c>
      <c r="J29" s="716">
        <f t="shared" si="40"/>
        <v>7.3518518518517872E-2</v>
      </c>
      <c r="K29" s="278">
        <f t="shared" si="40"/>
        <v>-3.1050543384512075E-3</v>
      </c>
      <c r="L29" s="611">
        <f t="shared" si="40"/>
        <v>0.23917632808444411</v>
      </c>
      <c r="M29" s="278">
        <f t="shared" si="40"/>
        <v>0.12501117131207118</v>
      </c>
      <c r="N29" s="611">
        <f t="shared" ref="N29" si="41">N25/M25-1</f>
        <v>0.11916264399988519</v>
      </c>
      <c r="O29" s="633">
        <f t="shared" ref="O29" si="42">O25/N25-1</f>
        <v>0.11415381742858988</v>
      </c>
      <c r="P29" s="649">
        <f t="shared" ref="P29" si="43">P25/O25-1</f>
        <v>0.10982153028347219</v>
      </c>
      <c r="Q29" s="278">
        <f t="shared" ref="Q29" si="44">Q25/P25-1</f>
        <v>0.10604212111985212</v>
      </c>
      <c r="R29" s="499"/>
      <c r="S29" s="304"/>
      <c r="T29" s="468"/>
      <c r="U29" s="304"/>
      <c r="V29" s="293"/>
    </row>
    <row r="30" spans="1:49" s="2" customFormat="1" x14ac:dyDescent="0.4">
      <c r="A30" s="543" t="s">
        <v>24</v>
      </c>
      <c r="B30" s="666">
        <f t="shared" ref="B30:Q30" si="45">B31-B32</f>
        <v>-2.5599999999999987</v>
      </c>
      <c r="C30" s="640">
        <f t="shared" si="45"/>
        <v>-8.2900000000000009</v>
      </c>
      <c r="D30" s="624">
        <f t="shared" si="45"/>
        <v>-0.66999999999999993</v>
      </c>
      <c r="E30" s="114">
        <f t="shared" si="45"/>
        <v>-13</v>
      </c>
      <c r="F30" s="574">
        <f t="shared" si="45"/>
        <v>1.2300000000000004</v>
      </c>
      <c r="G30" s="624">
        <f t="shared" si="45"/>
        <v>-8.18</v>
      </c>
      <c r="H30" s="640">
        <f t="shared" si="45"/>
        <v>-8.75</v>
      </c>
      <c r="I30" s="114">
        <f t="shared" si="45"/>
        <v>-17</v>
      </c>
      <c r="J30" s="574">
        <f t="shared" si="45"/>
        <v>1.0899999999999999</v>
      </c>
      <c r="K30" s="280">
        <f t="shared" si="45"/>
        <v>-5.2200000000000006</v>
      </c>
      <c r="L30" s="612">
        <f t="shared" si="45"/>
        <v>-6.1349999999999998</v>
      </c>
      <c r="M30" s="280">
        <f t="shared" si="45"/>
        <v>-6.1349999999999998</v>
      </c>
      <c r="N30" s="612">
        <f t="shared" si="45"/>
        <v>-6.1349999999999998</v>
      </c>
      <c r="O30" s="624">
        <f t="shared" si="45"/>
        <v>-6.1349999999999998</v>
      </c>
      <c r="P30" s="640">
        <f t="shared" si="45"/>
        <v>-6.1349999999999998</v>
      </c>
      <c r="Q30" s="280">
        <f t="shared" si="45"/>
        <v>-6.1349999999999998</v>
      </c>
      <c r="R30" s="434">
        <f>SUM(B30:E30)</f>
        <v>-24.52</v>
      </c>
      <c r="S30" s="305">
        <f>SUM(F30:I30)</f>
        <v>-32.700000000000003</v>
      </c>
      <c r="T30" s="433">
        <f>SUM(J30:M30)</f>
        <v>-16.399999999999999</v>
      </c>
      <c r="U30" s="305">
        <f>SUM(N30:Q30)</f>
        <v>-24.54</v>
      </c>
      <c r="V30" s="279">
        <f>U30</f>
        <v>-24.54</v>
      </c>
    </row>
    <row r="31" spans="1:49" x14ac:dyDescent="0.4">
      <c r="A31" s="544" t="s">
        <v>25</v>
      </c>
      <c r="B31" s="667">
        <v>11.81</v>
      </c>
      <c r="C31" s="682">
        <v>8.15</v>
      </c>
      <c r="D31" s="698">
        <v>9.66</v>
      </c>
      <c r="E31" s="489">
        <v>1</v>
      </c>
      <c r="F31" s="717">
        <v>15.07</v>
      </c>
      <c r="G31" s="698">
        <v>6.51</v>
      </c>
      <c r="H31" s="682">
        <v>7.96</v>
      </c>
      <c r="I31" s="490">
        <v>9</v>
      </c>
      <c r="J31" s="737">
        <v>15.97</v>
      </c>
      <c r="K31" s="279">
        <v>4.16</v>
      </c>
      <c r="L31" s="613">
        <f>AVERAGE(B31:K31)</f>
        <v>8.9289999999999985</v>
      </c>
      <c r="M31" s="279">
        <f>AVERAGE(B31:K31)</f>
        <v>8.9289999999999985</v>
      </c>
      <c r="N31" s="613">
        <f>AVERAGE(B31:K31)</f>
        <v>8.9289999999999985</v>
      </c>
      <c r="O31" s="634">
        <f>AVERAGE(B31:K31)</f>
        <v>8.9289999999999985</v>
      </c>
      <c r="P31" s="650">
        <f>AVERAGE(B31:K31)</f>
        <v>8.9289999999999985</v>
      </c>
      <c r="Q31" s="279">
        <f>AVERAGE(B31:K31)</f>
        <v>8.9289999999999985</v>
      </c>
      <c r="R31" s="434"/>
      <c r="S31" s="305"/>
      <c r="T31" s="433"/>
      <c r="U31" s="305"/>
      <c r="V31" s="279"/>
      <c r="AL31" s="2"/>
      <c r="AM31" s="2"/>
      <c r="AN31" s="2"/>
    </row>
    <row r="32" spans="1:49" x14ac:dyDescent="0.4">
      <c r="A32" s="544" t="s">
        <v>26</v>
      </c>
      <c r="B32" s="668">
        <v>14.37</v>
      </c>
      <c r="C32" s="683">
        <v>16.440000000000001</v>
      </c>
      <c r="D32" s="699">
        <v>10.33</v>
      </c>
      <c r="E32" s="491">
        <v>14</v>
      </c>
      <c r="F32" s="718">
        <v>13.84</v>
      </c>
      <c r="G32" s="699">
        <v>14.69</v>
      </c>
      <c r="H32" s="683">
        <v>16.71</v>
      </c>
      <c r="I32" s="492">
        <v>26</v>
      </c>
      <c r="J32" s="737">
        <v>14.88</v>
      </c>
      <c r="K32" s="279">
        <v>9.3800000000000008</v>
      </c>
      <c r="L32" s="613">
        <f t="shared" ref="L32:L36" si="46">AVERAGE(B32:K32)</f>
        <v>15.063999999999998</v>
      </c>
      <c r="M32" s="279">
        <f>AVERAGE(B32:K32)</f>
        <v>15.063999999999998</v>
      </c>
      <c r="N32" s="613">
        <f>AVERAGE(B32:K32)</f>
        <v>15.063999999999998</v>
      </c>
      <c r="O32" s="634">
        <f>AVERAGE(B32:K32)</f>
        <v>15.063999999999998</v>
      </c>
      <c r="P32" s="650">
        <f>AVERAGE(B32:K32)</f>
        <v>15.063999999999998</v>
      </c>
      <c r="Q32" s="279">
        <f>AVERAGE(B32:K32)</f>
        <v>15.063999999999998</v>
      </c>
      <c r="R32" s="434"/>
      <c r="S32" s="305"/>
      <c r="T32" s="433"/>
      <c r="U32" s="305"/>
      <c r="V32" s="279"/>
    </row>
    <row r="33" spans="1:23" x14ac:dyDescent="0.4">
      <c r="A33" s="545" t="s">
        <v>27</v>
      </c>
      <c r="B33" s="669">
        <f t="shared" ref="B33:Q33" si="47">B34-B35</f>
        <v>-0.21999999999999997</v>
      </c>
      <c r="C33" s="651">
        <f t="shared" si="47"/>
        <v>1.0699999999999998</v>
      </c>
      <c r="D33" s="635">
        <f t="shared" si="47"/>
        <v>0.64000000000000012</v>
      </c>
      <c r="E33" s="323">
        <f t="shared" si="47"/>
        <v>1</v>
      </c>
      <c r="F33" s="719">
        <f t="shared" si="47"/>
        <v>1.5699999999999998</v>
      </c>
      <c r="G33" s="635">
        <f t="shared" si="47"/>
        <v>-6.9600000000000009</v>
      </c>
      <c r="H33" s="651">
        <f t="shared" si="47"/>
        <v>-1.2400000000000002</v>
      </c>
      <c r="I33" s="323">
        <f t="shared" si="47"/>
        <v>-1</v>
      </c>
      <c r="J33" s="719">
        <f t="shared" si="47"/>
        <v>3.23</v>
      </c>
      <c r="K33" s="598">
        <f t="shared" si="47"/>
        <v>3.36</v>
      </c>
      <c r="L33" s="614">
        <f t="shared" si="47"/>
        <v>0.14499999999999957</v>
      </c>
      <c r="M33" s="598">
        <f t="shared" si="47"/>
        <v>0.14499999999999957</v>
      </c>
      <c r="N33" s="614">
        <f t="shared" si="47"/>
        <v>0.14499999999999957</v>
      </c>
      <c r="O33" s="635">
        <f t="shared" si="47"/>
        <v>0.14499999999999957</v>
      </c>
      <c r="P33" s="651">
        <f t="shared" si="47"/>
        <v>0.14499999999999957</v>
      </c>
      <c r="Q33" s="598">
        <f t="shared" si="47"/>
        <v>0.14499999999999957</v>
      </c>
      <c r="R33" s="434">
        <f>SUM(B33:E33)</f>
        <v>2.4900000000000002</v>
      </c>
      <c r="S33" s="305">
        <f>SUM(F33:I33)</f>
        <v>-7.6300000000000008</v>
      </c>
      <c r="T33" s="433">
        <f>SUM(J33:M33)</f>
        <v>6.879999999999999</v>
      </c>
      <c r="U33" s="305">
        <f>SUM(N33:Q33)</f>
        <v>0.57999999999999829</v>
      </c>
      <c r="V33" s="279">
        <f>U33</f>
        <v>0.57999999999999829</v>
      </c>
    </row>
    <row r="34" spans="1:23" x14ac:dyDescent="0.4">
      <c r="A34" s="544" t="s">
        <v>28</v>
      </c>
      <c r="B34" s="670">
        <v>1.77</v>
      </c>
      <c r="C34" s="684">
        <v>2.44</v>
      </c>
      <c r="D34" s="700">
        <v>1.82</v>
      </c>
      <c r="E34" s="493">
        <v>3</v>
      </c>
      <c r="F34" s="717">
        <v>2.94</v>
      </c>
      <c r="G34" s="726">
        <v>2.19</v>
      </c>
      <c r="H34" s="729">
        <v>2.38</v>
      </c>
      <c r="I34" s="490">
        <v>4</v>
      </c>
      <c r="J34" s="737">
        <v>3.85</v>
      </c>
      <c r="K34" s="279">
        <v>3.53</v>
      </c>
      <c r="L34" s="613">
        <f t="shared" si="46"/>
        <v>2.7920000000000003</v>
      </c>
      <c r="M34" s="279">
        <f>AVERAGE(B34:K34)</f>
        <v>2.7920000000000003</v>
      </c>
      <c r="N34" s="613">
        <f>AVERAGE(B34:K34)</f>
        <v>2.7920000000000003</v>
      </c>
      <c r="O34" s="634">
        <f>AVERAGE(B34:K34)</f>
        <v>2.7920000000000003</v>
      </c>
      <c r="P34" s="650">
        <f>AVERAGE(B34:K34)</f>
        <v>2.7920000000000003</v>
      </c>
      <c r="Q34" s="279">
        <f>AVERAGE(B34:K34)</f>
        <v>2.7920000000000003</v>
      </c>
      <c r="R34" s="434"/>
      <c r="S34" s="305"/>
      <c r="T34" s="433"/>
      <c r="U34" s="305"/>
      <c r="V34" s="279"/>
    </row>
    <row r="35" spans="1:23" x14ac:dyDescent="0.4">
      <c r="A35" s="544" t="s">
        <v>29</v>
      </c>
      <c r="B35" s="670">
        <v>1.99</v>
      </c>
      <c r="C35" s="684">
        <v>1.37</v>
      </c>
      <c r="D35" s="700">
        <v>1.18</v>
      </c>
      <c r="E35" s="493">
        <v>2</v>
      </c>
      <c r="F35" s="717">
        <v>1.37</v>
      </c>
      <c r="G35" s="726">
        <v>9.15</v>
      </c>
      <c r="H35" s="729">
        <v>3.62</v>
      </c>
      <c r="I35" s="490">
        <v>5</v>
      </c>
      <c r="J35" s="737">
        <v>0.62</v>
      </c>
      <c r="K35" s="279">
        <v>0.17</v>
      </c>
      <c r="L35" s="613">
        <f t="shared" si="46"/>
        <v>2.6470000000000007</v>
      </c>
      <c r="M35" s="279">
        <f>AVERAGE(B35:K35)</f>
        <v>2.6470000000000007</v>
      </c>
      <c r="N35" s="613">
        <f>AVERAGE(B35:K35)</f>
        <v>2.6470000000000007</v>
      </c>
      <c r="O35" s="634">
        <f>AVERAGE(B35:K35)</f>
        <v>2.6470000000000007</v>
      </c>
      <c r="P35" s="650">
        <f>AVERAGE(B35:K35)</f>
        <v>2.6470000000000007</v>
      </c>
      <c r="Q35" s="279">
        <f>AVERAGE(B35:K35)</f>
        <v>2.6470000000000007</v>
      </c>
      <c r="R35" s="434"/>
      <c r="S35" s="305"/>
      <c r="T35" s="433"/>
      <c r="U35" s="305"/>
      <c r="V35" s="279"/>
    </row>
    <row r="36" spans="1:23" x14ac:dyDescent="0.4">
      <c r="A36" s="546" t="s">
        <v>30</v>
      </c>
      <c r="B36" s="671">
        <v>0</v>
      </c>
      <c r="C36" s="685">
        <v>0</v>
      </c>
      <c r="D36" s="701">
        <v>-1</v>
      </c>
      <c r="E36" s="430">
        <f>0.96-D36-C36-B36</f>
        <v>1.96</v>
      </c>
      <c r="F36" s="720">
        <v>-1</v>
      </c>
      <c r="G36" s="702">
        <v>0.56000000000000005</v>
      </c>
      <c r="H36" s="686">
        <v>-0.5</v>
      </c>
      <c r="I36" s="462">
        <v>-1</v>
      </c>
      <c r="J36" s="737">
        <v>0</v>
      </c>
      <c r="K36" s="279">
        <v>-2</v>
      </c>
      <c r="L36" s="613">
        <f t="shared" si="46"/>
        <v>-0.29799999999999999</v>
      </c>
      <c r="M36" s="294">
        <f>AVERAGE(B36:K36)</f>
        <v>-0.29799999999999999</v>
      </c>
      <c r="N36" s="613">
        <f>AVERAGE(B36:K36)</f>
        <v>-0.29799999999999999</v>
      </c>
      <c r="O36" s="634">
        <f>AVERAGE(B36:K36)</f>
        <v>-0.29799999999999999</v>
      </c>
      <c r="P36" s="650">
        <f>AVERAGE(B36:K36)</f>
        <v>-0.29799999999999999</v>
      </c>
      <c r="Q36" s="279">
        <f>AVERAGE(B36:K36)</f>
        <v>-0.29799999999999999</v>
      </c>
      <c r="R36" s="500">
        <f>SUM(B36:E36)</f>
        <v>0.96</v>
      </c>
      <c r="S36" s="306">
        <f>SUM(F36:I36)</f>
        <v>-1.94</v>
      </c>
      <c r="T36" s="621">
        <f>SUM(J36:M36)</f>
        <v>-2.5960000000000001</v>
      </c>
      <c r="U36" s="765">
        <f>SUM(N36:Q36)</f>
        <v>-1.1919999999999999</v>
      </c>
      <c r="V36" s="294">
        <f>U36</f>
        <v>-1.1919999999999999</v>
      </c>
    </row>
    <row r="37" spans="1:23" x14ac:dyDescent="0.4">
      <c r="A37" s="545" t="s">
        <v>31</v>
      </c>
      <c r="B37" s="672">
        <f t="shared" ref="B37:M37" si="48">B25+B30+B33+B36</f>
        <v>16.400000000000045</v>
      </c>
      <c r="C37" s="640">
        <f t="shared" si="48"/>
        <v>-23.719999999999992</v>
      </c>
      <c r="D37" s="624">
        <f t="shared" si="48"/>
        <v>-28.970000000000006</v>
      </c>
      <c r="E37" s="319">
        <f t="shared" si="48"/>
        <v>-22.04</v>
      </c>
      <c r="F37" s="574">
        <f t="shared" si="48"/>
        <v>17.219999999999988</v>
      </c>
      <c r="G37" s="624">
        <f t="shared" si="48"/>
        <v>7.0599999999999863</v>
      </c>
      <c r="H37" s="640">
        <f>H25+H30+H33+H36</f>
        <v>22.489999999999974</v>
      </c>
      <c r="I37" s="319">
        <f t="shared" si="48"/>
        <v>35</v>
      </c>
      <c r="J37" s="574">
        <f>J25+J30+J33+J36</f>
        <v>62.289999999999971</v>
      </c>
      <c r="K37" s="280">
        <f t="shared" si="48"/>
        <v>53.929999999999957</v>
      </c>
      <c r="L37" s="612">
        <f t="shared" si="48"/>
        <v>65.323999999999955</v>
      </c>
      <c r="M37" s="280">
        <f t="shared" si="48"/>
        <v>74.276299999999992</v>
      </c>
      <c r="N37" s="612">
        <f>N25+N30+N33+N36</f>
        <v>83.876554999999939</v>
      </c>
      <c r="O37" s="624">
        <f t="shared" ref="O37:Q37" si="49">O25+O30+O33+O36</f>
        <v>94.169183149999981</v>
      </c>
      <c r="P37" s="640">
        <f t="shared" si="49"/>
        <v>105.20154473150001</v>
      </c>
      <c r="Q37" s="280">
        <f t="shared" si="49"/>
        <v>117.0241325375149</v>
      </c>
      <c r="R37" s="409">
        <f>SUM(B37:E37)</f>
        <v>-58.329999999999949</v>
      </c>
      <c r="S37" s="307">
        <f>SUM(F37:I37)</f>
        <v>81.769999999999953</v>
      </c>
      <c r="T37" s="602">
        <f>SUM(J37:M37)</f>
        <v>255.82029999999986</v>
      </c>
      <c r="U37" s="89">
        <f>SUM(N37:Q37)</f>
        <v>400.27141541901483</v>
      </c>
      <c r="V37" s="295">
        <f>V25+V30+V33</f>
        <v>2727.8616714816872</v>
      </c>
      <c r="W37" s="504"/>
    </row>
    <row r="38" spans="1:23" x14ac:dyDescent="0.4">
      <c r="A38" s="545" t="s">
        <v>32</v>
      </c>
      <c r="B38" s="673">
        <v>0</v>
      </c>
      <c r="C38" s="686">
        <v>0</v>
      </c>
      <c r="D38" s="702">
        <v>0</v>
      </c>
      <c r="E38" s="324">
        <v>-40.840000000000003</v>
      </c>
      <c r="F38" s="721">
        <v>0</v>
      </c>
      <c r="G38" s="635">
        <v>2.1800000000000002</v>
      </c>
      <c r="H38" s="651">
        <v>0.4</v>
      </c>
      <c r="I38" s="434">
        <v>-39</v>
      </c>
      <c r="J38" s="737">
        <v>0</v>
      </c>
      <c r="K38" s="279">
        <v>26</v>
      </c>
      <c r="L38" s="613">
        <f>AVERAGE(B38:K38)</f>
        <v>-5.1260000000000003</v>
      </c>
      <c r="M38" s="279">
        <f>AVERAGE(B38:K38)</f>
        <v>-5.1260000000000003</v>
      </c>
      <c r="N38" s="613">
        <f>AVERAGE(B38:K38)</f>
        <v>-5.1260000000000003</v>
      </c>
      <c r="O38" s="634">
        <f>AVERAGE(B38:K38)</f>
        <v>-5.1260000000000003</v>
      </c>
      <c r="P38" s="650">
        <f>AVERAGE(B38:K38)</f>
        <v>-5.1260000000000003</v>
      </c>
      <c r="Q38" s="279">
        <f>AVERAGE(B38:K38)</f>
        <v>-5.1260000000000003</v>
      </c>
      <c r="R38" s="396">
        <f>SUM(B38:E38)</f>
        <v>-40.840000000000003</v>
      </c>
      <c r="S38" s="305">
        <f>SUM(F38:I38)</f>
        <v>-36.42</v>
      </c>
      <c r="T38" s="602">
        <f>SUM(J38:M38)</f>
        <v>15.747999999999998</v>
      </c>
      <c r="U38" s="89">
        <f>SUM(N38:Q38)</f>
        <v>-20.504000000000001</v>
      </c>
      <c r="V38" s="279">
        <f>V37*V39</f>
        <v>-395.59634285761143</v>
      </c>
      <c r="W38" s="504"/>
    </row>
    <row r="39" spans="1:23" x14ac:dyDescent="0.4">
      <c r="A39" s="542" t="s">
        <v>38</v>
      </c>
      <c r="B39" s="674">
        <f t="shared" ref="B39:D39" si="50">B38/B37</f>
        <v>0</v>
      </c>
      <c r="C39" s="652">
        <f>C38/C37</f>
        <v>0</v>
      </c>
      <c r="D39" s="636">
        <f t="shared" si="50"/>
        <v>0</v>
      </c>
      <c r="E39" s="325">
        <f>E38/E37</f>
        <v>1.8529945553539022</v>
      </c>
      <c r="F39" s="722">
        <f t="shared" ref="F39:N39" si="51">F38/F37</f>
        <v>0</v>
      </c>
      <c r="G39" s="636">
        <f t="shared" si="51"/>
        <v>0.30878186968838589</v>
      </c>
      <c r="H39" s="652">
        <f t="shared" si="51"/>
        <v>1.7785682525566941E-2</v>
      </c>
      <c r="I39" s="325">
        <f t="shared" si="51"/>
        <v>-1.1142857142857143</v>
      </c>
      <c r="J39" s="722">
        <f t="shared" si="51"/>
        <v>0</v>
      </c>
      <c r="K39" s="532">
        <f t="shared" si="51"/>
        <v>0.48210643426664235</v>
      </c>
      <c r="L39" s="615">
        <f t="shared" si="51"/>
        <v>-7.847039372971655E-2</v>
      </c>
      <c r="M39" s="532">
        <f t="shared" si="51"/>
        <v>-6.9012592172738821E-2</v>
      </c>
      <c r="N39" s="615">
        <f t="shared" si="51"/>
        <v>-6.1113621082792495E-2</v>
      </c>
      <c r="O39" s="636">
        <f t="shared" ref="O39" si="52">O38/O37</f>
        <v>-5.4433943552795926E-2</v>
      </c>
      <c r="P39" s="652">
        <f t="shared" ref="P39" si="53">P38/P37</f>
        <v>-4.8725520267623466E-2</v>
      </c>
      <c r="Q39" s="532">
        <f t="shared" ref="Q39" si="54">Q38/Q37</f>
        <v>-4.3802930975427118E-2</v>
      </c>
      <c r="R39" s="762">
        <f t="shared" ref="R39" si="55">R38/R37</f>
        <v>0.70015429453111677</v>
      </c>
      <c r="S39" s="763">
        <f t="shared" ref="S39" si="56">S38/S37</f>
        <v>-0.4453956218662104</v>
      </c>
      <c r="T39" s="764">
        <f t="shared" ref="T39" si="57">T38/T37</f>
        <v>6.1558836417594721E-2</v>
      </c>
      <c r="U39" s="764">
        <f t="shared" ref="U39" si="58">U38/U37</f>
        <v>-5.1225241698900394E-2</v>
      </c>
      <c r="V39" s="296">
        <f>AVERAGE(S39:U39)</f>
        <v>-0.14502067571583868</v>
      </c>
      <c r="W39" s="504"/>
    </row>
    <row r="40" spans="1:23" ht="15" customHeight="1" x14ac:dyDescent="0.4">
      <c r="A40" s="545" t="s">
        <v>34</v>
      </c>
      <c r="B40" s="675">
        <f>B37-B38</f>
        <v>16.400000000000045</v>
      </c>
      <c r="C40" s="687">
        <f t="shared" ref="C40:M40" si="59">C37-C38</f>
        <v>-23.719999999999992</v>
      </c>
      <c r="D40" s="703">
        <f t="shared" si="59"/>
        <v>-28.970000000000006</v>
      </c>
      <c r="E40" s="536">
        <f>E37-E38</f>
        <v>18.800000000000004</v>
      </c>
      <c r="F40" s="746">
        <f t="shared" si="59"/>
        <v>17.219999999999988</v>
      </c>
      <c r="G40" s="703">
        <f t="shared" si="59"/>
        <v>4.8799999999999866</v>
      </c>
      <c r="H40" s="687">
        <f>H37-H38</f>
        <v>22.089999999999975</v>
      </c>
      <c r="I40" s="536">
        <f t="shared" si="59"/>
        <v>74</v>
      </c>
      <c r="J40" s="746">
        <f>J37-J38</f>
        <v>62.289999999999971</v>
      </c>
      <c r="K40" s="747">
        <f t="shared" si="59"/>
        <v>27.929999999999957</v>
      </c>
      <c r="L40" s="748">
        <f t="shared" si="59"/>
        <v>70.44999999999996</v>
      </c>
      <c r="M40" s="747">
        <f t="shared" si="59"/>
        <v>79.402299999999997</v>
      </c>
      <c r="N40" s="748">
        <f>N37-N38</f>
        <v>89.002554999999944</v>
      </c>
      <c r="O40" s="703">
        <f t="shared" ref="O40:Q40" si="60">O37-O38</f>
        <v>99.295183149999986</v>
      </c>
      <c r="P40" s="687">
        <f t="shared" si="60"/>
        <v>110.32754473150001</v>
      </c>
      <c r="Q40" s="747">
        <f t="shared" si="60"/>
        <v>122.15013253751491</v>
      </c>
      <c r="R40" s="749">
        <f>SUM(B40:E40)</f>
        <v>-17.489999999999945</v>
      </c>
      <c r="S40" s="750">
        <f>SUM(F40:I40)</f>
        <v>118.18999999999994</v>
      </c>
      <c r="T40" s="749">
        <f>SUM(J40:M40)</f>
        <v>240.0722999999999</v>
      </c>
      <c r="U40" s="751">
        <f>SUM(N40:Q40)</f>
        <v>420.77541541901485</v>
      </c>
      <c r="V40" s="295">
        <f>V37-V38</f>
        <v>3123.4580143392986</v>
      </c>
      <c r="W40" s="504"/>
    </row>
    <row r="41" spans="1:23" x14ac:dyDescent="0.4">
      <c r="A41" s="545" t="s">
        <v>35</v>
      </c>
      <c r="B41" s="741"/>
      <c r="C41" s="688"/>
      <c r="D41" s="704"/>
      <c r="E41" s="431"/>
      <c r="F41" s="723"/>
      <c r="G41" s="727"/>
      <c r="H41" s="730"/>
      <c r="I41" s="463"/>
      <c r="J41" s="737"/>
      <c r="K41" s="89"/>
      <c r="L41" s="613"/>
      <c r="M41" s="279"/>
      <c r="N41" s="621"/>
      <c r="O41" s="637"/>
      <c r="P41" s="650"/>
      <c r="Q41" s="279"/>
      <c r="R41" s="396"/>
      <c r="S41" s="305"/>
      <c r="T41" s="433"/>
      <c r="U41" s="396"/>
      <c r="V41" s="279"/>
      <c r="W41" s="505"/>
    </row>
    <row r="42" spans="1:23" x14ac:dyDescent="0.4">
      <c r="A42" s="547" t="s">
        <v>36</v>
      </c>
      <c r="B42" s="742">
        <f>B40+B41</f>
        <v>16.400000000000045</v>
      </c>
      <c r="C42" s="705">
        <f t="shared" ref="C42:M42" si="61">C40+C41</f>
        <v>-23.719999999999992</v>
      </c>
      <c r="D42" s="705">
        <f>D40+D41</f>
        <v>-28.970000000000006</v>
      </c>
      <c r="E42" s="450">
        <f>E40+E41</f>
        <v>18.800000000000004</v>
      </c>
      <c r="F42" s="724">
        <f>F40+F41</f>
        <v>17.219999999999988</v>
      </c>
      <c r="G42" s="653">
        <f>G40+G41</f>
        <v>4.8799999999999866</v>
      </c>
      <c r="H42" s="731">
        <f t="shared" si="61"/>
        <v>22.089999999999975</v>
      </c>
      <c r="I42" s="450">
        <f>I40+I41</f>
        <v>74</v>
      </c>
      <c r="J42" s="738">
        <f>J40+J41</f>
        <v>62.289999999999971</v>
      </c>
      <c r="K42" s="449">
        <f t="shared" si="61"/>
        <v>27.929999999999957</v>
      </c>
      <c r="L42" s="616">
        <f t="shared" si="61"/>
        <v>70.44999999999996</v>
      </c>
      <c r="M42" s="451">
        <f t="shared" si="61"/>
        <v>79.402299999999997</v>
      </c>
      <c r="N42" s="449">
        <f>N40+N41</f>
        <v>89.002554999999944</v>
      </c>
      <c r="O42" s="449">
        <f t="shared" ref="O42:Q42" si="62">O40+O41</f>
        <v>99.295183149999986</v>
      </c>
      <c r="P42" s="653">
        <f t="shared" si="62"/>
        <v>110.32754473150001</v>
      </c>
      <c r="Q42" s="451">
        <f t="shared" si="62"/>
        <v>122.15013253751491</v>
      </c>
      <c r="R42" s="452">
        <f>SUM(B42:E42)</f>
        <v>-17.489999999999945</v>
      </c>
      <c r="S42" s="453">
        <f>SUM(F42:I42)</f>
        <v>118.18999999999994</v>
      </c>
      <c r="T42" s="481">
        <f>SUM(J42:M42)</f>
        <v>240.0722999999999</v>
      </c>
      <c r="U42" s="452">
        <f>SUM(N42:Q42)</f>
        <v>420.77541541901485</v>
      </c>
      <c r="V42" s="451">
        <f>V37-V38</f>
        <v>3123.4580143392986</v>
      </c>
      <c r="W42" s="505"/>
    </row>
    <row r="43" spans="1:23" ht="15.75" customHeight="1" thickBot="1" x14ac:dyDescent="0.45">
      <c r="A43" s="548" t="s">
        <v>37</v>
      </c>
      <c r="B43" s="742">
        <f t="shared" ref="B43:L43" si="63">B42</f>
        <v>16.400000000000045</v>
      </c>
      <c r="C43" s="744">
        <f t="shared" si="63"/>
        <v>-23.719999999999992</v>
      </c>
      <c r="D43" s="744">
        <f t="shared" si="63"/>
        <v>-28.970000000000006</v>
      </c>
      <c r="E43" s="320">
        <f t="shared" si="63"/>
        <v>18.800000000000004</v>
      </c>
      <c r="F43" s="739">
        <f t="shared" si="63"/>
        <v>17.219999999999988</v>
      </c>
      <c r="G43" s="115">
        <f t="shared" si="63"/>
        <v>4.8799999999999866</v>
      </c>
      <c r="H43" s="732">
        <f t="shared" si="63"/>
        <v>22.089999999999975</v>
      </c>
      <c r="I43" s="320">
        <f t="shared" si="63"/>
        <v>74</v>
      </c>
      <c r="J43" s="739">
        <f t="shared" si="63"/>
        <v>62.289999999999971</v>
      </c>
      <c r="K43" s="115">
        <f t="shared" si="63"/>
        <v>27.929999999999957</v>
      </c>
      <c r="L43" s="617">
        <f t="shared" si="63"/>
        <v>70.44999999999996</v>
      </c>
      <c r="M43" s="115">
        <f>M42</f>
        <v>79.402299999999997</v>
      </c>
      <c r="N43" s="465">
        <f>N42</f>
        <v>89.002554999999944</v>
      </c>
      <c r="O43" s="115">
        <f>O42</f>
        <v>99.295183149999986</v>
      </c>
      <c r="P43" s="115">
        <f>P42</f>
        <v>110.32754473150001</v>
      </c>
      <c r="Q43" s="115">
        <f>Q42</f>
        <v>122.15013253751491</v>
      </c>
      <c r="R43" s="447">
        <f>SUM(B43:E43)</f>
        <v>-17.489999999999945</v>
      </c>
      <c r="S43" s="309">
        <f>SUM(F43:I43)</f>
        <v>118.18999999999994</v>
      </c>
      <c r="T43" s="482">
        <f>SUM(J43:M43)</f>
        <v>240.0722999999999</v>
      </c>
      <c r="U43" s="485">
        <f>SUM(N43:Q43)</f>
        <v>420.77541541901485</v>
      </c>
      <c r="V43" s="281">
        <f>V42-AVERAGE((U42-U43),(T42-T43),(S42-S43))</f>
        <v>3123.4580143392986</v>
      </c>
      <c r="W43" s="505"/>
    </row>
    <row r="44" spans="1:23" x14ac:dyDescent="0.4">
      <c r="A44" s="549" t="s">
        <v>14</v>
      </c>
      <c r="B44" s="591"/>
      <c r="C44" s="596"/>
      <c r="D44" s="596"/>
      <c r="E44" s="317"/>
      <c r="F44" s="571"/>
      <c r="G44" s="116"/>
      <c r="H44" s="733"/>
      <c r="I44" s="464"/>
      <c r="J44" s="590"/>
      <c r="K44" s="457"/>
      <c r="L44" s="609"/>
      <c r="M44" s="446"/>
      <c r="N44" s="448"/>
      <c r="O44" s="448"/>
      <c r="P44" s="448"/>
      <c r="Q44" s="446"/>
      <c r="R44" s="397"/>
      <c r="S44" s="308"/>
      <c r="T44" s="483"/>
      <c r="U44" s="486"/>
      <c r="V44" s="446">
        <v>212</v>
      </c>
      <c r="W44" s="505"/>
    </row>
    <row r="45" spans="1:23" ht="18" thickBot="1" x14ac:dyDescent="0.45">
      <c r="A45" s="550" t="s">
        <v>39</v>
      </c>
      <c r="B45" s="743">
        <f t="shared" ref="B45:V45" si="64">B43/B6</f>
        <v>1.5769230769230813E-2</v>
      </c>
      <c r="C45" s="745">
        <f t="shared" si="64"/>
        <v>-4.5009487666034138E-2</v>
      </c>
      <c r="D45" s="745">
        <f t="shared" si="64"/>
        <v>-6.257019438444926E-2</v>
      </c>
      <c r="E45" s="321">
        <f t="shared" si="64"/>
        <v>4.5965770171149153E-2</v>
      </c>
      <c r="F45" s="740">
        <f t="shared" si="64"/>
        <v>3.9861111111111083E-2</v>
      </c>
      <c r="G45" s="117">
        <f t="shared" si="64"/>
        <v>1.1990171990171957E-2</v>
      </c>
      <c r="H45" s="734">
        <f t="shared" si="64"/>
        <v>4.8021739130434726E-2</v>
      </c>
      <c r="I45" s="117">
        <f t="shared" si="64"/>
        <v>9.9596231493943477E-2</v>
      </c>
      <c r="J45" s="740">
        <f t="shared" si="64"/>
        <v>7.8648989898989857E-2</v>
      </c>
      <c r="K45" s="117">
        <f t="shared" si="64"/>
        <v>3.2439024390243855E-2</v>
      </c>
      <c r="L45" s="618">
        <f t="shared" si="64"/>
        <v>7.7656525573192192E-2</v>
      </c>
      <c r="M45" s="283">
        <f t="shared" si="64"/>
        <v>8.3065574919526E-2</v>
      </c>
      <c r="N45" s="282">
        <f t="shared" si="64"/>
        <v>8.8363396924658763E-2</v>
      </c>
      <c r="O45" s="282">
        <f t="shared" si="64"/>
        <v>9.3555845012161035E-2</v>
      </c>
      <c r="P45" s="282">
        <f t="shared" si="64"/>
        <v>9.8648473960245356E-2</v>
      </c>
      <c r="Q45" s="283">
        <f t="shared" si="64"/>
        <v>0.10364655465463865</v>
      </c>
      <c r="R45" s="275">
        <f t="shared" si="64"/>
        <v>-7.170971709717075E-3</v>
      </c>
      <c r="S45" s="301">
        <f t="shared" si="64"/>
        <v>5.7879529872673821E-2</v>
      </c>
      <c r="T45" s="484">
        <f t="shared" si="64"/>
        <v>6.8278026301307179E-2</v>
      </c>
      <c r="U45" s="487">
        <f t="shared" si="64"/>
        <v>9.6386612111129116E-2</v>
      </c>
      <c r="V45" s="283">
        <f t="shared" si="64"/>
        <v>0.54887271888919575</v>
      </c>
      <c r="W45" s="505"/>
    </row>
    <row r="46" spans="1:23" ht="18" thickTop="1" x14ac:dyDescent="0.4">
      <c r="R46" s="4"/>
      <c r="V46" s="4"/>
      <c r="W46" s="4"/>
    </row>
    <row r="47" spans="1:23" x14ac:dyDescent="0.4">
      <c r="M47" s="4"/>
    </row>
    <row r="49" spans="1:23" x14ac:dyDescent="0.4">
      <c r="A49" s="357" t="s">
        <v>89</v>
      </c>
      <c r="B49" s="356" t="s">
        <v>190</v>
      </c>
      <c r="C49" s="356"/>
      <c r="D49" s="356"/>
      <c r="E49" s="356"/>
      <c r="F49" s="356"/>
      <c r="G49" s="356"/>
      <c r="H49" s="356"/>
      <c r="I49" s="356"/>
      <c r="J49" s="356"/>
      <c r="K49" s="356"/>
    </row>
    <row r="51" spans="1:23" x14ac:dyDescent="0.4">
      <c r="V51" t="s">
        <v>10</v>
      </c>
    </row>
    <row r="52" spans="1:23" x14ac:dyDescent="0.4">
      <c r="Q52" s="2"/>
      <c r="V52" t="s">
        <v>15</v>
      </c>
    </row>
    <row r="53" spans="1:23" x14ac:dyDescent="0.4">
      <c r="A53" s="357" t="s">
        <v>89</v>
      </c>
      <c r="B53" s="356" t="s">
        <v>191</v>
      </c>
      <c r="C53" s="356"/>
      <c r="D53" s="356"/>
      <c r="E53" s="356"/>
      <c r="F53" s="356"/>
      <c r="G53" s="356"/>
      <c r="H53" s="356"/>
      <c r="I53" s="356"/>
      <c r="J53" s="356"/>
      <c r="K53" s="356"/>
      <c r="Q53" s="2"/>
      <c r="V53" t="s">
        <v>17</v>
      </c>
    </row>
    <row r="54" spans="1:23" x14ac:dyDescent="0.4">
      <c r="A54" s="176"/>
      <c r="B54" s="2" t="s">
        <v>192</v>
      </c>
      <c r="C54" s="2"/>
      <c r="D54" s="2"/>
      <c r="E54" s="2"/>
      <c r="F54" s="2"/>
      <c r="G54" s="2"/>
      <c r="H54" s="2"/>
      <c r="I54" s="2"/>
      <c r="Q54" s="2"/>
      <c r="V54" t="s">
        <v>171</v>
      </c>
    </row>
    <row r="55" spans="1:23" x14ac:dyDescent="0.4">
      <c r="B55" t="s">
        <v>199</v>
      </c>
      <c r="Q55" s="2"/>
      <c r="V55" t="s">
        <v>20</v>
      </c>
      <c r="W55" s="454"/>
    </row>
    <row r="56" spans="1:23" x14ac:dyDescent="0.4">
      <c r="Q56" s="2"/>
      <c r="V56" t="s">
        <v>21</v>
      </c>
    </row>
    <row r="57" spans="1:23" x14ac:dyDescent="0.4">
      <c r="A57" s="357" t="s">
        <v>89</v>
      </c>
      <c r="B57" s="356" t="s">
        <v>193</v>
      </c>
      <c r="C57" s="356"/>
      <c r="D57" s="356"/>
      <c r="E57" s="356"/>
      <c r="F57" s="356"/>
      <c r="G57" s="356"/>
      <c r="H57" s="356"/>
      <c r="I57" s="356"/>
      <c r="J57" s="356"/>
      <c r="K57" s="356"/>
    </row>
    <row r="58" spans="1:23" x14ac:dyDescent="0.4">
      <c r="B58" t="s">
        <v>194</v>
      </c>
    </row>
    <row r="59" spans="1:23" x14ac:dyDescent="0.4">
      <c r="B59" t="s">
        <v>198</v>
      </c>
    </row>
    <row r="61" spans="1:23" x14ac:dyDescent="0.4">
      <c r="A61" s="391" t="s">
        <v>170</v>
      </c>
      <c r="B61" s="392" t="s">
        <v>195</v>
      </c>
      <c r="C61" s="392"/>
      <c r="D61" s="392"/>
      <c r="E61" s="392"/>
      <c r="F61" s="392"/>
      <c r="G61" s="392"/>
      <c r="H61" s="392"/>
      <c r="I61" s="392"/>
      <c r="J61" s="2"/>
      <c r="K61" s="2"/>
      <c r="L61" s="2"/>
      <c r="M61" s="2"/>
    </row>
    <row r="62" spans="1:23" x14ac:dyDescent="0.4">
      <c r="B62" t="s">
        <v>196</v>
      </c>
      <c r="S62" s="2"/>
    </row>
    <row r="63" spans="1:23" x14ac:dyDescent="0.4">
      <c r="B63" t="s">
        <v>197</v>
      </c>
      <c r="S63" s="2"/>
    </row>
    <row r="64" spans="1:23" x14ac:dyDescent="0.4">
      <c r="R64" s="2"/>
    </row>
    <row r="65" spans="1:24" x14ac:dyDescent="0.4">
      <c r="J65" s="2"/>
    </row>
    <row r="66" spans="1:24" x14ac:dyDescent="0.4">
      <c r="A66" s="391" t="s">
        <v>170</v>
      </c>
      <c r="B66" s="392"/>
      <c r="C66" s="392"/>
      <c r="D66" s="392"/>
      <c r="E66" s="392"/>
      <c r="F66" s="392"/>
      <c r="G66" s="392"/>
      <c r="H66" s="392"/>
      <c r="I66" s="392"/>
      <c r="J66" s="2"/>
    </row>
    <row r="67" spans="1:24" x14ac:dyDescent="0.4">
      <c r="X67" s="2"/>
    </row>
    <row r="68" spans="1:24" x14ac:dyDescent="0.4">
      <c r="X68" s="2"/>
    </row>
    <row r="69" spans="1:24" x14ac:dyDescent="0.4">
      <c r="J69" s="2"/>
    </row>
    <row r="70" spans="1:24" x14ac:dyDescent="0.4">
      <c r="A70" s="2"/>
    </row>
    <row r="71" spans="1:24" x14ac:dyDescent="0.4">
      <c r="J71" s="2"/>
    </row>
    <row r="72" spans="1:24" x14ac:dyDescent="0.4">
      <c r="J72" s="2"/>
    </row>
    <row r="73" spans="1:24" x14ac:dyDescent="0.4">
      <c r="J73" s="2"/>
    </row>
    <row r="74" spans="1:24" x14ac:dyDescent="0.4">
      <c r="J74" s="2"/>
    </row>
    <row r="75" spans="1:24" x14ac:dyDescent="0.4">
      <c r="J75" s="2"/>
    </row>
    <row r="76" spans="1:24" x14ac:dyDescent="0.4">
      <c r="J76" s="2"/>
    </row>
    <row r="77" spans="1:24" x14ac:dyDescent="0.4">
      <c r="J77" s="2"/>
    </row>
    <row r="78" spans="1:24" x14ac:dyDescent="0.4">
      <c r="J78" s="2"/>
      <c r="O78" s="62"/>
    </row>
    <row r="79" spans="1:24" x14ac:dyDescent="0.4">
      <c r="X79" s="2"/>
    </row>
    <row r="80" spans="1:24" x14ac:dyDescent="0.4">
      <c r="X80" s="2"/>
    </row>
    <row r="81" spans="24:24" x14ac:dyDescent="0.4">
      <c r="X81" s="2"/>
    </row>
  </sheetData>
  <mergeCells count="3">
    <mergeCell ref="R2:S2"/>
    <mergeCell ref="R3:S3"/>
    <mergeCell ref="R4:S4"/>
  </mergeCells>
  <phoneticPr fontId="19" type="noConversion"/>
  <pageMargins left="0.7" right="0.7" top="0.75" bottom="0.75" header="0.3" footer="0.3"/>
  <pageSetup paperSize="9" scale="1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B37E-9EDE-4561-9C79-8DA6A5752391}">
  <sheetPr>
    <tabColor rgb="FFFFFF00"/>
  </sheetPr>
  <dimension ref="A1:Z31"/>
  <sheetViews>
    <sheetView zoomScale="80" zoomScaleNormal="80" workbookViewId="0">
      <selection activeCell="L28" sqref="A28:L28"/>
    </sheetView>
  </sheetViews>
  <sheetFormatPr defaultRowHeight="17.399999999999999" x14ac:dyDescent="0.4"/>
  <cols>
    <col min="1" max="1" width="16.5" bestFit="1" customWidth="1"/>
    <col min="2" max="2" width="14" bestFit="1" customWidth="1"/>
    <col min="3" max="3" width="14.59765625" bestFit="1" customWidth="1"/>
    <col min="4" max="4" width="12.19921875" bestFit="1" customWidth="1"/>
    <col min="6" max="6" width="8.8984375" customWidth="1"/>
    <col min="7" max="7" width="8.5" customWidth="1"/>
    <col min="19" max="19" width="16.19921875" bestFit="1" customWidth="1"/>
    <col min="20" max="20" width="17.09765625" bestFit="1" customWidth="1"/>
    <col min="21" max="21" width="17.59765625" bestFit="1" customWidth="1"/>
    <col min="22" max="22" width="21.5" bestFit="1" customWidth="1"/>
    <col min="23" max="23" width="19" bestFit="1" customWidth="1"/>
    <col min="24" max="24" width="18.09765625" bestFit="1" customWidth="1"/>
    <col min="25" max="25" width="16.19921875" bestFit="1" customWidth="1"/>
  </cols>
  <sheetData>
    <row r="1" spans="1:26" s="62" customFormat="1" ht="18" thickBot="1" x14ac:dyDescent="0.45">
      <c r="A1" s="66" t="s">
        <v>1</v>
      </c>
      <c r="B1" s="66" t="s">
        <v>83</v>
      </c>
      <c r="C1" s="329" t="s">
        <v>71</v>
      </c>
      <c r="D1" s="66" t="s">
        <v>72</v>
      </c>
      <c r="E1" s="66" t="s">
        <v>73</v>
      </c>
      <c r="F1" s="330" t="s">
        <v>74</v>
      </c>
      <c r="G1" s="329" t="s">
        <v>75</v>
      </c>
      <c r="H1" s="66" t="s">
        <v>76</v>
      </c>
      <c r="I1" s="66" t="s">
        <v>77</v>
      </c>
      <c r="J1" s="330" t="s">
        <v>78</v>
      </c>
      <c r="K1" s="329" t="s">
        <v>79</v>
      </c>
      <c r="L1" s="66" t="s">
        <v>80</v>
      </c>
      <c r="M1" s="66" t="s">
        <v>81</v>
      </c>
      <c r="N1" s="330" t="s">
        <v>82</v>
      </c>
      <c r="O1" s="66" t="s">
        <v>128</v>
      </c>
      <c r="P1" s="66" t="s">
        <v>129</v>
      </c>
      <c r="Q1" s="66" t="s">
        <v>130</v>
      </c>
      <c r="R1" s="330" t="s">
        <v>131</v>
      </c>
    </row>
    <row r="2" spans="1:26" ht="18.600000000000001" thickTop="1" thickBot="1" x14ac:dyDescent="0.45">
      <c r="A2" s="331" t="s">
        <v>132</v>
      </c>
      <c r="B2" s="203">
        <v>4747</v>
      </c>
      <c r="C2" s="332">
        <v>800</v>
      </c>
      <c r="D2" s="333">
        <v>800</v>
      </c>
      <c r="E2" s="334">
        <v>800</v>
      </c>
      <c r="F2" s="335">
        <v>800</v>
      </c>
      <c r="G2" s="336">
        <v>800</v>
      </c>
      <c r="H2" s="333">
        <f>B2-C2-D2-E2-F2-G2</f>
        <v>747</v>
      </c>
      <c r="I2" s="68"/>
      <c r="J2" s="69"/>
      <c r="K2" s="67"/>
      <c r="L2" s="68"/>
      <c r="M2" s="68"/>
      <c r="N2" s="69"/>
      <c r="O2" s="65"/>
      <c r="P2" s="65"/>
      <c r="Q2" s="65"/>
      <c r="R2" s="337"/>
      <c r="T2" s="356" t="s">
        <v>153</v>
      </c>
      <c r="U2" s="356" t="s">
        <v>154</v>
      </c>
      <c r="V2" s="356" t="s">
        <v>155</v>
      </c>
      <c r="W2" s="356" t="s">
        <v>165</v>
      </c>
      <c r="X2" s="356" t="s">
        <v>156</v>
      </c>
      <c r="Y2" s="356" t="s">
        <v>157</v>
      </c>
    </row>
    <row r="3" spans="1:26" x14ac:dyDescent="0.4">
      <c r="A3" s="338" t="s">
        <v>135</v>
      </c>
      <c r="B3" s="179">
        <f>V26</f>
        <v>4239</v>
      </c>
      <c r="C3" s="71"/>
      <c r="D3" s="72"/>
      <c r="E3" s="339"/>
      <c r="F3" s="340"/>
      <c r="G3" s="389">
        <f>800-G2</f>
        <v>0</v>
      </c>
      <c r="H3" s="344">
        <f>800-H2</f>
        <v>53</v>
      </c>
      <c r="I3" s="341">
        <v>800</v>
      </c>
      <c r="J3" s="342">
        <v>800</v>
      </c>
      <c r="K3" s="343">
        <v>800</v>
      </c>
      <c r="L3" s="344">
        <v>800</v>
      </c>
      <c r="M3" s="344">
        <v>800</v>
      </c>
      <c r="N3" s="347">
        <f>B3-M3-L3-K3-J3-I3-H3</f>
        <v>186</v>
      </c>
      <c r="O3" s="63"/>
      <c r="P3" s="63"/>
      <c r="Q3" s="63"/>
      <c r="R3" s="64"/>
      <c r="S3" s="515">
        <v>2020</v>
      </c>
      <c r="T3" s="514" t="s">
        <v>158</v>
      </c>
      <c r="U3" s="514">
        <v>16</v>
      </c>
      <c r="V3" s="182" t="s">
        <v>140</v>
      </c>
      <c r="W3" s="119">
        <v>8</v>
      </c>
      <c r="X3" s="119" t="s">
        <v>159</v>
      </c>
      <c r="Y3" s="120">
        <v>2020</v>
      </c>
    </row>
    <row r="4" spans="1:26" x14ac:dyDescent="0.4">
      <c r="A4" s="338" t="s">
        <v>136</v>
      </c>
      <c r="B4" s="179">
        <f>V31</f>
        <v>3454</v>
      </c>
      <c r="C4" s="345"/>
      <c r="D4" s="72"/>
      <c r="E4" s="72"/>
      <c r="F4" s="70"/>
      <c r="G4" s="71"/>
      <c r="H4" s="72"/>
      <c r="I4" s="339"/>
      <c r="J4" s="346"/>
      <c r="K4" s="71"/>
      <c r="L4" s="390"/>
      <c r="M4" s="178"/>
      <c r="N4" s="347">
        <f>800-N3</f>
        <v>614</v>
      </c>
      <c r="O4" s="341">
        <v>800</v>
      </c>
      <c r="P4" s="341">
        <v>800</v>
      </c>
      <c r="Q4" s="341">
        <v>800</v>
      </c>
      <c r="R4" s="347">
        <f>B4-N4-O4-P4-Q4</f>
        <v>440</v>
      </c>
      <c r="S4" s="515"/>
      <c r="T4" s="514"/>
      <c r="U4" s="514"/>
      <c r="V4" s="121" t="s">
        <v>142</v>
      </c>
      <c r="W4">
        <v>8</v>
      </c>
      <c r="X4" t="s">
        <v>159</v>
      </c>
      <c r="Y4" s="125">
        <v>2020</v>
      </c>
    </row>
    <row r="5" spans="1:26" ht="18" thickBot="1" x14ac:dyDescent="0.45">
      <c r="A5" s="366"/>
      <c r="B5" s="367"/>
      <c r="C5" s="71"/>
      <c r="D5" s="339"/>
      <c r="E5" s="72"/>
      <c r="F5" s="70"/>
      <c r="G5" s="71"/>
      <c r="H5" s="72"/>
      <c r="I5" s="72"/>
      <c r="J5" s="70"/>
      <c r="K5" s="71"/>
      <c r="L5" s="72"/>
      <c r="M5" s="72"/>
      <c r="N5" s="340"/>
      <c r="O5" s="63"/>
      <c r="P5" s="63"/>
      <c r="Q5" s="63"/>
      <c r="R5" s="64"/>
      <c r="S5" s="515"/>
      <c r="T5" s="350" t="s">
        <v>160</v>
      </c>
      <c r="U5" s="350">
        <v>8</v>
      </c>
      <c r="V5" s="358" t="s">
        <v>142</v>
      </c>
      <c r="W5" s="15">
        <v>8</v>
      </c>
      <c r="X5" s="15" t="s">
        <v>159</v>
      </c>
      <c r="Y5" s="359">
        <v>2020</v>
      </c>
    </row>
    <row r="6" spans="1:26" x14ac:dyDescent="0.4">
      <c r="A6" s="366"/>
      <c r="B6" s="367"/>
      <c r="C6" s="71"/>
      <c r="D6" s="72"/>
      <c r="E6" s="72"/>
      <c r="F6" s="70"/>
      <c r="G6" s="71"/>
      <c r="H6" s="348"/>
      <c r="I6" s="72"/>
      <c r="J6" s="340"/>
      <c r="K6" s="187"/>
      <c r="L6" s="72"/>
      <c r="M6" s="72"/>
      <c r="N6" s="340"/>
      <c r="O6" s="63"/>
      <c r="P6" s="63"/>
      <c r="Q6" s="63"/>
      <c r="R6" s="64"/>
      <c r="S6" s="515"/>
      <c r="T6" s="350"/>
      <c r="U6" s="350"/>
      <c r="V6" s="368" t="s">
        <v>167</v>
      </c>
      <c r="W6" s="368">
        <v>24</v>
      </c>
    </row>
    <row r="7" spans="1:26" x14ac:dyDescent="0.4">
      <c r="A7" s="3"/>
      <c r="B7" s="174"/>
      <c r="C7" s="364"/>
      <c r="D7" s="364"/>
      <c r="E7" s="364"/>
      <c r="F7" s="364"/>
      <c r="G7" s="364"/>
      <c r="H7" s="365"/>
      <c r="I7" s="364"/>
      <c r="J7" s="365"/>
      <c r="K7" s="364"/>
      <c r="L7" s="364"/>
      <c r="M7" s="364"/>
      <c r="N7" s="365"/>
      <c r="O7" s="4"/>
      <c r="P7" s="4"/>
      <c r="Q7" s="4"/>
      <c r="R7" s="4"/>
      <c r="S7" s="311"/>
      <c r="T7" s="350"/>
      <c r="U7" s="350"/>
      <c r="W7" s="3"/>
    </row>
    <row r="8" spans="1:26" ht="18" thickBot="1" x14ac:dyDescent="0.45">
      <c r="C8" s="350"/>
      <c r="D8" s="350"/>
      <c r="E8" s="350"/>
      <c r="F8" s="350"/>
      <c r="G8" s="349"/>
      <c r="H8" s="349"/>
      <c r="I8" s="349"/>
      <c r="J8" s="349"/>
      <c r="K8" s="349"/>
      <c r="L8" s="349"/>
      <c r="M8" s="349"/>
      <c r="N8" s="349"/>
      <c r="S8" s="516">
        <v>2021</v>
      </c>
      <c r="T8" s="514" t="s">
        <v>145</v>
      </c>
      <c r="U8" s="514">
        <v>56</v>
      </c>
      <c r="V8" t="s">
        <v>161</v>
      </c>
      <c r="W8">
        <v>16</v>
      </c>
      <c r="X8" t="s">
        <v>162</v>
      </c>
      <c r="Y8">
        <v>2021</v>
      </c>
    </row>
    <row r="9" spans="1:26" x14ac:dyDescent="0.4">
      <c r="C9" s="350"/>
      <c r="D9" s="350"/>
      <c r="E9" s="350"/>
      <c r="F9" s="350"/>
      <c r="G9" s="349"/>
      <c r="H9" s="349"/>
      <c r="I9" s="349"/>
      <c r="J9" s="349"/>
      <c r="K9" s="349"/>
      <c r="L9" s="349"/>
      <c r="M9" s="349"/>
      <c r="N9" s="349"/>
      <c r="S9" s="516"/>
      <c r="T9" s="514"/>
      <c r="U9" s="514"/>
      <c r="V9" s="182" t="s">
        <v>142</v>
      </c>
      <c r="W9" s="119">
        <v>13</v>
      </c>
      <c r="X9" s="119" t="s">
        <v>163</v>
      </c>
      <c r="Y9" s="120">
        <v>2021</v>
      </c>
    </row>
    <row r="10" spans="1:26" ht="18" thickBot="1" x14ac:dyDescent="0.45">
      <c r="C10" s="350"/>
      <c r="D10" s="350"/>
      <c r="E10" s="350"/>
      <c r="F10" s="350"/>
      <c r="G10" s="349"/>
      <c r="I10" s="349"/>
      <c r="J10" s="349"/>
      <c r="K10" s="349"/>
      <c r="L10" s="349"/>
      <c r="M10" s="349"/>
      <c r="N10" s="349"/>
      <c r="S10" s="516"/>
      <c r="T10" s="514"/>
      <c r="U10" s="514"/>
      <c r="V10" s="358" t="s">
        <v>140</v>
      </c>
      <c r="W10" s="15">
        <v>13</v>
      </c>
      <c r="X10" s="15" t="s">
        <v>163</v>
      </c>
      <c r="Y10" s="359">
        <v>2021</v>
      </c>
    </row>
    <row r="11" spans="1:26" ht="18" thickBot="1" x14ac:dyDescent="0.45">
      <c r="C11" s="350"/>
      <c r="D11" s="350"/>
      <c r="E11" s="350"/>
      <c r="F11" s="350"/>
      <c r="G11" s="349"/>
      <c r="H11" s="349"/>
      <c r="I11" s="349"/>
      <c r="J11" s="349"/>
      <c r="K11" s="349"/>
      <c r="L11" s="349"/>
      <c r="M11" s="349"/>
      <c r="N11" s="349"/>
      <c r="S11" s="516"/>
      <c r="T11" s="514"/>
      <c r="U11" s="514"/>
      <c r="V11" t="s">
        <v>164</v>
      </c>
      <c r="W11">
        <v>13</v>
      </c>
      <c r="X11" t="s">
        <v>163</v>
      </c>
      <c r="Y11">
        <v>2021</v>
      </c>
    </row>
    <row r="12" spans="1:26" x14ac:dyDescent="0.4">
      <c r="G12" s="351"/>
      <c r="H12" s="351"/>
      <c r="I12" s="351"/>
      <c r="J12" s="351"/>
      <c r="K12" s="351"/>
      <c r="L12" s="351"/>
      <c r="M12" s="351"/>
      <c r="N12" s="351"/>
      <c r="S12" s="516"/>
      <c r="T12" s="514" t="s">
        <v>148</v>
      </c>
      <c r="U12" s="514">
        <v>20</v>
      </c>
      <c r="V12" s="182" t="s">
        <v>142</v>
      </c>
      <c r="W12" s="119">
        <v>6</v>
      </c>
      <c r="X12" s="119"/>
      <c r="Y12" s="120">
        <v>2021</v>
      </c>
      <c r="Z12" s="363" t="s">
        <v>166</v>
      </c>
    </row>
    <row r="13" spans="1:26" ht="18" thickBot="1" x14ac:dyDescent="0.45">
      <c r="S13" s="516"/>
      <c r="T13" s="514"/>
      <c r="U13" s="514"/>
      <c r="V13" s="358" t="s">
        <v>140</v>
      </c>
      <c r="W13" s="15">
        <v>6</v>
      </c>
      <c r="X13" s="15"/>
      <c r="Y13" s="359">
        <v>2021</v>
      </c>
      <c r="Z13" s="363"/>
    </row>
    <row r="14" spans="1:26" ht="18" thickBot="1" x14ac:dyDescent="0.45">
      <c r="C14" s="287"/>
      <c r="D14" s="352"/>
      <c r="E14" s="287"/>
      <c r="F14" s="287"/>
      <c r="G14" s="287"/>
      <c r="H14" s="287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516"/>
      <c r="T14" s="514"/>
      <c r="U14" s="514"/>
      <c r="V14" t="s">
        <v>164</v>
      </c>
      <c r="W14">
        <v>8</v>
      </c>
      <c r="Z14" s="363"/>
    </row>
    <row r="15" spans="1:26" ht="18.600000000000001" thickTop="1" thickBot="1" x14ac:dyDescent="0.45">
      <c r="C15" s="517">
        <v>2020</v>
      </c>
      <c r="D15" s="518"/>
      <c r="E15" s="518"/>
      <c r="F15" s="519"/>
      <c r="G15" s="518">
        <v>2021</v>
      </c>
      <c r="H15" s="518"/>
      <c r="I15" s="518"/>
      <c r="J15" s="518"/>
      <c r="K15" s="517">
        <v>2022</v>
      </c>
      <c r="L15" s="518"/>
      <c r="M15" s="518"/>
      <c r="N15" s="519"/>
      <c r="O15" s="520">
        <v>2023</v>
      </c>
      <c r="P15" s="521"/>
      <c r="Q15" s="521"/>
      <c r="R15" s="522"/>
      <c r="S15" s="516"/>
      <c r="T15" s="350" t="s">
        <v>150</v>
      </c>
      <c r="U15" s="350">
        <v>20</v>
      </c>
      <c r="V15" s="360" t="s">
        <v>140</v>
      </c>
      <c r="W15" s="361">
        <v>6</v>
      </c>
      <c r="X15" s="361"/>
      <c r="Y15" s="362">
        <v>2021</v>
      </c>
    </row>
    <row r="16" spans="1:26" x14ac:dyDescent="0.4">
      <c r="A16" s="512" t="s">
        <v>84</v>
      </c>
      <c r="B16" s="513"/>
      <c r="C16" s="13">
        <f t="shared" ref="C16:R16" si="0">SUM(C2:C6)</f>
        <v>800</v>
      </c>
      <c r="D16" s="13">
        <f t="shared" si="0"/>
        <v>800</v>
      </c>
      <c r="E16" s="13">
        <f t="shared" si="0"/>
        <v>800</v>
      </c>
      <c r="F16" s="186">
        <f t="shared" si="0"/>
        <v>800</v>
      </c>
      <c r="G16" s="13">
        <f t="shared" si="0"/>
        <v>800</v>
      </c>
      <c r="H16" s="13">
        <f t="shared" si="0"/>
        <v>800</v>
      </c>
      <c r="I16" s="13">
        <f t="shared" si="0"/>
        <v>800</v>
      </c>
      <c r="J16" s="13">
        <f t="shared" si="0"/>
        <v>800</v>
      </c>
      <c r="K16" s="353">
        <f t="shared" si="0"/>
        <v>800</v>
      </c>
      <c r="L16" s="354">
        <f t="shared" si="0"/>
        <v>800</v>
      </c>
      <c r="M16" s="354">
        <f t="shared" si="0"/>
        <v>800</v>
      </c>
      <c r="N16" s="186">
        <f t="shared" si="0"/>
        <v>800</v>
      </c>
      <c r="O16" s="13">
        <f t="shared" si="0"/>
        <v>800</v>
      </c>
      <c r="P16" s="354">
        <f t="shared" si="0"/>
        <v>800</v>
      </c>
      <c r="Q16" s="354">
        <f t="shared" si="0"/>
        <v>800</v>
      </c>
      <c r="R16" s="186">
        <f t="shared" si="0"/>
        <v>440</v>
      </c>
      <c r="V16" s="368" t="s">
        <v>167</v>
      </c>
      <c r="W16" s="369">
        <f>SUM(W9,W10,W12,W13,W15)</f>
        <v>44</v>
      </c>
    </row>
    <row r="17" spans="2:24" ht="18" thickBot="1" x14ac:dyDescent="0.45">
      <c r="B17" s="180"/>
      <c r="C17" s="287"/>
      <c r="D17" s="287"/>
      <c r="E17" s="287"/>
      <c r="F17" s="185">
        <f>SUM(C16:F16)</f>
        <v>3200</v>
      </c>
      <c r="G17" s="287"/>
      <c r="H17" s="287"/>
      <c r="I17" s="287"/>
      <c r="J17" s="185">
        <f>SUM(G16:J16)</f>
        <v>3200</v>
      </c>
      <c r="K17" s="287"/>
      <c r="L17" s="287"/>
      <c r="M17" s="287"/>
      <c r="N17" s="185">
        <f>SUM(K16:N16)</f>
        <v>3200</v>
      </c>
      <c r="O17" s="355"/>
      <c r="P17" s="287"/>
      <c r="Q17" s="287"/>
      <c r="R17" s="185">
        <f>SUM(O16:R16)</f>
        <v>2840</v>
      </c>
    </row>
    <row r="18" spans="2:24" ht="18" thickTop="1" x14ac:dyDescent="0.4"/>
    <row r="20" spans="2:24" ht="15.75" customHeight="1" x14ac:dyDescent="0.4">
      <c r="U20" t="s">
        <v>133</v>
      </c>
      <c r="V20">
        <v>4747</v>
      </c>
      <c r="X20" t="s">
        <v>134</v>
      </c>
    </row>
    <row r="21" spans="2:24" x14ac:dyDescent="0.4">
      <c r="U21" t="s">
        <v>135</v>
      </c>
    </row>
    <row r="22" spans="2:24" x14ac:dyDescent="0.4">
      <c r="U22" t="s">
        <v>137</v>
      </c>
      <c r="V22">
        <f>15*157</f>
        <v>2355</v>
      </c>
      <c r="W22" t="s">
        <v>138</v>
      </c>
    </row>
    <row r="23" spans="2:24" x14ac:dyDescent="0.4">
      <c r="T23" t="s">
        <v>139</v>
      </c>
      <c r="U23" t="s">
        <v>140</v>
      </c>
      <c r="V23">
        <f>4*157</f>
        <v>628</v>
      </c>
      <c r="W23" t="s">
        <v>141</v>
      </c>
    </row>
    <row r="24" spans="2:24" x14ac:dyDescent="0.4">
      <c r="J24" s="4"/>
      <c r="U24" t="s">
        <v>142</v>
      </c>
      <c r="V24">
        <f>4*157</f>
        <v>628</v>
      </c>
      <c r="W24" t="s">
        <v>141</v>
      </c>
    </row>
    <row r="25" spans="2:24" x14ac:dyDescent="0.4">
      <c r="S25" s="4"/>
      <c r="T25" s="4" t="s">
        <v>143</v>
      </c>
      <c r="U25" t="s">
        <v>142</v>
      </c>
      <c r="V25">
        <f>4*157</f>
        <v>628</v>
      </c>
      <c r="W25" t="s">
        <v>144</v>
      </c>
    </row>
    <row r="26" spans="2:24" x14ac:dyDescent="0.4">
      <c r="S26" s="4"/>
      <c r="T26" s="4"/>
      <c r="V26">
        <f>SUM(V22:V25)</f>
        <v>4239</v>
      </c>
    </row>
    <row r="27" spans="2:24" x14ac:dyDescent="0.4">
      <c r="U27" t="s">
        <v>136</v>
      </c>
    </row>
    <row r="28" spans="2:24" x14ac:dyDescent="0.4">
      <c r="T28" t="s">
        <v>145</v>
      </c>
      <c r="U28" t="s">
        <v>146</v>
      </c>
      <c r="V28">
        <f>13*157</f>
        <v>2041</v>
      </c>
      <c r="W28" t="s">
        <v>147</v>
      </c>
    </row>
    <row r="29" spans="2:24" x14ac:dyDescent="0.4">
      <c r="T29" t="s">
        <v>148</v>
      </c>
      <c r="U29" t="s">
        <v>146</v>
      </c>
      <c r="V29">
        <f>6*157</f>
        <v>942</v>
      </c>
      <c r="W29" t="s">
        <v>149</v>
      </c>
    </row>
    <row r="30" spans="2:24" x14ac:dyDescent="0.4">
      <c r="T30" t="s">
        <v>150</v>
      </c>
      <c r="U30" t="s">
        <v>140</v>
      </c>
      <c r="V30">
        <f>3*157</f>
        <v>471</v>
      </c>
      <c r="W30" t="s">
        <v>151</v>
      </c>
      <c r="X30" t="s">
        <v>152</v>
      </c>
    </row>
    <row r="31" spans="2:24" x14ac:dyDescent="0.4">
      <c r="V31">
        <f>SUM(V28:V30)</f>
        <v>3454</v>
      </c>
    </row>
  </sheetData>
  <mergeCells count="13">
    <mergeCell ref="A16:B16"/>
    <mergeCell ref="U3:U4"/>
    <mergeCell ref="T8:T11"/>
    <mergeCell ref="U8:U11"/>
    <mergeCell ref="T12:T14"/>
    <mergeCell ref="U12:U14"/>
    <mergeCell ref="T3:T4"/>
    <mergeCell ref="S3:S6"/>
    <mergeCell ref="S8:S15"/>
    <mergeCell ref="C15:F15"/>
    <mergeCell ref="G15:J15"/>
    <mergeCell ref="K15:N15"/>
    <mergeCell ref="O15:R15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B400-B5AB-4389-AFE1-161C49BC08AA}">
  <dimension ref="A1:L30"/>
  <sheetViews>
    <sheetView workbookViewId="0">
      <selection activeCell="B16" sqref="B16"/>
    </sheetView>
  </sheetViews>
  <sheetFormatPr defaultRowHeight="17.399999999999999" x14ac:dyDescent="0.4"/>
  <cols>
    <col min="1" max="1" width="11" bestFit="1" customWidth="1"/>
    <col min="2" max="2" width="40.69921875" bestFit="1" customWidth="1"/>
    <col min="3" max="3" width="20" bestFit="1" customWidth="1"/>
    <col min="4" max="5" width="11.09765625" bestFit="1" customWidth="1"/>
    <col min="6" max="6" width="13" bestFit="1" customWidth="1"/>
    <col min="7" max="7" width="15.09765625" bestFit="1" customWidth="1"/>
    <col min="8" max="8" width="24.8984375" bestFit="1" customWidth="1"/>
    <col min="9" max="9" width="38.09765625" bestFit="1" customWidth="1"/>
  </cols>
  <sheetData>
    <row r="1" spans="1:12" ht="18" thickBot="1" x14ac:dyDescent="0.45">
      <c r="A1" s="16" t="s">
        <v>127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46</v>
      </c>
      <c r="G1" s="1" t="s">
        <v>2</v>
      </c>
      <c r="H1" s="313" t="s">
        <v>5</v>
      </c>
      <c r="I1" s="3"/>
      <c r="J1" s="3"/>
      <c r="K1" s="3"/>
    </row>
    <row r="2" spans="1:12" ht="0.75" customHeight="1" x14ac:dyDescent="0.4">
      <c r="A2" s="523">
        <v>2018</v>
      </c>
      <c r="B2" s="119" t="s">
        <v>140</v>
      </c>
      <c r="C2" s="526" t="s">
        <v>168</v>
      </c>
      <c r="D2" s="370">
        <v>43342</v>
      </c>
      <c r="E2" s="370">
        <v>44195</v>
      </c>
      <c r="F2" s="119">
        <v>28</v>
      </c>
      <c r="G2" s="371">
        <v>938</v>
      </c>
      <c r="H2" s="119"/>
      <c r="I2" s="4"/>
    </row>
    <row r="3" spans="1:12" x14ac:dyDescent="0.4">
      <c r="A3" s="524"/>
      <c r="B3" t="s">
        <v>169</v>
      </c>
      <c r="C3" s="514"/>
      <c r="D3" s="372">
        <v>43406</v>
      </c>
      <c r="E3" s="385">
        <v>44057</v>
      </c>
      <c r="F3">
        <v>21</v>
      </c>
      <c r="G3" s="13">
        <v>288.8</v>
      </c>
      <c r="I3" s="311"/>
    </row>
    <row r="4" spans="1:12" x14ac:dyDescent="0.4">
      <c r="A4" s="525"/>
      <c r="B4" s="183" t="s">
        <v>142</v>
      </c>
      <c r="C4" s="514"/>
      <c r="D4" s="373">
        <v>43406</v>
      </c>
      <c r="E4" s="386">
        <v>43980</v>
      </c>
      <c r="F4" s="183">
        <v>18</v>
      </c>
      <c r="G4" s="374">
        <v>477.11</v>
      </c>
      <c r="H4" s="183"/>
      <c r="I4" s="328"/>
    </row>
    <row r="5" spans="1:12" x14ac:dyDescent="0.4">
      <c r="A5" s="527">
        <v>2019</v>
      </c>
      <c r="B5" s="375" t="s">
        <v>142</v>
      </c>
      <c r="C5" s="528" t="s">
        <v>168</v>
      </c>
      <c r="D5" s="376">
        <v>43475</v>
      </c>
      <c r="E5" s="387">
        <v>44063</v>
      </c>
      <c r="F5" s="375">
        <v>20</v>
      </c>
      <c r="G5" s="377">
        <v>421.9</v>
      </c>
      <c r="H5" s="378"/>
      <c r="I5" s="328"/>
    </row>
    <row r="6" spans="1:12" x14ac:dyDescent="0.4">
      <c r="A6" s="524"/>
      <c r="B6" t="s">
        <v>169</v>
      </c>
      <c r="C6" s="514"/>
      <c r="D6" s="379">
        <v>43475</v>
      </c>
      <c r="E6" s="388">
        <v>44127</v>
      </c>
      <c r="F6">
        <v>22</v>
      </c>
      <c r="G6" s="13">
        <v>307.79000000000002</v>
      </c>
      <c r="H6" s="380"/>
      <c r="I6" s="311"/>
    </row>
    <row r="7" spans="1:12" x14ac:dyDescent="0.4">
      <c r="A7" s="524"/>
      <c r="B7" t="s">
        <v>140</v>
      </c>
      <c r="C7" s="514"/>
      <c r="D7" s="379">
        <v>43664</v>
      </c>
      <c r="E7" s="379">
        <v>44561</v>
      </c>
      <c r="F7">
        <v>29</v>
      </c>
      <c r="G7" s="13">
        <v>562.48</v>
      </c>
      <c r="H7" s="380"/>
      <c r="I7" s="311"/>
    </row>
    <row r="8" spans="1:12" x14ac:dyDescent="0.4">
      <c r="A8" s="524"/>
      <c r="B8" t="s">
        <v>169</v>
      </c>
      <c r="C8" s="514"/>
      <c r="D8" s="379">
        <v>43766</v>
      </c>
      <c r="E8" s="379">
        <v>44281</v>
      </c>
      <c r="F8">
        <v>17</v>
      </c>
      <c r="G8" s="13">
        <v>322.89999999999998</v>
      </c>
      <c r="H8" s="380"/>
      <c r="I8" s="311"/>
    </row>
    <row r="9" spans="1:12" x14ac:dyDescent="0.4">
      <c r="A9" s="525"/>
      <c r="B9" s="183" t="s">
        <v>142</v>
      </c>
      <c r="C9" s="529"/>
      <c r="D9" s="381">
        <v>43766</v>
      </c>
      <c r="E9" s="381">
        <v>44385</v>
      </c>
      <c r="F9" s="183">
        <v>21</v>
      </c>
      <c r="G9" s="374">
        <v>382.78</v>
      </c>
      <c r="H9" s="382"/>
      <c r="I9" s="311"/>
    </row>
    <row r="10" spans="1:12" x14ac:dyDescent="0.4">
      <c r="A10" s="177"/>
      <c r="B10" s="328"/>
      <c r="C10" s="328"/>
      <c r="D10" s="311"/>
      <c r="E10" s="311"/>
      <c r="F10" s="181"/>
      <c r="G10" s="174"/>
      <c r="H10" s="184"/>
      <c r="I10" s="311"/>
    </row>
    <row r="11" spans="1:12" x14ac:dyDescent="0.4">
      <c r="A11" s="312"/>
      <c r="B11" s="328"/>
      <c r="C11" s="328"/>
      <c r="D11" s="311"/>
      <c r="E11" s="311"/>
      <c r="F11" s="181"/>
      <c r="G11" s="174"/>
      <c r="H11" s="184"/>
      <c r="I11" s="311"/>
    </row>
    <row r="13" spans="1:12" x14ac:dyDescent="0.4">
      <c r="J13" s="3"/>
      <c r="K13" s="3"/>
      <c r="L13" s="3"/>
    </row>
    <row r="14" spans="1:12" x14ac:dyDescent="0.4">
      <c r="A14" s="3"/>
      <c r="B14" s="3"/>
      <c r="C14" s="3"/>
      <c r="D14" s="3"/>
      <c r="E14" s="3"/>
      <c r="F14" s="3"/>
      <c r="G14" s="3"/>
      <c r="H14" s="3"/>
      <c r="I14" s="3"/>
    </row>
    <row r="15" spans="1:12" x14ac:dyDescent="0.4">
      <c r="A15" s="312"/>
      <c r="B15" s="327"/>
      <c r="C15" s="3"/>
      <c r="D15" s="326"/>
      <c r="E15" s="326"/>
      <c r="F15" s="3"/>
      <c r="G15" s="174"/>
      <c r="H15" s="174"/>
      <c r="I15" s="3"/>
    </row>
    <row r="16" spans="1:12" x14ac:dyDescent="0.4">
      <c r="A16" s="177"/>
      <c r="B16" s="312"/>
      <c r="C16" s="3"/>
      <c r="D16" s="326"/>
      <c r="E16" s="326"/>
      <c r="F16" s="3"/>
      <c r="G16" s="3"/>
      <c r="H16" s="174"/>
      <c r="I16" s="3"/>
    </row>
    <row r="17" spans="1:10" x14ac:dyDescent="0.4">
      <c r="A17" s="177"/>
      <c r="B17" s="312"/>
      <c r="C17" s="3"/>
      <c r="D17" s="326"/>
      <c r="E17" s="326"/>
      <c r="F17" s="3"/>
      <c r="G17" s="174"/>
      <c r="H17" s="174"/>
      <c r="I17" s="3"/>
    </row>
    <row r="18" spans="1:10" x14ac:dyDescent="0.4">
      <c r="A18" s="177"/>
      <c r="B18" s="312"/>
      <c r="C18" s="3"/>
      <c r="D18" s="326"/>
      <c r="E18" s="326"/>
      <c r="F18" s="3"/>
      <c r="G18" s="174"/>
      <c r="H18" s="174"/>
      <c r="I18" s="3"/>
      <c r="J18" s="2"/>
    </row>
    <row r="19" spans="1:10" x14ac:dyDescent="0.4">
      <c r="A19" s="177"/>
      <c r="B19" s="177"/>
      <c r="C19" s="3"/>
      <c r="D19" s="204"/>
      <c r="E19" s="204"/>
      <c r="F19" s="3"/>
      <c r="G19" s="174"/>
      <c r="H19" s="174"/>
      <c r="I19" s="3"/>
      <c r="J19" s="2"/>
    </row>
    <row r="20" spans="1:10" x14ac:dyDescent="0.4">
      <c r="A20" s="177"/>
      <c r="B20" s="177"/>
      <c r="C20" s="3"/>
      <c r="D20" s="204"/>
      <c r="E20" s="204"/>
      <c r="F20" s="3"/>
      <c r="G20" s="174"/>
      <c r="H20" s="174"/>
      <c r="I20" s="3"/>
      <c r="J20" s="2"/>
    </row>
    <row r="21" spans="1:10" x14ac:dyDescent="0.4">
      <c r="A21" s="177"/>
      <c r="B21" s="177"/>
      <c r="C21" s="3"/>
      <c r="D21" s="205"/>
      <c r="E21" s="205"/>
      <c r="F21" s="3"/>
      <c r="G21" s="174"/>
      <c r="H21" s="206"/>
      <c r="I21" s="3"/>
      <c r="J21" s="2"/>
    </row>
    <row r="22" spans="1:10" x14ac:dyDescent="0.4">
      <c r="A22" s="177"/>
      <c r="B22" s="177"/>
      <c r="C22" s="3"/>
      <c r="D22" s="205"/>
      <c r="E22" s="205"/>
      <c r="F22" s="3"/>
      <c r="G22" s="174"/>
      <c r="H22" s="205"/>
      <c r="I22" s="3"/>
      <c r="J22" s="2"/>
    </row>
    <row r="23" spans="1:10" s="2" customFormat="1" x14ac:dyDescent="0.4">
      <c r="A23" s="175"/>
      <c r="D23" s="176"/>
      <c r="G23" s="3"/>
      <c r="H23" s="175"/>
    </row>
    <row r="24" spans="1:10" s="2" customFormat="1" x14ac:dyDescent="0.4">
      <c r="A24" s="175"/>
      <c r="D24" s="175"/>
      <c r="E24" s="175"/>
      <c r="G24" s="3"/>
      <c r="H24" s="3"/>
      <c r="I24" s="383"/>
    </row>
    <row r="25" spans="1:10" s="2" customFormat="1" x14ac:dyDescent="0.4">
      <c r="A25" s="175"/>
      <c r="E25" s="175"/>
      <c r="G25" s="3"/>
      <c r="H25" s="3"/>
      <c r="I25" s="174"/>
    </row>
    <row r="26" spans="1:10" s="2" customFormat="1" x14ac:dyDescent="0.4">
      <c r="G26" s="3"/>
      <c r="H26" s="3"/>
      <c r="I26" s="3"/>
    </row>
    <row r="27" spans="1:10" s="2" customFormat="1" x14ac:dyDescent="0.4">
      <c r="A27" s="175"/>
      <c r="G27" s="3"/>
      <c r="H27" s="384"/>
      <c r="I27" s="174"/>
    </row>
    <row r="28" spans="1:10" s="2" customFormat="1" x14ac:dyDescent="0.4">
      <c r="A28" s="175"/>
      <c r="G28" s="3"/>
      <c r="H28" s="175"/>
    </row>
    <row r="29" spans="1:10" s="2" customFormat="1" x14ac:dyDescent="0.4">
      <c r="A29" s="175"/>
      <c r="G29" s="3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</row>
  </sheetData>
  <mergeCells count="4">
    <mergeCell ref="A2:A4"/>
    <mergeCell ref="C2:C4"/>
    <mergeCell ref="A5:A9"/>
    <mergeCell ref="C5:C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042C-F052-4D2F-849C-2E412F3BC91F}">
  <dimension ref="A43:U94"/>
  <sheetViews>
    <sheetView workbookViewId="0">
      <selection activeCell="B4" sqref="B4"/>
    </sheetView>
  </sheetViews>
  <sheetFormatPr defaultRowHeight="17.399999999999999" x14ac:dyDescent="0.4"/>
  <sheetData>
    <row r="43" spans="1:3" x14ac:dyDescent="0.4">
      <c r="A43" s="12" t="s">
        <v>67</v>
      </c>
      <c r="B43" s="12"/>
      <c r="C43" s="12"/>
    </row>
    <row r="69" spans="2:14" x14ac:dyDescent="0.4">
      <c r="K69" s="12" t="s">
        <v>40</v>
      </c>
      <c r="L69" s="12"/>
      <c r="M69" s="12"/>
      <c r="N69" s="12"/>
    </row>
    <row r="77" spans="2:14" x14ac:dyDescent="0.4">
      <c r="K77" s="12" t="s">
        <v>41</v>
      </c>
      <c r="L77" s="12"/>
      <c r="M77" s="12"/>
      <c r="N77" s="12"/>
    </row>
    <row r="78" spans="2:14" x14ac:dyDescent="0.4">
      <c r="B78" s="2"/>
      <c r="C78" s="2"/>
      <c r="D78" s="2"/>
    </row>
    <row r="87" spans="2:21" x14ac:dyDescent="0.4">
      <c r="B87" s="14"/>
    </row>
    <row r="92" spans="2:21" x14ac:dyDescent="0.4">
      <c r="K92" s="12" t="s">
        <v>42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4" spans="2:21" x14ac:dyDescent="0.4">
      <c r="K94" t="s">
        <v>43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9AA56-0E27-4332-B4DB-36B355C5E4EF}">
  <dimension ref="A1:Z84"/>
  <sheetViews>
    <sheetView topLeftCell="A7" zoomScaleNormal="100" workbookViewId="0">
      <pane xSplit="1" topLeftCell="B1" activePane="topRight" state="frozen"/>
      <selection activeCell="A7" sqref="A7"/>
      <selection pane="topRight" activeCell="E53" sqref="E53"/>
    </sheetView>
  </sheetViews>
  <sheetFormatPr defaultRowHeight="17.399999999999999" outlineLevelRow="1" x14ac:dyDescent="0.4"/>
  <cols>
    <col min="1" max="1" width="20" bestFit="1" customWidth="1"/>
    <col min="2" max="2" width="9" customWidth="1"/>
    <col min="9" max="9" width="11" bestFit="1" customWidth="1"/>
    <col min="14" max="14" width="10.8984375" bestFit="1" customWidth="1"/>
    <col min="15" max="15" width="8.5" customWidth="1"/>
    <col min="16" max="17" width="6.69921875" bestFit="1" customWidth="1"/>
    <col min="19" max="19" width="15.8984375" bestFit="1" customWidth="1"/>
  </cols>
  <sheetData>
    <row r="1" spans="1:26" ht="18" thickBot="1" x14ac:dyDescent="0.45">
      <c r="A1" s="30" t="s">
        <v>91</v>
      </c>
    </row>
    <row r="2" spans="1:26" ht="18" thickBot="1" x14ac:dyDescent="0.45">
      <c r="A2" s="31" t="s">
        <v>92</v>
      </c>
      <c r="E2" s="17" t="s">
        <v>47</v>
      </c>
      <c r="F2" s="17" t="s">
        <v>48</v>
      </c>
      <c r="G2" s="17" t="s">
        <v>49</v>
      </c>
      <c r="H2" s="17" t="s">
        <v>50</v>
      </c>
      <c r="I2" s="18" t="s">
        <v>51</v>
      </c>
      <c r="J2" s="19" t="s">
        <v>52</v>
      </c>
      <c r="K2" s="19" t="s">
        <v>53</v>
      </c>
      <c r="L2" s="19" t="s">
        <v>54</v>
      </c>
      <c r="M2" s="19" t="s">
        <v>55</v>
      </c>
      <c r="N2" s="19" t="s">
        <v>56</v>
      </c>
      <c r="O2" s="20" t="s">
        <v>57</v>
      </c>
    </row>
    <row r="3" spans="1:26" ht="18.600000000000001" thickTop="1" thickBot="1" x14ac:dyDescent="0.45">
      <c r="A3" s="32" t="s">
        <v>93</v>
      </c>
      <c r="E3" s="21">
        <v>11000</v>
      </c>
      <c r="F3" s="22">
        <v>1.34</v>
      </c>
      <c r="G3" s="45">
        <v>3.27E-2</v>
      </c>
      <c r="H3" s="273">
        <v>42.96</v>
      </c>
      <c r="I3" s="23">
        <f>7425062-163161</f>
        <v>7261901</v>
      </c>
      <c r="J3" s="24">
        <f>O11</f>
        <v>3305.9153519168035</v>
      </c>
      <c r="K3" s="25">
        <v>10</v>
      </c>
      <c r="L3" s="25">
        <f>M3/O9</f>
        <v>3.4347451177998831</v>
      </c>
      <c r="M3" s="26">
        <f>J3*K3</f>
        <v>33059.153519168038</v>
      </c>
      <c r="N3" s="27">
        <f>M3/E3-1</f>
        <v>2.00537759265164</v>
      </c>
      <c r="O3" s="28" t="s">
        <v>66</v>
      </c>
    </row>
    <row r="4" spans="1:26" ht="18" thickBot="1" x14ac:dyDescent="0.45">
      <c r="A4" s="29"/>
      <c r="K4" s="15"/>
      <c r="L4" s="15"/>
      <c r="M4" s="15"/>
      <c r="N4" s="15"/>
      <c r="O4" s="15"/>
      <c r="P4" s="15"/>
      <c r="Q4" s="15"/>
    </row>
    <row r="5" spans="1:26" x14ac:dyDescent="0.4">
      <c r="A5" s="218" t="s">
        <v>6</v>
      </c>
      <c r="B5" s="219">
        <v>2017</v>
      </c>
      <c r="C5" s="219">
        <v>2018</v>
      </c>
      <c r="D5" s="219">
        <v>2019</v>
      </c>
      <c r="E5" s="219" t="s">
        <v>9</v>
      </c>
      <c r="F5" s="219" t="s">
        <v>44</v>
      </c>
      <c r="G5" s="220" t="s">
        <v>45</v>
      </c>
      <c r="K5" s="145"/>
      <c r="L5" s="143">
        <v>2017</v>
      </c>
      <c r="M5" s="143">
        <v>2018</v>
      </c>
      <c r="N5" s="151">
        <v>2019</v>
      </c>
      <c r="O5" s="152" t="s">
        <v>9</v>
      </c>
      <c r="P5" s="158" t="s">
        <v>44</v>
      </c>
      <c r="Q5" s="152" t="s">
        <v>45</v>
      </c>
      <c r="X5" s="4"/>
    </row>
    <row r="6" spans="1:26" ht="18" thickBot="1" x14ac:dyDescent="0.45">
      <c r="A6" s="221" t="s">
        <v>10</v>
      </c>
      <c r="B6" s="193" t="e">
        <f>value!#REF!</f>
        <v>#REF!</v>
      </c>
      <c r="C6" s="193">
        <f>value!R6</f>
        <v>2439</v>
      </c>
      <c r="D6" s="193">
        <f>value!S6</f>
        <v>2042</v>
      </c>
      <c r="E6" s="193">
        <f>value!T6</f>
        <v>3516.0990000000002</v>
      </c>
      <c r="F6" s="193">
        <f>value!U6</f>
        <v>4365.496475110891</v>
      </c>
      <c r="G6" s="222" t="e">
        <f>value!#REF!</f>
        <v>#REF!</v>
      </c>
      <c r="K6" s="146" t="s">
        <v>58</v>
      </c>
      <c r="L6" s="144">
        <v>381.9</v>
      </c>
      <c r="M6" s="144">
        <v>424.22</v>
      </c>
      <c r="N6" s="144">
        <v>458.88</v>
      </c>
      <c r="O6" s="153">
        <f>N6+O8</f>
        <v>698.95229999999992</v>
      </c>
      <c r="P6" s="51">
        <f>O6+P8</f>
        <v>1119.7277154190147</v>
      </c>
      <c r="Q6" s="153" t="e">
        <f>P6+Q8</f>
        <v>#REF!</v>
      </c>
      <c r="S6" t="s">
        <v>94</v>
      </c>
    </row>
    <row r="7" spans="1:26" collapsed="1" x14ac:dyDescent="0.4">
      <c r="A7" s="223" t="s">
        <v>14</v>
      </c>
      <c r="B7" s="87"/>
      <c r="C7" s="87"/>
      <c r="D7" s="87"/>
      <c r="E7" s="213">
        <v>1262</v>
      </c>
      <c r="F7" s="213"/>
      <c r="G7" s="224"/>
      <c r="K7" s="147" t="s">
        <v>65</v>
      </c>
      <c r="L7" s="42"/>
      <c r="M7" s="42"/>
      <c r="N7" s="42"/>
      <c r="O7" s="154"/>
      <c r="P7" s="46"/>
      <c r="Q7" s="154"/>
      <c r="S7" s="118" t="s">
        <v>95</v>
      </c>
      <c r="T7" s="198"/>
      <c r="U7" s="119"/>
      <c r="V7" s="119"/>
      <c r="W7" s="119"/>
      <c r="X7" s="119"/>
      <c r="Y7" s="119"/>
      <c r="Z7" s="120"/>
    </row>
    <row r="8" spans="1:26" x14ac:dyDescent="0.4">
      <c r="A8" s="225" t="s">
        <v>22</v>
      </c>
      <c r="B8" s="98" t="e">
        <f>value!#REF!</f>
        <v>#REF!</v>
      </c>
      <c r="C8" s="98" t="e">
        <f>value!#REF!</f>
        <v>#REF!</v>
      </c>
      <c r="D8" s="98" t="e">
        <f>value!#REF!</f>
        <v>#REF!</v>
      </c>
      <c r="E8" s="98">
        <f>'수주 스케쥴'!L17</f>
        <v>0</v>
      </c>
      <c r="F8" s="98" t="e">
        <f>value!#REF!</f>
        <v>#REF!</v>
      </c>
      <c r="G8" s="226" t="e">
        <f>value!#REF!</f>
        <v>#REF!</v>
      </c>
      <c r="H8" s="59"/>
      <c r="K8" s="148" t="s">
        <v>59</v>
      </c>
      <c r="L8" s="36" t="e">
        <f>B52</f>
        <v>#REF!</v>
      </c>
      <c r="M8" s="37">
        <f>C52</f>
        <v>-17.489999999999945</v>
      </c>
      <c r="N8" s="37">
        <f>D52</f>
        <v>118.18999999999994</v>
      </c>
      <c r="O8" s="155">
        <f>E52</f>
        <v>240.0722999999999</v>
      </c>
      <c r="P8" s="37">
        <f>F54</f>
        <v>420.77541541901485</v>
      </c>
      <c r="Q8" s="155" t="e">
        <f>G54</f>
        <v>#REF!</v>
      </c>
      <c r="S8" s="121"/>
      <c r="T8" s="122">
        <v>16</v>
      </c>
      <c r="U8" s="199">
        <v>17</v>
      </c>
      <c r="V8" s="199">
        <v>18</v>
      </c>
      <c r="W8" s="285">
        <v>19</v>
      </c>
      <c r="X8" s="195" t="s">
        <v>85</v>
      </c>
      <c r="Y8" s="195" t="s">
        <v>103</v>
      </c>
      <c r="Z8" s="123" t="s">
        <v>104</v>
      </c>
    </row>
    <row r="9" spans="1:26" x14ac:dyDescent="0.4">
      <c r="A9" s="227" t="s">
        <v>11</v>
      </c>
      <c r="B9" s="100"/>
      <c r="C9" s="60" t="e">
        <f>C8/B8-1</f>
        <v>#REF!</v>
      </c>
      <c r="D9" s="60" t="e">
        <f>D8/C8-1</f>
        <v>#REF!</v>
      </c>
      <c r="E9" s="60" t="e">
        <f>E8/D8-1</f>
        <v>#REF!</v>
      </c>
      <c r="F9" s="60" t="e">
        <f>F8/E8-1</f>
        <v>#REF!</v>
      </c>
      <c r="G9" s="228" t="e">
        <f>G8/F8-1</f>
        <v>#REF!</v>
      </c>
      <c r="K9" s="149" t="s">
        <v>60</v>
      </c>
      <c r="L9" s="35">
        <f>L6*100000000/I3</f>
        <v>5258.9535439824913</v>
      </c>
      <c r="M9" s="35">
        <f>M6*100000000/I3</f>
        <v>5841.721058989926</v>
      </c>
      <c r="N9" s="35">
        <f>N6*100000000/I3</f>
        <v>6319.0065521410988</v>
      </c>
      <c r="O9" s="156">
        <f>O6*100000000/I3</f>
        <v>9624.9219040579028</v>
      </c>
      <c r="P9" s="49">
        <f>P6*100000000/I3</f>
        <v>15419.209314737485</v>
      </c>
      <c r="Q9" s="156" t="e">
        <f>Q6*100000000/I3</f>
        <v>#REF!</v>
      </c>
      <c r="S9" s="121" t="s">
        <v>96</v>
      </c>
      <c r="T9" s="209">
        <f>63.34+9.86-T16</f>
        <v>49.220000000000006</v>
      </c>
      <c r="U9" s="181">
        <f>82.94+13.1-U16</f>
        <v>70.699999999999989</v>
      </c>
      <c r="V9" s="181">
        <f>74.7+10.84-V16</f>
        <v>66.02000000000001</v>
      </c>
      <c r="W9" s="124">
        <f>89.33+13.51-W16</f>
        <v>79.140000000000015</v>
      </c>
      <c r="X9" s="181">
        <f>W9*1.05</f>
        <v>83.097000000000023</v>
      </c>
      <c r="Y9" s="181">
        <f t="shared" ref="Y9:Z9" si="0">X9*1.05</f>
        <v>87.251850000000033</v>
      </c>
      <c r="Z9" s="124">
        <f t="shared" si="0"/>
        <v>91.614442500000038</v>
      </c>
    </row>
    <row r="10" spans="1:26" x14ac:dyDescent="0.4">
      <c r="A10" s="227" t="s">
        <v>12</v>
      </c>
      <c r="B10" s="100"/>
      <c r="C10" s="100"/>
      <c r="D10" s="100"/>
      <c r="E10" s="100"/>
      <c r="F10" s="100"/>
      <c r="G10" s="229"/>
      <c r="K10" s="171" t="s">
        <v>100</v>
      </c>
      <c r="L10" s="39"/>
      <c r="M10" s="168">
        <f>(M9-L9)/L9</f>
        <v>0.11081434930610121</v>
      </c>
      <c r="N10" s="168">
        <f>(N9-M9)/M9</f>
        <v>8.1702890009900414E-2</v>
      </c>
      <c r="O10" s="169">
        <f>(O9-N9)/N9</f>
        <v>0.52317010983263579</v>
      </c>
      <c r="P10" s="170">
        <f>(P9-O9)/O9</f>
        <v>0.60200877144121967</v>
      </c>
      <c r="Q10" s="169" t="e">
        <f>(Q9-P9)/P9</f>
        <v>#REF!</v>
      </c>
      <c r="S10" s="121" t="s">
        <v>97</v>
      </c>
      <c r="T10" s="209">
        <f>8.9-T17-T18</f>
        <v>6.8500000000000005</v>
      </c>
      <c r="U10" s="181">
        <f>11.78-U17-U18</f>
        <v>10.65</v>
      </c>
      <c r="V10" s="181">
        <f t="shared" ref="V10:W10" si="1">11.78-V17-V18</f>
        <v>9.75</v>
      </c>
      <c r="W10" s="124">
        <f t="shared" si="1"/>
        <v>9.44</v>
      </c>
      <c r="X10" s="181">
        <f>11.78-X17-Y18</f>
        <v>9.44</v>
      </c>
      <c r="Y10" s="3">
        <v>9</v>
      </c>
      <c r="Z10" s="125">
        <v>8</v>
      </c>
    </row>
    <row r="11" spans="1:26" x14ac:dyDescent="0.4">
      <c r="A11" s="230" t="s">
        <v>13</v>
      </c>
      <c r="B11" s="101" t="e">
        <f t="shared" ref="B11:G11" si="2">B8/B6</f>
        <v>#REF!</v>
      </c>
      <c r="C11" s="101" t="e">
        <f t="shared" si="2"/>
        <v>#REF!</v>
      </c>
      <c r="D11" s="101" t="e">
        <f t="shared" si="2"/>
        <v>#REF!</v>
      </c>
      <c r="E11" s="101">
        <f t="shared" si="2"/>
        <v>0</v>
      </c>
      <c r="F11" s="101" t="e">
        <f t="shared" si="2"/>
        <v>#REF!</v>
      </c>
      <c r="G11" s="231" t="e">
        <f t="shared" si="2"/>
        <v>#REF!</v>
      </c>
      <c r="K11" s="149" t="s">
        <v>61</v>
      </c>
      <c r="L11" s="34" t="e">
        <f>L8*100000000/I3</f>
        <v>#REF!</v>
      </c>
      <c r="M11" s="35">
        <f>M8*100000000/I3</f>
        <v>-240.84602640548178</v>
      </c>
      <c r="N11" s="35">
        <f>N8*100000000/I3</f>
        <v>1627.5352693461386</v>
      </c>
      <c r="O11" s="153">
        <f>O8*100000000/I3</f>
        <v>3305.9153519168035</v>
      </c>
      <c r="P11" s="51">
        <f>P8*100000000/I3</f>
        <v>5794.2874106795844</v>
      </c>
      <c r="Q11" s="153" t="e">
        <f>Q8*100000000/I3</f>
        <v>#REF!</v>
      </c>
      <c r="S11" s="121"/>
      <c r="T11" s="4"/>
      <c r="U11" s="181"/>
      <c r="V11" s="181"/>
      <c r="W11" s="124"/>
      <c r="X11" s="4"/>
      <c r="Y11" s="4"/>
      <c r="Z11" s="125"/>
    </row>
    <row r="12" spans="1:26" ht="18" thickBot="1" x14ac:dyDescent="0.45">
      <c r="A12" s="232" t="s">
        <v>15</v>
      </c>
      <c r="B12" s="61" t="e">
        <f>value!#REF!</f>
        <v>#REF!</v>
      </c>
      <c r="C12" s="61" t="e">
        <f>value!#REF!</f>
        <v>#REF!</v>
      </c>
      <c r="D12" s="61" t="e">
        <f>value!#REF!</f>
        <v>#REF!</v>
      </c>
      <c r="E12" s="61" t="e">
        <f>value!#REF!</f>
        <v>#REF!</v>
      </c>
      <c r="F12" s="61" t="e">
        <f>value!#REF!</f>
        <v>#REF!</v>
      </c>
      <c r="G12" s="105" t="e">
        <f>value!#REF!</f>
        <v>#REF!</v>
      </c>
      <c r="K12" s="171" t="s">
        <v>100</v>
      </c>
      <c r="L12" s="38"/>
      <c r="M12" s="167" t="e">
        <f>(M11-L11)/L11</f>
        <v>#REF!</v>
      </c>
      <c r="N12" s="133">
        <f>(N11-M11)/M11</f>
        <v>-7.7575757575757747</v>
      </c>
      <c r="O12" s="157">
        <f>(O11-N11)/N11</f>
        <v>1.0312403756663</v>
      </c>
      <c r="P12" s="157">
        <f t="shared" ref="P12:Q12" si="3">(P11-O11)/O11</f>
        <v>0.75270289583186012</v>
      </c>
      <c r="Q12" s="157" t="e">
        <f t="shared" si="3"/>
        <v>#REF!</v>
      </c>
      <c r="S12" s="126" t="s">
        <v>69</v>
      </c>
      <c r="T12" s="127">
        <f>SUM(T9:T11)</f>
        <v>56.070000000000007</v>
      </c>
      <c r="U12" s="127">
        <f>SUM(U9:U11)</f>
        <v>81.349999999999994</v>
      </c>
      <c r="V12" s="127">
        <f>SUM(V9:V11)</f>
        <v>75.77000000000001</v>
      </c>
      <c r="W12" s="128">
        <f t="shared" ref="W12" si="4">SUM(W9:W11)</f>
        <v>88.580000000000013</v>
      </c>
      <c r="X12" s="127">
        <f>SUM(X9:X11)</f>
        <v>92.53700000000002</v>
      </c>
      <c r="Y12" s="127">
        <f t="shared" ref="Y12:Z12" si="5">SUM(Y9:Y11)</f>
        <v>96.251850000000033</v>
      </c>
      <c r="Z12" s="128">
        <f t="shared" si="5"/>
        <v>99.614442500000038</v>
      </c>
    </row>
    <row r="13" spans="1:26" ht="18" outlineLevel="1" thickBot="1" x14ac:dyDescent="0.45">
      <c r="A13" s="108" t="s">
        <v>86</v>
      </c>
      <c r="B13" s="86" t="e">
        <f>B12/B8</f>
        <v>#REF!</v>
      </c>
      <c r="C13" s="86" t="e">
        <f t="shared" ref="C13:G13" si="6">C12/C8</f>
        <v>#REF!</v>
      </c>
      <c r="D13" s="86" t="e">
        <f t="shared" si="6"/>
        <v>#REF!</v>
      </c>
      <c r="E13" s="86" t="e">
        <f t="shared" si="6"/>
        <v>#REF!</v>
      </c>
      <c r="F13" s="86" t="e">
        <f t="shared" si="6"/>
        <v>#REF!</v>
      </c>
      <c r="G13" s="233" t="e">
        <f t="shared" si="6"/>
        <v>#REF!</v>
      </c>
      <c r="K13" s="146" t="s">
        <v>62</v>
      </c>
      <c r="L13" s="159" t="e">
        <f t="shared" ref="L13:P13" si="7">L8/L6</f>
        <v>#REF!</v>
      </c>
      <c r="M13" s="160">
        <f>M8/M6</f>
        <v>-4.1228607797840613E-2</v>
      </c>
      <c r="N13" s="160">
        <f>N8/N6</f>
        <v>0.25756188981868888</v>
      </c>
      <c r="O13" s="161">
        <f t="shared" si="7"/>
        <v>0.34347451177998833</v>
      </c>
      <c r="P13" s="159">
        <f t="shared" si="7"/>
        <v>0.37578369243236598</v>
      </c>
      <c r="Q13" s="161" t="e">
        <f>Q8/Q6</f>
        <v>#REF!</v>
      </c>
      <c r="R13" s="121" t="s">
        <v>101</v>
      </c>
      <c r="S13" s="78"/>
      <c r="T13" s="78"/>
      <c r="U13" s="78"/>
      <c r="V13" s="78"/>
      <c r="W13" s="78"/>
      <c r="X13" s="78"/>
      <c r="Z13" s="2"/>
    </row>
    <row r="14" spans="1:26" outlineLevel="1" x14ac:dyDescent="0.4">
      <c r="A14" s="232" t="s">
        <v>69</v>
      </c>
      <c r="B14" s="61" t="e">
        <f>value!#REF!</f>
        <v>#REF!</v>
      </c>
      <c r="C14" s="61">
        <f>value!R17</f>
        <v>0</v>
      </c>
      <c r="D14" s="61">
        <f t="shared" ref="D14" si="8">C14</f>
        <v>0</v>
      </c>
      <c r="E14" s="61">
        <f>value!T17</f>
        <v>0</v>
      </c>
      <c r="F14" s="61">
        <f>value!U17</f>
        <v>0</v>
      </c>
      <c r="G14" s="105" t="e">
        <f>value!#REF!</f>
        <v>#REF!</v>
      </c>
      <c r="K14" s="149" t="s">
        <v>63</v>
      </c>
      <c r="L14" s="129">
        <v>7.4</v>
      </c>
      <c r="M14" s="163">
        <v>4.8</v>
      </c>
      <c r="N14" s="163" t="e">
        <f>#REF!/N9</f>
        <v>#REF!</v>
      </c>
      <c r="O14" s="164" t="e">
        <f>#REF!/O9</f>
        <v>#REF!</v>
      </c>
      <c r="P14" s="163" t="e">
        <f>#REF!/P9</f>
        <v>#REF!</v>
      </c>
      <c r="Q14" s="164" t="e">
        <f>#REF!/Q9</f>
        <v>#REF!</v>
      </c>
      <c r="S14" s="130" t="s">
        <v>99</v>
      </c>
      <c r="T14" s="198"/>
      <c r="U14" s="119"/>
      <c r="V14" s="119"/>
      <c r="W14" s="119"/>
      <c r="X14" s="119"/>
      <c r="Y14" s="198"/>
      <c r="Z14" s="120"/>
    </row>
    <row r="15" spans="1:26" ht="18" outlineLevel="1" thickBot="1" x14ac:dyDescent="0.45">
      <c r="A15" s="108" t="s">
        <v>87</v>
      </c>
      <c r="B15" s="85" t="e">
        <f t="shared" ref="B15:G15" si="9">B14/B12</f>
        <v>#REF!</v>
      </c>
      <c r="C15" s="85" t="e">
        <f t="shared" si="9"/>
        <v>#REF!</v>
      </c>
      <c r="D15" s="85" t="e">
        <f t="shared" si="9"/>
        <v>#REF!</v>
      </c>
      <c r="E15" s="85" t="e">
        <f t="shared" si="9"/>
        <v>#REF!</v>
      </c>
      <c r="F15" s="85" t="e">
        <f t="shared" si="9"/>
        <v>#REF!</v>
      </c>
      <c r="G15" s="234" t="e">
        <f t="shared" si="9"/>
        <v>#REF!</v>
      </c>
      <c r="I15" s="3"/>
      <c r="J15" s="3"/>
      <c r="K15" s="150" t="s">
        <v>64</v>
      </c>
      <c r="L15" s="53" t="e">
        <f>#REF!/L11</f>
        <v>#REF!</v>
      </c>
      <c r="M15" s="53" t="e">
        <f>#REF!/M11</f>
        <v>#REF!</v>
      </c>
      <c r="N15" s="53" t="e">
        <f>#REF!/N11</f>
        <v>#REF!</v>
      </c>
      <c r="O15" s="165" t="e">
        <f>#REF!/O11</f>
        <v>#REF!</v>
      </c>
      <c r="P15" s="166" t="e">
        <f>#REF!/P11</f>
        <v>#REF!</v>
      </c>
      <c r="Q15" s="166" t="e">
        <f>#REF!/Q11</f>
        <v>#REF!</v>
      </c>
      <c r="S15" s="121"/>
      <c r="T15" s="197">
        <v>16</v>
      </c>
      <c r="U15" s="197">
        <v>17</v>
      </c>
      <c r="V15" s="197">
        <v>18</v>
      </c>
      <c r="W15" s="286">
        <v>19</v>
      </c>
      <c r="X15" s="196" t="s">
        <v>85</v>
      </c>
      <c r="Y15" s="196" t="s">
        <v>103</v>
      </c>
      <c r="Z15" s="132" t="s">
        <v>104</v>
      </c>
    </row>
    <row r="16" spans="1:26" outlineLevel="1" x14ac:dyDescent="0.4">
      <c r="A16" s="232" t="s">
        <v>70</v>
      </c>
      <c r="B16" s="61" t="e">
        <f>value!#REF!</f>
        <v>#REF!</v>
      </c>
      <c r="C16" s="61">
        <f>value!R18</f>
        <v>0</v>
      </c>
      <c r="D16" s="61">
        <f>value!S18</f>
        <v>0</v>
      </c>
      <c r="E16" s="61">
        <f>value!T18</f>
        <v>0</v>
      </c>
      <c r="F16" s="61">
        <f>value!U18</f>
        <v>0</v>
      </c>
      <c r="G16" s="105" t="e">
        <f>value!#REF!</f>
        <v>#REF!</v>
      </c>
      <c r="H16" s="103"/>
      <c r="I16" s="3"/>
      <c r="J16" s="84"/>
      <c r="K16" s="82"/>
      <c r="L16" s="83"/>
      <c r="M16" s="51"/>
      <c r="N16" s="51"/>
      <c r="O16" s="51"/>
      <c r="S16" s="121" t="s">
        <v>96</v>
      </c>
      <c r="T16" s="181">
        <f>12.15+3.16+2.09+3.5+3.08</f>
        <v>23.979999999999997</v>
      </c>
      <c r="U16" s="181">
        <f>15.32+3.3+1+3.13+2.59</f>
        <v>25.34</v>
      </c>
      <c r="V16" s="181">
        <f>14.9+1.43+3.19</f>
        <v>19.520000000000003</v>
      </c>
      <c r="W16" s="124">
        <f>14.54+1.35+1.82+3.86+2.13</f>
        <v>23.699999999999996</v>
      </c>
      <c r="X16" s="181">
        <f t="shared" ref="X16:Z17" si="10">W16</f>
        <v>23.699999999999996</v>
      </c>
      <c r="Y16" s="181">
        <f t="shared" si="10"/>
        <v>23.699999999999996</v>
      </c>
      <c r="Z16" s="124">
        <f t="shared" si="10"/>
        <v>23.699999999999996</v>
      </c>
    </row>
    <row r="17" spans="1:26" outlineLevel="1" x14ac:dyDescent="0.4">
      <c r="A17" s="108" t="s">
        <v>88</v>
      </c>
      <c r="B17" s="85" t="e">
        <f>B16/B12</f>
        <v>#REF!</v>
      </c>
      <c r="C17" s="85" t="e">
        <f t="shared" ref="C17:G17" si="11">C16/C12</f>
        <v>#REF!</v>
      </c>
      <c r="D17" s="85" t="e">
        <f t="shared" si="11"/>
        <v>#REF!</v>
      </c>
      <c r="E17" s="85" t="e">
        <f t="shared" si="11"/>
        <v>#REF!</v>
      </c>
      <c r="F17" s="85" t="e">
        <f t="shared" si="11"/>
        <v>#REF!</v>
      </c>
      <c r="G17" s="234" t="e">
        <f t="shared" si="11"/>
        <v>#REF!</v>
      </c>
      <c r="I17" s="3"/>
      <c r="J17" s="84"/>
      <c r="K17" s="82"/>
      <c r="L17" s="83"/>
      <c r="M17" s="51"/>
      <c r="N17" s="51"/>
      <c r="O17" s="51"/>
      <c r="S17" s="121" t="s">
        <v>97</v>
      </c>
      <c r="T17" s="181">
        <v>1.35</v>
      </c>
      <c r="U17" s="181">
        <v>0.94</v>
      </c>
      <c r="V17" s="181">
        <v>1.87</v>
      </c>
      <c r="W17" s="124">
        <v>2.1800000000000002</v>
      </c>
      <c r="X17" s="181">
        <f t="shared" si="10"/>
        <v>2.1800000000000002</v>
      </c>
      <c r="Y17" s="181">
        <f t="shared" si="10"/>
        <v>2.1800000000000002</v>
      </c>
      <c r="Z17" s="124">
        <f t="shared" si="10"/>
        <v>2.1800000000000002</v>
      </c>
    </row>
    <row r="18" spans="1:26" x14ac:dyDescent="0.4">
      <c r="A18" s="235" t="s">
        <v>17</v>
      </c>
      <c r="B18" s="211" t="e">
        <f t="shared" ref="B18:G18" si="12">B8-B12</f>
        <v>#REF!</v>
      </c>
      <c r="C18" s="211" t="e">
        <f t="shared" si="12"/>
        <v>#REF!</v>
      </c>
      <c r="D18" s="212" t="e">
        <f t="shared" si="12"/>
        <v>#REF!</v>
      </c>
      <c r="E18" s="211" t="e">
        <f t="shared" si="12"/>
        <v>#REF!</v>
      </c>
      <c r="F18" s="211" t="e">
        <f t="shared" si="12"/>
        <v>#REF!</v>
      </c>
      <c r="G18" s="236" t="e">
        <f t="shared" si="12"/>
        <v>#REF!</v>
      </c>
      <c r="I18" s="3"/>
      <c r="J18" s="3"/>
      <c r="K18" s="3"/>
      <c r="L18" s="3"/>
      <c r="S18" s="121" t="s">
        <v>98</v>
      </c>
      <c r="T18" s="181">
        <v>0.7</v>
      </c>
      <c r="U18" s="181">
        <v>0.19</v>
      </c>
      <c r="V18" s="181">
        <v>0.16</v>
      </c>
      <c r="W18" s="124">
        <v>0.16</v>
      </c>
      <c r="X18" s="200">
        <f>W18</f>
        <v>0.16</v>
      </c>
      <c r="Y18" s="181">
        <v>0.16</v>
      </c>
      <c r="Z18" s="201">
        <f>Y18</f>
        <v>0.16</v>
      </c>
    </row>
    <row r="19" spans="1:26" ht="18" thickBot="1" x14ac:dyDescent="0.45">
      <c r="A19" s="237" t="s">
        <v>18</v>
      </c>
      <c r="B19" s="96" t="e">
        <f>B18/B8</f>
        <v>#REF!</v>
      </c>
      <c r="C19" s="96" t="e">
        <f t="shared" ref="C19:G19" si="13">C18/C8</f>
        <v>#REF!</v>
      </c>
      <c r="D19" s="96" t="e">
        <f t="shared" si="13"/>
        <v>#REF!</v>
      </c>
      <c r="E19" s="96" t="e">
        <f t="shared" si="13"/>
        <v>#REF!</v>
      </c>
      <c r="F19" s="96" t="e">
        <f t="shared" si="13"/>
        <v>#REF!</v>
      </c>
      <c r="G19" s="238" t="e">
        <f t="shared" si="13"/>
        <v>#REF!</v>
      </c>
      <c r="S19" s="126" t="s">
        <v>69</v>
      </c>
      <c r="T19" s="127">
        <f>SUM(T16:T18)</f>
        <v>26.029999999999998</v>
      </c>
      <c r="U19" s="127">
        <f>SUM(U16:U18)</f>
        <v>26.470000000000002</v>
      </c>
      <c r="V19" s="127">
        <f t="shared" ref="V19:Z19" si="14">SUM(V16:V18)</f>
        <v>21.550000000000004</v>
      </c>
      <c r="W19" s="128">
        <f t="shared" si="14"/>
        <v>26.039999999999996</v>
      </c>
      <c r="X19" s="127">
        <f t="shared" si="14"/>
        <v>26.039999999999996</v>
      </c>
      <c r="Y19" s="127">
        <f t="shared" si="14"/>
        <v>26.039999999999996</v>
      </c>
      <c r="Z19" s="128">
        <f t="shared" si="14"/>
        <v>26.039999999999996</v>
      </c>
    </row>
    <row r="20" spans="1:26" s="2" customFormat="1" x14ac:dyDescent="0.4">
      <c r="A20" s="225" t="s">
        <v>23</v>
      </c>
      <c r="B20" s="99" t="e">
        <f>value!#REF!</f>
        <v>#REF!</v>
      </c>
      <c r="C20" s="99" t="e">
        <f>value!#REF!</f>
        <v>#REF!</v>
      </c>
      <c r="D20" s="99" t="e">
        <f>value!#REF!</f>
        <v>#REF!</v>
      </c>
      <c r="E20" s="99" t="e">
        <f>value!#REF!</f>
        <v>#REF!</v>
      </c>
      <c r="F20" s="99" t="e">
        <f>value!#REF!</f>
        <v>#REF!</v>
      </c>
      <c r="G20" s="239" t="e">
        <f>value!#REF!</f>
        <v>#REF!</v>
      </c>
      <c r="K20" s="82"/>
      <c r="L20" s="82"/>
      <c r="M20" s="134"/>
      <c r="N20" s="57"/>
      <c r="O20" s="57"/>
      <c r="P20" s="57"/>
      <c r="Q20" s="57"/>
      <c r="R20" s="3"/>
      <c r="S20" s="3"/>
      <c r="T20" s="3"/>
      <c r="U20" s="3"/>
      <c r="V20" s="3"/>
      <c r="W20" s="3"/>
      <c r="X20" s="3"/>
      <c r="Y20" s="3"/>
    </row>
    <row r="21" spans="1:26" hidden="1" x14ac:dyDescent="0.4">
      <c r="A21" s="106" t="s">
        <v>11</v>
      </c>
      <c r="B21" s="73"/>
      <c r="C21" s="75" t="e">
        <f>C20/B20-1</f>
        <v>#REF!</v>
      </c>
      <c r="D21" s="75" t="e">
        <f>D20/C20-1</f>
        <v>#REF!</v>
      </c>
      <c r="E21" s="75" t="e">
        <f>E20/D20-1</f>
        <v>#REF!</v>
      </c>
      <c r="F21" s="75" t="e">
        <f>F20/E20-1</f>
        <v>#REF!</v>
      </c>
      <c r="G21" s="240" t="e">
        <f>G20/F20-1</f>
        <v>#REF!</v>
      </c>
      <c r="K21" s="135"/>
      <c r="L21" s="136"/>
      <c r="M21" s="136"/>
      <c r="N21" s="136"/>
      <c r="O21" s="136"/>
      <c r="P21" s="136"/>
      <c r="Q21" s="136"/>
      <c r="S21" s="3"/>
      <c r="T21" s="3"/>
      <c r="U21" s="3"/>
      <c r="V21" s="3"/>
      <c r="W21" s="3"/>
      <c r="X21" s="3"/>
    </row>
    <row r="22" spans="1:26" hidden="1" x14ac:dyDescent="0.4">
      <c r="A22" s="106" t="s">
        <v>12</v>
      </c>
      <c r="B22" s="73"/>
      <c r="C22" s="73"/>
      <c r="D22" s="73"/>
      <c r="E22" s="73"/>
      <c r="F22" s="73"/>
      <c r="G22" s="241"/>
      <c r="K22" s="135"/>
      <c r="L22" s="54"/>
      <c r="M22" s="137"/>
      <c r="N22" s="137"/>
      <c r="O22" s="137"/>
      <c r="P22" s="137"/>
      <c r="Q22" s="137"/>
      <c r="S22" s="3"/>
      <c r="T22" s="3"/>
      <c r="U22" s="3"/>
      <c r="V22" s="3"/>
      <c r="W22" s="3"/>
      <c r="X22" s="3"/>
    </row>
    <row r="23" spans="1:26" hidden="1" x14ac:dyDescent="0.4">
      <c r="A23" s="106" t="s">
        <v>13</v>
      </c>
      <c r="B23" s="76" t="e">
        <f t="shared" ref="B23:G23" si="15">B20/B6</f>
        <v>#REF!</v>
      </c>
      <c r="C23" s="76" t="e">
        <f t="shared" si="15"/>
        <v>#REF!</v>
      </c>
      <c r="D23" s="76" t="e">
        <f t="shared" si="15"/>
        <v>#REF!</v>
      </c>
      <c r="E23" s="76" t="e">
        <f t="shared" si="15"/>
        <v>#REF!</v>
      </c>
      <c r="F23" s="76" t="e">
        <f t="shared" si="15"/>
        <v>#REF!</v>
      </c>
      <c r="G23" s="242" t="e">
        <f t="shared" si="15"/>
        <v>#REF!</v>
      </c>
      <c r="K23" s="58"/>
      <c r="L23" s="138"/>
      <c r="M23" s="139"/>
      <c r="N23" s="140"/>
      <c r="O23" s="140"/>
      <c r="P23" s="140"/>
      <c r="Q23" s="140"/>
      <c r="S23" s="3"/>
      <c r="T23" s="3"/>
      <c r="U23" s="3"/>
      <c r="V23" s="3"/>
      <c r="W23" s="3"/>
      <c r="X23" s="3"/>
    </row>
    <row r="24" spans="1:26" s="2" customFormat="1" x14ac:dyDescent="0.4">
      <c r="A24" s="232" t="s">
        <v>15</v>
      </c>
      <c r="B24" s="81" t="e">
        <f>value!#REF!</f>
        <v>#REF!</v>
      </c>
      <c r="C24" s="81" t="e">
        <f>value!#REF!</f>
        <v>#REF!</v>
      </c>
      <c r="D24" s="81" t="e">
        <f>value!#REF!</f>
        <v>#REF!</v>
      </c>
      <c r="E24" s="81" t="e">
        <f>value!#REF!</f>
        <v>#REF!</v>
      </c>
      <c r="F24" s="81" t="e">
        <f>value!#REF!</f>
        <v>#REF!</v>
      </c>
      <c r="G24" s="243" t="e">
        <f>value!#REF!</f>
        <v>#REF!</v>
      </c>
      <c r="S24" s="3"/>
      <c r="T24" s="3"/>
      <c r="U24" s="3"/>
      <c r="V24" s="3"/>
      <c r="W24" s="3"/>
      <c r="X24" s="3"/>
    </row>
    <row r="25" spans="1:26" outlineLevel="1" x14ac:dyDescent="0.4">
      <c r="A25" s="107" t="s">
        <v>11</v>
      </c>
      <c r="B25" s="75"/>
      <c r="C25" s="75" t="e">
        <f>(C24-B24)/B24</f>
        <v>#REF!</v>
      </c>
      <c r="D25" s="75" t="e">
        <f>(D24-C24)/C24</f>
        <v>#REF!</v>
      </c>
      <c r="E25" s="75" t="e">
        <f>(E24-D24)/D24</f>
        <v>#REF!</v>
      </c>
      <c r="F25" s="75" t="e">
        <f>(F24-E24)/E24</f>
        <v>#REF!</v>
      </c>
      <c r="G25" s="240" t="e">
        <f>(G24-F24)/F24</f>
        <v>#REF!</v>
      </c>
    </row>
    <row r="26" spans="1:26" outlineLevel="1" x14ac:dyDescent="0.4">
      <c r="A26" s="244" t="s">
        <v>16</v>
      </c>
      <c r="B26" s="77" t="e">
        <f t="shared" ref="B26:G26" si="16">B24/B20</f>
        <v>#REF!</v>
      </c>
      <c r="C26" s="77" t="e">
        <f t="shared" si="16"/>
        <v>#REF!</v>
      </c>
      <c r="D26" s="77" t="e">
        <f t="shared" si="16"/>
        <v>#REF!</v>
      </c>
      <c r="E26" s="77" t="e">
        <f t="shared" si="16"/>
        <v>#REF!</v>
      </c>
      <c r="F26" s="77" t="e">
        <f t="shared" si="16"/>
        <v>#REF!</v>
      </c>
      <c r="G26" s="245" t="e">
        <f t="shared" si="16"/>
        <v>#REF!</v>
      </c>
    </row>
    <row r="27" spans="1:26" s="2" customFormat="1" outlineLevel="1" x14ac:dyDescent="0.4">
      <c r="A27" s="232" t="s">
        <v>69</v>
      </c>
      <c r="B27" s="80" t="e">
        <f>value!#REF!</f>
        <v>#REF!</v>
      </c>
      <c r="C27" s="80" t="e">
        <f>value!#REF!</f>
        <v>#REF!</v>
      </c>
      <c r="D27" s="80" t="e">
        <f>value!#REF!</f>
        <v>#REF!</v>
      </c>
      <c r="E27" s="80" t="e">
        <f>value!#REF!</f>
        <v>#REF!</v>
      </c>
      <c r="F27" s="80" t="e">
        <f>value!#REF!</f>
        <v>#REF!</v>
      </c>
      <c r="G27" s="246" t="e">
        <f>value!#REF!</f>
        <v>#REF!</v>
      </c>
      <c r="S27" s="3"/>
      <c r="T27" s="3"/>
      <c r="U27" s="3"/>
      <c r="V27" s="3"/>
      <c r="W27" s="3"/>
      <c r="X27" s="3"/>
    </row>
    <row r="28" spans="1:26" s="2" customFormat="1" outlineLevel="1" x14ac:dyDescent="0.4">
      <c r="A28" s="108" t="s">
        <v>87</v>
      </c>
      <c r="B28" s="85" t="e">
        <f>B27/B24</f>
        <v>#REF!</v>
      </c>
      <c r="C28" s="85" t="s">
        <v>101</v>
      </c>
      <c r="D28" s="85" t="e">
        <f>D27/D24</f>
        <v>#REF!</v>
      </c>
      <c r="E28" s="85" t="e">
        <f>E27/E24</f>
        <v>#REF!</v>
      </c>
      <c r="F28" s="85" t="e">
        <f>F27/F24</f>
        <v>#REF!</v>
      </c>
      <c r="G28" s="234" t="e">
        <f>G27/G24</f>
        <v>#REF!</v>
      </c>
    </row>
    <row r="29" spans="1:26" s="2" customFormat="1" outlineLevel="1" x14ac:dyDescent="0.4">
      <c r="A29" s="232" t="s">
        <v>70</v>
      </c>
      <c r="B29" s="80" t="e">
        <f>value!#REF!</f>
        <v>#REF!</v>
      </c>
      <c r="C29" s="80" t="e">
        <f>value!#REF!</f>
        <v>#REF!</v>
      </c>
      <c r="D29" s="80" t="e">
        <f>value!#REF!</f>
        <v>#REF!</v>
      </c>
      <c r="E29" s="80" t="e">
        <f>value!#REF!</f>
        <v>#REF!</v>
      </c>
      <c r="F29" s="80" t="e">
        <f>value!#REF!</f>
        <v>#REF!</v>
      </c>
      <c r="G29" s="246" t="e">
        <f>value!#REF!</f>
        <v>#REF!</v>
      </c>
    </row>
    <row r="30" spans="1:26" s="2" customFormat="1" outlineLevel="1" x14ac:dyDescent="0.4">
      <c r="A30" s="108" t="s">
        <v>87</v>
      </c>
      <c r="B30" s="85" t="e">
        <f t="shared" ref="B30:G30" si="17">B29/B24</f>
        <v>#REF!</v>
      </c>
      <c r="C30" s="85" t="e">
        <f t="shared" si="17"/>
        <v>#REF!</v>
      </c>
      <c r="D30" s="85" t="e">
        <f t="shared" si="17"/>
        <v>#REF!</v>
      </c>
      <c r="E30" s="85" t="e">
        <f t="shared" si="17"/>
        <v>#REF!</v>
      </c>
      <c r="F30" s="85" t="e">
        <f t="shared" si="17"/>
        <v>#REF!</v>
      </c>
      <c r="G30" s="234" t="e">
        <f t="shared" si="17"/>
        <v>#REF!</v>
      </c>
    </row>
    <row r="31" spans="1:26" x14ac:dyDescent="0.4">
      <c r="A31" s="235" t="s">
        <v>17</v>
      </c>
      <c r="B31" s="162" t="e">
        <f t="shared" ref="B31:G31" si="18">B20-B24</f>
        <v>#REF!</v>
      </c>
      <c r="C31" s="162" t="e">
        <f t="shared" si="18"/>
        <v>#REF!</v>
      </c>
      <c r="D31" s="162" t="e">
        <f t="shared" si="18"/>
        <v>#REF!</v>
      </c>
      <c r="E31" s="162" t="e">
        <f t="shared" si="18"/>
        <v>#REF!</v>
      </c>
      <c r="F31" s="162" t="e">
        <f t="shared" si="18"/>
        <v>#REF!</v>
      </c>
      <c r="G31" s="247" t="e">
        <f t="shared" si="18"/>
        <v>#REF!</v>
      </c>
    </row>
    <row r="32" spans="1:26" x14ac:dyDescent="0.4">
      <c r="A32" s="237" t="s">
        <v>18</v>
      </c>
      <c r="B32" s="96" t="e">
        <f>B31/B20</f>
        <v>#REF!</v>
      </c>
      <c r="C32" s="96" t="e">
        <f t="shared" ref="C32:G32" si="19">C31/C20</f>
        <v>#REF!</v>
      </c>
      <c r="D32" s="96" t="e">
        <f t="shared" si="19"/>
        <v>#REF!</v>
      </c>
      <c r="E32" s="96" t="e">
        <f t="shared" si="19"/>
        <v>#REF!</v>
      </c>
      <c r="F32" s="96" t="e">
        <f t="shared" si="19"/>
        <v>#REF!</v>
      </c>
      <c r="G32" s="238" t="e">
        <f t="shared" si="19"/>
        <v>#REF!</v>
      </c>
    </row>
    <row r="33" spans="1:8" x14ac:dyDescent="0.4">
      <c r="A33" s="248" t="s">
        <v>15</v>
      </c>
      <c r="B33" s="192" t="e">
        <f>value!#REF!</f>
        <v>#REF!</v>
      </c>
      <c r="C33" s="192">
        <f>value!R16</f>
        <v>2317.3599999999997</v>
      </c>
      <c r="D33" s="192">
        <f>value!S16</f>
        <v>1759.2600000000002</v>
      </c>
      <c r="E33" s="192">
        <f>value!T16</f>
        <v>3077.9147000000003</v>
      </c>
      <c r="F33" s="192">
        <f>value!U16</f>
        <v>3777.4570596918761</v>
      </c>
      <c r="G33" s="249" t="e">
        <f>value!#REF!</f>
        <v>#REF!</v>
      </c>
    </row>
    <row r="34" spans="1:8" x14ac:dyDescent="0.4">
      <c r="A34" s="250" t="s">
        <v>17</v>
      </c>
      <c r="B34" s="191" t="e">
        <f t="shared" ref="B34:G34" si="20">B6-B33</f>
        <v>#REF!</v>
      </c>
      <c r="C34" s="191">
        <f t="shared" si="20"/>
        <v>121.64000000000033</v>
      </c>
      <c r="D34" s="191">
        <f t="shared" si="20"/>
        <v>282.73999999999978</v>
      </c>
      <c r="E34" s="191">
        <f t="shared" si="20"/>
        <v>438.18429999999989</v>
      </c>
      <c r="F34" s="191">
        <f t="shared" si="20"/>
        <v>588.03941541901486</v>
      </c>
      <c r="G34" s="251" t="e">
        <f t="shared" si="20"/>
        <v>#REF!</v>
      </c>
    </row>
    <row r="35" spans="1:8" x14ac:dyDescent="0.4">
      <c r="A35" s="252" t="s">
        <v>19</v>
      </c>
      <c r="B35" s="97" t="e">
        <f>value!#REF!</f>
        <v>#REF!</v>
      </c>
      <c r="C35" s="97">
        <f>value!R23</f>
        <v>158.9</v>
      </c>
      <c r="D35" s="97">
        <f>value!S23</f>
        <v>158.69999999999999</v>
      </c>
      <c r="E35" s="97">
        <f>value!T23</f>
        <v>170.24799999999999</v>
      </c>
      <c r="F35" s="97">
        <f>value!U23</f>
        <v>162.61600000000001</v>
      </c>
      <c r="G35" s="253" t="e">
        <f>value!#REF!</f>
        <v>#REF!</v>
      </c>
    </row>
    <row r="36" spans="1:8" x14ac:dyDescent="0.4">
      <c r="A36" s="254" t="s">
        <v>16</v>
      </c>
      <c r="B36" s="102" t="e">
        <f t="shared" ref="B36:G36" si="21">B35/B6</f>
        <v>#REF!</v>
      </c>
      <c r="C36" s="102">
        <f t="shared" si="21"/>
        <v>6.5149651496514971E-2</v>
      </c>
      <c r="D36" s="102">
        <f t="shared" si="21"/>
        <v>7.77179236043095E-2</v>
      </c>
      <c r="E36" s="102">
        <f t="shared" si="21"/>
        <v>4.8419569528616792E-2</v>
      </c>
      <c r="F36" s="102">
        <f t="shared" si="21"/>
        <v>3.7250287779895482E-2</v>
      </c>
      <c r="G36" s="255" t="e">
        <f t="shared" si="21"/>
        <v>#REF!</v>
      </c>
    </row>
    <row r="37" spans="1:8" x14ac:dyDescent="0.4">
      <c r="A37" s="256" t="s">
        <v>20</v>
      </c>
      <c r="B37" s="194" t="e">
        <f>B34-B35</f>
        <v>#REF!</v>
      </c>
      <c r="C37" s="194">
        <f t="shared" ref="C37:G37" si="22">C34-C35</f>
        <v>-37.259999999999678</v>
      </c>
      <c r="D37" s="194">
        <f t="shared" si="22"/>
        <v>124.03999999999979</v>
      </c>
      <c r="E37" s="194">
        <f t="shared" si="22"/>
        <v>267.9362999999999</v>
      </c>
      <c r="F37" s="194">
        <f>F34-F35</f>
        <v>425.42341541901487</v>
      </c>
      <c r="G37" s="257" t="e">
        <f t="shared" si="22"/>
        <v>#REF!</v>
      </c>
    </row>
    <row r="38" spans="1:8" x14ac:dyDescent="0.4">
      <c r="A38" s="258" t="s">
        <v>14</v>
      </c>
      <c r="B38" s="214"/>
      <c r="C38" s="214"/>
      <c r="D38" s="214"/>
      <c r="E38" s="274">
        <v>165</v>
      </c>
      <c r="F38" s="215"/>
      <c r="G38" s="259"/>
    </row>
    <row r="39" spans="1:8" x14ac:dyDescent="0.4">
      <c r="A39" s="260" t="s">
        <v>21</v>
      </c>
      <c r="B39" s="93" t="e">
        <f t="shared" ref="B39:G39" si="23">B37/B6</f>
        <v>#REF!</v>
      </c>
      <c r="C39" s="93">
        <f t="shared" si="23"/>
        <v>-1.5276752767527543E-2</v>
      </c>
      <c r="D39" s="93">
        <f t="shared" si="23"/>
        <v>6.0744368266405384E-2</v>
      </c>
      <c r="E39" s="93">
        <f t="shared" si="23"/>
        <v>7.6202717841562448E-2</v>
      </c>
      <c r="F39" s="93">
        <f t="shared" si="23"/>
        <v>9.7451324916762963E-2</v>
      </c>
      <c r="G39" s="261" t="e">
        <f t="shared" si="23"/>
        <v>#REF!</v>
      </c>
      <c r="H39" s="217" t="s">
        <v>112</v>
      </c>
    </row>
    <row r="40" spans="1:8" x14ac:dyDescent="0.4">
      <c r="A40" s="254" t="s">
        <v>11</v>
      </c>
      <c r="B40" s="74"/>
      <c r="C40" s="74" t="e">
        <f>C37/B37-1</f>
        <v>#REF!</v>
      </c>
      <c r="D40" s="74">
        <f>D37/C37-1</f>
        <v>-4.3290391841116715</v>
      </c>
      <c r="E40" s="74">
        <f>E37/D37-1</f>
        <v>1.1600798129635628</v>
      </c>
      <c r="F40" s="74">
        <f>F37/E37-1</f>
        <v>0.58777819735144154</v>
      </c>
      <c r="G40" s="262" t="e">
        <f>G37/F37-1</f>
        <v>#REF!</v>
      </c>
    </row>
    <row r="41" spans="1:8" hidden="1" outlineLevel="1" x14ac:dyDescent="0.4">
      <c r="A41" s="263" t="s">
        <v>24</v>
      </c>
      <c r="B41" s="79">
        <v>28</v>
      </c>
      <c r="C41" s="79">
        <v>-7</v>
      </c>
      <c r="D41" s="79">
        <v>-13</v>
      </c>
      <c r="E41" s="79">
        <v>3</v>
      </c>
      <c r="F41" s="79">
        <v>-6</v>
      </c>
      <c r="G41" s="109">
        <v>-5</v>
      </c>
    </row>
    <row r="42" spans="1:8" hidden="1" outlineLevel="1" x14ac:dyDescent="0.4">
      <c r="A42" s="9" t="s">
        <v>25</v>
      </c>
      <c r="B42" s="90"/>
      <c r="C42" s="90"/>
      <c r="D42" s="90"/>
      <c r="E42" s="90"/>
      <c r="F42" s="90"/>
      <c r="G42" s="10"/>
    </row>
    <row r="43" spans="1:8" hidden="1" outlineLevel="1" x14ac:dyDescent="0.4">
      <c r="A43" s="9" t="s">
        <v>26</v>
      </c>
      <c r="B43" s="90"/>
      <c r="C43" s="90"/>
      <c r="D43" s="90"/>
      <c r="E43" s="90"/>
      <c r="F43" s="90"/>
      <c r="G43" s="10"/>
    </row>
    <row r="44" spans="1:8" hidden="1" outlineLevel="1" x14ac:dyDescent="0.4">
      <c r="A44" s="11" t="s">
        <v>27</v>
      </c>
      <c r="B44" s="91">
        <v>-32</v>
      </c>
      <c r="C44" s="89">
        <v>5</v>
      </c>
      <c r="D44" s="89">
        <v>-2</v>
      </c>
      <c r="E44" s="89">
        <v>-10</v>
      </c>
      <c r="F44" s="89">
        <v>-2</v>
      </c>
      <c r="G44" s="8">
        <v>-5</v>
      </c>
    </row>
    <row r="45" spans="1:8" ht="0.75" hidden="1" customHeight="1" outlineLevel="1" x14ac:dyDescent="0.4">
      <c r="A45" s="9" t="s">
        <v>28</v>
      </c>
      <c r="B45" s="90"/>
      <c r="C45" s="90"/>
      <c r="D45" s="90"/>
      <c r="E45" s="90"/>
      <c r="F45" s="90"/>
      <c r="G45" s="10"/>
    </row>
    <row r="46" spans="1:8" hidden="1" outlineLevel="1" x14ac:dyDescent="0.4">
      <c r="A46" s="11" t="s">
        <v>30</v>
      </c>
      <c r="B46" s="89">
        <v>0</v>
      </c>
      <c r="C46" s="89">
        <v>0</v>
      </c>
      <c r="D46" s="89">
        <v>0</v>
      </c>
      <c r="E46" s="89">
        <v>0</v>
      </c>
      <c r="F46" s="89">
        <v>0</v>
      </c>
      <c r="G46" s="8">
        <v>0</v>
      </c>
    </row>
    <row r="47" spans="1:8" ht="17.25" hidden="1" customHeight="1" outlineLevel="1" x14ac:dyDescent="0.4">
      <c r="A47" s="11" t="s">
        <v>31</v>
      </c>
      <c r="B47" s="91" t="e">
        <f t="shared" ref="B47:G47" si="24">B37+B41+B44</f>
        <v>#REF!</v>
      </c>
      <c r="C47" s="91">
        <f t="shared" si="24"/>
        <v>-39.259999999999678</v>
      </c>
      <c r="D47" s="91">
        <f t="shared" si="24"/>
        <v>109.03999999999979</v>
      </c>
      <c r="E47" s="91">
        <f t="shared" si="24"/>
        <v>260.9362999999999</v>
      </c>
      <c r="F47" s="91">
        <f t="shared" si="24"/>
        <v>417.42341541901487</v>
      </c>
      <c r="G47" s="7" t="e">
        <f t="shared" si="24"/>
        <v>#REF!</v>
      </c>
    </row>
    <row r="48" spans="1:8" hidden="1" outlineLevel="1" x14ac:dyDescent="0.4">
      <c r="A48" s="11" t="s">
        <v>32</v>
      </c>
      <c r="B48" s="89">
        <v>97</v>
      </c>
      <c r="C48" s="89">
        <v>19</v>
      </c>
      <c r="D48" s="89">
        <v>30</v>
      </c>
      <c r="E48" s="89">
        <v>121</v>
      </c>
      <c r="F48" s="89">
        <v>214</v>
      </c>
      <c r="G48" s="8">
        <v>160</v>
      </c>
    </row>
    <row r="49" spans="1:7" hidden="1" outlineLevel="1" x14ac:dyDescent="0.4">
      <c r="A49" s="264" t="s">
        <v>33</v>
      </c>
      <c r="B49" s="94" t="e">
        <f>B48/B47</f>
        <v>#REF!</v>
      </c>
      <c r="C49" s="94">
        <f t="shared" ref="C49" si="25">C48/C47</f>
        <v>-0.48395313295975945</v>
      </c>
      <c r="D49" s="94">
        <v>0.22</v>
      </c>
      <c r="E49" s="94">
        <f>22%</f>
        <v>0.22</v>
      </c>
      <c r="F49" s="94">
        <f>22%</f>
        <v>0.22</v>
      </c>
      <c r="G49" s="265">
        <f>22%</f>
        <v>0.22</v>
      </c>
    </row>
    <row r="50" spans="1:7" hidden="1" outlineLevel="1" x14ac:dyDescent="0.4">
      <c r="A50" s="11" t="s">
        <v>34</v>
      </c>
      <c r="B50" s="91">
        <v>379</v>
      </c>
      <c r="C50" s="92">
        <v>81</v>
      </c>
      <c r="D50" s="91">
        <f>D47-D48</f>
        <v>79.039999999999793</v>
      </c>
      <c r="E50" s="91">
        <f>E47-E48</f>
        <v>139.9362999999999</v>
      </c>
      <c r="F50" s="91">
        <f>F47-F48</f>
        <v>203.42341541901487</v>
      </c>
      <c r="G50" s="7" t="e">
        <f>G47-G48</f>
        <v>#REF!</v>
      </c>
    </row>
    <row r="51" spans="1:7" hidden="1" outlineLevel="1" x14ac:dyDescent="0.4">
      <c r="A51" s="11" t="s">
        <v>35</v>
      </c>
      <c r="B51" s="89"/>
      <c r="C51" s="89"/>
      <c r="D51" s="89"/>
      <c r="E51" s="89"/>
      <c r="F51" s="89"/>
      <c r="G51" s="8"/>
    </row>
    <row r="52" spans="1:7" collapsed="1" x14ac:dyDescent="0.4">
      <c r="A52" s="266" t="s">
        <v>36</v>
      </c>
      <c r="B52" s="191" t="e">
        <f>value!#REF!</f>
        <v>#REF!</v>
      </c>
      <c r="C52" s="191">
        <f>value!R42</f>
        <v>-17.489999999999945</v>
      </c>
      <c r="D52" s="191">
        <f>value!S42</f>
        <v>118.18999999999994</v>
      </c>
      <c r="E52" s="191">
        <f>value!T42</f>
        <v>240.0722999999999</v>
      </c>
      <c r="F52" s="191">
        <f>value!U42</f>
        <v>420.77541541901485</v>
      </c>
      <c r="G52" s="251" t="e">
        <f>value!#REF!</f>
        <v>#REF!</v>
      </c>
    </row>
    <row r="53" spans="1:7" x14ac:dyDescent="0.4">
      <c r="A53" s="6" t="s">
        <v>14</v>
      </c>
      <c r="B53" s="88"/>
      <c r="C53" s="88"/>
      <c r="D53" s="88"/>
      <c r="E53" s="216">
        <v>130</v>
      </c>
      <c r="F53" s="216"/>
      <c r="G53" s="267"/>
    </row>
    <row r="54" spans="1:7" x14ac:dyDescent="0.4">
      <c r="A54" s="268" t="s">
        <v>37</v>
      </c>
      <c r="B54" s="95" t="e">
        <f>B52</f>
        <v>#REF!</v>
      </c>
      <c r="C54" s="95">
        <f t="shared" ref="C54:G54" si="26">C52</f>
        <v>-17.489999999999945</v>
      </c>
      <c r="D54" s="95">
        <f t="shared" si="26"/>
        <v>118.18999999999994</v>
      </c>
      <c r="E54" s="95">
        <f t="shared" si="26"/>
        <v>240.0722999999999</v>
      </c>
      <c r="F54" s="95">
        <f t="shared" si="26"/>
        <v>420.77541541901485</v>
      </c>
      <c r="G54" s="269" t="e">
        <f t="shared" si="26"/>
        <v>#REF!</v>
      </c>
    </row>
    <row r="55" spans="1:7" ht="18" thickBot="1" x14ac:dyDescent="0.45">
      <c r="A55" s="270" t="s">
        <v>39</v>
      </c>
      <c r="B55" s="271" t="e">
        <f t="shared" ref="B55:G55" si="27">B54/B6</f>
        <v>#REF!</v>
      </c>
      <c r="C55" s="271">
        <f t="shared" si="27"/>
        <v>-7.170971709717075E-3</v>
      </c>
      <c r="D55" s="271">
        <f t="shared" si="27"/>
        <v>5.7879529872673821E-2</v>
      </c>
      <c r="E55" s="271">
        <f t="shared" si="27"/>
        <v>6.8278026301307179E-2</v>
      </c>
      <c r="F55" s="271">
        <f t="shared" si="27"/>
        <v>9.6386612111129116E-2</v>
      </c>
      <c r="G55" s="272" t="e">
        <f t="shared" si="27"/>
        <v>#REF!</v>
      </c>
    </row>
    <row r="60" spans="1:7" x14ac:dyDescent="0.4">
      <c r="A60" s="12" t="s">
        <v>89</v>
      </c>
      <c r="B60" s="12" t="s">
        <v>90</v>
      </c>
      <c r="C60" s="12"/>
      <c r="D60" s="12"/>
    </row>
    <row r="61" spans="1:7" x14ac:dyDescent="0.4">
      <c r="B61" t="s">
        <v>105</v>
      </c>
    </row>
    <row r="62" spans="1:7" x14ac:dyDescent="0.4">
      <c r="B62" t="s">
        <v>124</v>
      </c>
    </row>
    <row r="63" spans="1:7" x14ac:dyDescent="0.4">
      <c r="B63" t="s">
        <v>120</v>
      </c>
    </row>
    <row r="64" spans="1:7" x14ac:dyDescent="0.4">
      <c r="B64" t="s">
        <v>126</v>
      </c>
    </row>
    <row r="65" spans="1:8" x14ac:dyDescent="0.4">
      <c r="B65" t="s">
        <v>125</v>
      </c>
    </row>
    <row r="67" spans="1:8" x14ac:dyDescent="0.4">
      <c r="A67" s="12" t="s">
        <v>89</v>
      </c>
      <c r="B67" s="12" t="s">
        <v>108</v>
      </c>
      <c r="C67" s="12"/>
      <c r="D67" s="12"/>
      <c r="E67" s="12"/>
      <c r="F67" s="12"/>
      <c r="G67" s="12"/>
      <c r="H67" s="12"/>
    </row>
    <row r="68" spans="1:8" x14ac:dyDescent="0.4">
      <c r="B68" t="s">
        <v>107</v>
      </c>
    </row>
    <row r="69" spans="1:8" x14ac:dyDescent="0.4">
      <c r="B69" t="s">
        <v>106</v>
      </c>
    </row>
    <row r="70" spans="1:8" x14ac:dyDescent="0.4">
      <c r="B70" t="s">
        <v>123</v>
      </c>
    </row>
    <row r="71" spans="1:8" x14ac:dyDescent="0.4">
      <c r="B71" t="s">
        <v>118</v>
      </c>
    </row>
    <row r="72" spans="1:8" x14ac:dyDescent="0.4">
      <c r="B72" t="s">
        <v>114</v>
      </c>
    </row>
    <row r="73" spans="1:8" x14ac:dyDescent="0.4">
      <c r="B73" t="s">
        <v>113</v>
      </c>
    </row>
    <row r="75" spans="1:8" x14ac:dyDescent="0.4">
      <c r="A75" s="12" t="s">
        <v>89</v>
      </c>
      <c r="B75" s="12" t="s">
        <v>109</v>
      </c>
      <c r="C75" s="12"/>
      <c r="D75" s="12"/>
    </row>
    <row r="76" spans="1:8" x14ac:dyDescent="0.4">
      <c r="B76" t="s">
        <v>110</v>
      </c>
    </row>
    <row r="77" spans="1:8" x14ac:dyDescent="0.4">
      <c r="B77" t="s">
        <v>111</v>
      </c>
    </row>
    <row r="78" spans="1:8" x14ac:dyDescent="0.4">
      <c r="B78" t="s">
        <v>121</v>
      </c>
    </row>
    <row r="79" spans="1:8" x14ac:dyDescent="0.4">
      <c r="B79" t="s">
        <v>115</v>
      </c>
    </row>
    <row r="80" spans="1:8" x14ac:dyDescent="0.4">
      <c r="B80" t="s">
        <v>117</v>
      </c>
    </row>
    <row r="81" spans="2:2" x14ac:dyDescent="0.4">
      <c r="B81" t="s">
        <v>116</v>
      </c>
    </row>
    <row r="82" spans="2:2" x14ac:dyDescent="0.4">
      <c r="B82" t="s">
        <v>122</v>
      </c>
    </row>
    <row r="84" spans="2:2" x14ac:dyDescent="0.4">
      <c r="B84" s="131" t="s">
        <v>119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value</vt:lpstr>
      <vt:lpstr>수주 스케쥴</vt:lpstr>
      <vt:lpstr>장비사업부</vt:lpstr>
      <vt:lpstr>산업 및 기업 분석</vt:lpstr>
      <vt:lpstr>연도별value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ANY</cp:lastModifiedBy>
  <cp:lastPrinted>2021-08-21T18:07:22Z</cp:lastPrinted>
  <dcterms:created xsi:type="dcterms:W3CDTF">2020-03-06T04:11:38Z</dcterms:created>
  <dcterms:modified xsi:type="dcterms:W3CDTF">2021-08-21T18:07:35Z</dcterms:modified>
</cp:coreProperties>
</file>