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qww\Desktop\"/>
    </mc:Choice>
  </mc:AlternateContent>
  <xr:revisionPtr revIDLastSave="0" documentId="13_ncr:1_{ED335655-4FEA-4674-BDAA-EABDC49323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value" sheetId="5" r:id="rId1"/>
    <sheet name="수주 스케쥴" sheetId="6" r:id="rId2"/>
    <sheet name="장비사업부" sheetId="4" r:id="rId3"/>
    <sheet name="산업 및 기업 분석" sheetId="1" r:id="rId4"/>
    <sheet name="연도별valu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5" l="1"/>
  <c r="P23" i="5"/>
  <c r="O23" i="5"/>
  <c r="N23" i="5"/>
  <c r="M23" i="5"/>
  <c r="Q22" i="5"/>
  <c r="P22" i="5"/>
  <c r="O22" i="5"/>
  <c r="N22" i="5"/>
  <c r="M22" i="5"/>
  <c r="L23" i="5"/>
  <c r="L22" i="5"/>
  <c r="Q15" i="5"/>
  <c r="P15" i="5"/>
  <c r="O15" i="5"/>
  <c r="N15" i="5"/>
  <c r="L6" i="5"/>
  <c r="B16" i="5"/>
  <c r="S26" i="5"/>
  <c r="R26" i="5"/>
  <c r="S10" i="5"/>
  <c r="R10" i="5"/>
  <c r="S6" i="5"/>
  <c r="R6" i="5"/>
  <c r="Q26" i="5"/>
  <c r="P26" i="5"/>
  <c r="O26" i="5"/>
  <c r="N26" i="5"/>
  <c r="M26" i="5"/>
  <c r="L26" i="5"/>
  <c r="M15" i="5"/>
  <c r="L15" i="5"/>
  <c r="K13" i="5"/>
  <c r="K14" i="5" s="1"/>
  <c r="C13" i="5"/>
  <c r="C14" i="5" s="1"/>
  <c r="D13" i="5"/>
  <c r="D14" i="5" s="1"/>
  <c r="E13" i="5"/>
  <c r="E14" i="5" s="1"/>
  <c r="F13" i="5"/>
  <c r="F14" i="5" s="1"/>
  <c r="G13" i="5"/>
  <c r="G14" i="5" s="1"/>
  <c r="H13" i="5"/>
  <c r="H14" i="5" s="1"/>
  <c r="I13" i="5"/>
  <c r="I14" i="5" s="1"/>
  <c r="J13" i="5"/>
  <c r="J14" i="5" s="1"/>
  <c r="L13" i="5" l="1"/>
  <c r="M6" i="5"/>
  <c r="T6" i="5" s="1"/>
  <c r="S13" i="5"/>
  <c r="L10" i="5"/>
  <c r="T26" i="5"/>
  <c r="T15" i="5"/>
  <c r="U26" i="5"/>
  <c r="N6" i="5" l="1"/>
  <c r="M13" i="5"/>
  <c r="T13" i="5" s="1"/>
  <c r="M10" i="5"/>
  <c r="U15" i="5"/>
  <c r="D9" i="5"/>
  <c r="C9" i="5"/>
  <c r="K17" i="5"/>
  <c r="N13" i="5" l="1"/>
  <c r="N10" i="5" s="1"/>
  <c r="O6" i="5"/>
  <c r="N24" i="5"/>
  <c r="Q24" i="5"/>
  <c r="M24" i="5"/>
  <c r="P24" i="5"/>
  <c r="O24" i="5"/>
  <c r="L24" i="5"/>
  <c r="O13" i="5" l="1"/>
  <c r="O10" i="5" s="1"/>
  <c r="P6" i="5"/>
  <c r="T24" i="5"/>
  <c r="U24" i="5"/>
  <c r="V36" i="5" s="1"/>
  <c r="G11" i="5"/>
  <c r="Q6" i="5" l="1"/>
  <c r="P13" i="5"/>
  <c r="J17" i="5"/>
  <c r="Q13" i="5" l="1"/>
  <c r="U13" i="5" s="1"/>
  <c r="P10" i="5"/>
  <c r="U6" i="5"/>
  <c r="V10" i="5"/>
  <c r="V11" i="5" s="1"/>
  <c r="J19" i="5"/>
  <c r="Q10" i="5" l="1"/>
  <c r="U10" i="5" s="1"/>
  <c r="S14" i="5"/>
  <c r="E9" i="5" l="1"/>
  <c r="J25" i="5"/>
  <c r="J28" i="5" l="1"/>
  <c r="J27" i="5"/>
  <c r="U22" i="5"/>
  <c r="V30" i="5" s="1"/>
  <c r="F8" i="5"/>
  <c r="D12" i="5"/>
  <c r="C12" i="5"/>
  <c r="J8" i="5"/>
  <c r="J30" i="5" l="1"/>
  <c r="J31" i="5" s="1"/>
  <c r="E12" i="5"/>
  <c r="F9" i="5"/>
  <c r="S11" i="5"/>
  <c r="R15" i="5"/>
  <c r="V29" i="6" l="1"/>
  <c r="H2" i="6" l="1"/>
  <c r="H3" i="6" s="1"/>
  <c r="W16" i="6"/>
  <c r="Q16" i="6" l="1"/>
  <c r="P16" i="6"/>
  <c r="O16" i="6"/>
  <c r="M16" i="6"/>
  <c r="K16" i="6"/>
  <c r="J16" i="6"/>
  <c r="I16" i="6"/>
  <c r="H16" i="6"/>
  <c r="F16" i="6"/>
  <c r="E16" i="6"/>
  <c r="D16" i="6"/>
  <c r="C16" i="6"/>
  <c r="V30" i="6"/>
  <c r="V28" i="6"/>
  <c r="V31" i="6" s="1"/>
  <c r="V25" i="6"/>
  <c r="V24" i="6"/>
  <c r="V23" i="6"/>
  <c r="V22" i="6"/>
  <c r="F17" i="6" l="1"/>
  <c r="V26" i="6"/>
  <c r="B3" i="6" s="1"/>
  <c r="N3" i="6" s="1"/>
  <c r="B4" i="6"/>
  <c r="G3" i="6"/>
  <c r="G16" i="6" s="1"/>
  <c r="N4" i="6" l="1"/>
  <c r="N16" i="6"/>
  <c r="J17" i="6"/>
  <c r="R16" i="6" l="1"/>
  <c r="R17" i="6" s="1"/>
  <c r="L16" i="6" l="1"/>
  <c r="N17" i="6" s="1"/>
  <c r="H11" i="5" l="1"/>
  <c r="F11" i="5"/>
  <c r="G12" i="5"/>
  <c r="H12" i="5"/>
  <c r="G8" i="5"/>
  <c r="H8" i="5"/>
  <c r="G9" i="5"/>
  <c r="H9" i="5"/>
  <c r="I9" i="5"/>
  <c r="F12" i="5"/>
  <c r="I16" i="5" l="1"/>
  <c r="I11" i="5"/>
  <c r="I12" i="5"/>
  <c r="I8" i="5"/>
  <c r="Z18" i="8" l="1"/>
  <c r="X18" i="8"/>
  <c r="X17" i="8"/>
  <c r="Y17" i="8" s="1"/>
  <c r="Z17" i="8" s="1"/>
  <c r="W16" i="8"/>
  <c r="X16" i="8" s="1"/>
  <c r="V16" i="8"/>
  <c r="V19" i="8" s="1"/>
  <c r="U16" i="8"/>
  <c r="U19" i="8" s="1"/>
  <c r="T16" i="8"/>
  <c r="T19" i="8" s="1"/>
  <c r="W10" i="8"/>
  <c r="V10" i="8"/>
  <c r="U10" i="8"/>
  <c r="T10" i="8"/>
  <c r="T9" i="8" l="1"/>
  <c r="T12" i="8" s="1"/>
  <c r="U9" i="8"/>
  <c r="V9" i="8"/>
  <c r="V12" i="8" s="1"/>
  <c r="X10" i="8"/>
  <c r="U12" i="8"/>
  <c r="X19" i="8"/>
  <c r="Y16" i="8"/>
  <c r="W19" i="8"/>
  <c r="W9" i="8"/>
  <c r="X9" i="8" l="1"/>
  <c r="W12" i="8"/>
  <c r="Y19" i="8"/>
  <c r="Z16" i="8"/>
  <c r="Z19" i="8" s="1"/>
  <c r="Y9" i="8" l="1"/>
  <c r="X12" i="8"/>
  <c r="Z9" i="8" l="1"/>
  <c r="Z12" i="8" s="1"/>
  <c r="Y12" i="8"/>
  <c r="V17" i="5" l="1"/>
  <c r="E8" i="8" l="1"/>
  <c r="I3" i="8"/>
  <c r="N9" i="8" s="1"/>
  <c r="M9" i="8" l="1"/>
  <c r="N10" i="8" s="1"/>
  <c r="L9" i="8"/>
  <c r="N14" i="8"/>
  <c r="M10" i="8" l="1"/>
  <c r="D6" i="8" l="1"/>
  <c r="G8" i="8" l="1"/>
  <c r="G49" i="8" l="1"/>
  <c r="F49" i="8"/>
  <c r="E49" i="8"/>
  <c r="D33" i="8" l="1"/>
  <c r="D34" i="8" s="1"/>
  <c r="F8" i="8" l="1"/>
  <c r="F9" i="8" s="1"/>
  <c r="I17" i="5"/>
  <c r="AA8" i="5"/>
  <c r="AA13" i="5" s="1"/>
  <c r="Z8" i="5"/>
  <c r="Z13" i="5" s="1"/>
  <c r="I25" i="5" l="1"/>
  <c r="I27" i="5" s="1"/>
  <c r="I19" i="5"/>
  <c r="G9" i="8"/>
  <c r="AA9" i="5"/>
  <c r="U23" i="5" l="1"/>
  <c r="V33" i="5" s="1"/>
  <c r="C16" i="5"/>
  <c r="D16" i="5"/>
  <c r="F16" i="5"/>
  <c r="G16" i="5"/>
  <c r="K16" i="5" s="1"/>
  <c r="O16" i="5" s="1"/>
  <c r="H16" i="5"/>
  <c r="S24" i="5"/>
  <c r="R24" i="5"/>
  <c r="E16" i="5" l="1"/>
  <c r="S23" i="5"/>
  <c r="R23" i="5"/>
  <c r="C33" i="8" l="1"/>
  <c r="S22" i="5"/>
  <c r="R22" i="5"/>
  <c r="T23" i="5" l="1"/>
  <c r="J9" i="5"/>
  <c r="D8" i="8"/>
  <c r="T22" i="5" l="1"/>
  <c r="E29" i="8"/>
  <c r="D16" i="8"/>
  <c r="D11" i="8"/>
  <c r="E9" i="8"/>
  <c r="I28" i="5"/>
  <c r="B13" i="5"/>
  <c r="F17" i="5"/>
  <c r="C35" i="8"/>
  <c r="B35" i="8"/>
  <c r="F25" i="5" l="1"/>
  <c r="F27" i="5" s="1"/>
  <c r="B14" i="5"/>
  <c r="B17" i="5"/>
  <c r="R13" i="5"/>
  <c r="R14" i="5" s="1"/>
  <c r="D29" i="8"/>
  <c r="B33" i="8"/>
  <c r="G29" i="8" l="1"/>
  <c r="F29" i="8"/>
  <c r="G17" i="5"/>
  <c r="H17" i="5"/>
  <c r="H25" i="5" s="1"/>
  <c r="G25" i="5" l="1"/>
  <c r="G27" i="5" s="1"/>
  <c r="S17" i="5"/>
  <c r="H28" i="5"/>
  <c r="H27" i="5"/>
  <c r="S8" i="5"/>
  <c r="B8" i="8"/>
  <c r="B6" i="8"/>
  <c r="B36" i="8" s="1"/>
  <c r="C6" i="8"/>
  <c r="C34" i="8" s="1"/>
  <c r="C37" i="8" s="1"/>
  <c r="S25" i="5"/>
  <c r="S27" i="5" s="1"/>
  <c r="S15" i="5"/>
  <c r="R16" i="5"/>
  <c r="C8" i="8"/>
  <c r="F19" i="5"/>
  <c r="B19" i="5"/>
  <c r="B25" i="5"/>
  <c r="B28" i="5" s="1"/>
  <c r="C17" i="5"/>
  <c r="F20" i="5"/>
  <c r="B20" i="8" l="1"/>
  <c r="B23" i="8" s="1"/>
  <c r="D20" i="8"/>
  <c r="C36" i="8"/>
  <c r="B34" i="8"/>
  <c r="B37" i="8" s="1"/>
  <c r="B47" i="8" s="1"/>
  <c r="B49" i="8" s="1"/>
  <c r="B11" i="8"/>
  <c r="C9" i="8"/>
  <c r="C11" i="8"/>
  <c r="D9" i="8"/>
  <c r="D35" i="8"/>
  <c r="C47" i="8"/>
  <c r="C49" i="8" s="1"/>
  <c r="C39" i="8"/>
  <c r="S16" i="5"/>
  <c r="G19" i="5"/>
  <c r="F28" i="5"/>
  <c r="H19" i="5"/>
  <c r="C19" i="5"/>
  <c r="C25" i="5"/>
  <c r="B27" i="5"/>
  <c r="C21" i="5"/>
  <c r="D17" i="5"/>
  <c r="R17" i="5" s="1"/>
  <c r="G20" i="5"/>
  <c r="G21" i="5"/>
  <c r="I21" i="5"/>
  <c r="H21" i="5"/>
  <c r="E17" i="5"/>
  <c r="E25" i="5" s="1"/>
  <c r="F30" i="5" l="1"/>
  <c r="F31" i="5" s="1"/>
  <c r="E28" i="5"/>
  <c r="E30" i="5" s="1"/>
  <c r="E31" i="5" s="1"/>
  <c r="E27" i="5"/>
  <c r="J16" i="5"/>
  <c r="B14" i="8"/>
  <c r="C29" i="8"/>
  <c r="C16" i="8"/>
  <c r="B16" i="8"/>
  <c r="B29" i="8"/>
  <c r="D23" i="8"/>
  <c r="C40" i="8"/>
  <c r="B39" i="8"/>
  <c r="E20" i="8"/>
  <c r="C20" i="8"/>
  <c r="C21" i="8" s="1"/>
  <c r="D36" i="8"/>
  <c r="D37" i="8"/>
  <c r="H20" i="5"/>
  <c r="D25" i="5"/>
  <c r="D27" i="5" s="1"/>
  <c r="G28" i="5"/>
  <c r="G30" i="5" s="1"/>
  <c r="G31" i="5" s="1"/>
  <c r="D19" i="5"/>
  <c r="C28" i="5"/>
  <c r="C30" i="5" s="1"/>
  <c r="C27" i="5"/>
  <c r="E19" i="5"/>
  <c r="B30" i="5"/>
  <c r="B31" i="5" s="1"/>
  <c r="D21" i="5"/>
  <c r="E21" i="5"/>
  <c r="I20" i="5"/>
  <c r="F21" i="5"/>
  <c r="S28" i="5" l="1"/>
  <c r="C31" i="5"/>
  <c r="C33" i="5" s="1"/>
  <c r="C14" i="8"/>
  <c r="D14" i="8" s="1"/>
  <c r="G35" i="8"/>
  <c r="B33" i="5"/>
  <c r="B27" i="8"/>
  <c r="E21" i="8"/>
  <c r="C23" i="8"/>
  <c r="D21" i="8"/>
  <c r="F20" i="8"/>
  <c r="B12" i="8"/>
  <c r="D47" i="8"/>
  <c r="D50" i="8" s="1"/>
  <c r="D39" i="8"/>
  <c r="D40" i="8"/>
  <c r="G33" i="5"/>
  <c r="I30" i="5"/>
  <c r="I31" i="5" s="1"/>
  <c r="R19" i="5"/>
  <c r="S20" i="5"/>
  <c r="H30" i="5"/>
  <c r="H31" i="5" s="1"/>
  <c r="D28" i="5"/>
  <c r="D30" i="5" s="1"/>
  <c r="D31" i="5" s="1"/>
  <c r="R25" i="5"/>
  <c r="R27" i="5" s="1"/>
  <c r="S30" i="5" l="1"/>
  <c r="R31" i="5"/>
  <c r="Z7" i="5" s="1"/>
  <c r="R30" i="5"/>
  <c r="C27" i="8"/>
  <c r="E27" i="8"/>
  <c r="D27" i="8"/>
  <c r="F21" i="8"/>
  <c r="G20" i="8"/>
  <c r="B24" i="8"/>
  <c r="B28" i="8" s="1"/>
  <c r="C12" i="8"/>
  <c r="B15" i="8"/>
  <c r="B18" i="8"/>
  <c r="B19" i="8" s="1"/>
  <c r="B13" i="8"/>
  <c r="B17" i="8"/>
  <c r="H33" i="5"/>
  <c r="D33" i="5"/>
  <c r="F33" i="5"/>
  <c r="R28" i="5"/>
  <c r="E33" i="5"/>
  <c r="R33" i="5" l="1"/>
  <c r="I33" i="5"/>
  <c r="S31" i="5"/>
  <c r="S33" i="5" s="1"/>
  <c r="J11" i="5"/>
  <c r="J12" i="5"/>
  <c r="C24" i="8"/>
  <c r="C25" i="8" s="1"/>
  <c r="G21" i="8"/>
  <c r="B31" i="8"/>
  <c r="B32" i="8" s="1"/>
  <c r="B26" i="8"/>
  <c r="B30" i="8"/>
  <c r="G6" i="8"/>
  <c r="G23" i="8" s="1"/>
  <c r="D12" i="8"/>
  <c r="D24" i="8"/>
  <c r="C15" i="8"/>
  <c r="C17" i="8"/>
  <c r="C13" i="8"/>
  <c r="C18" i="8"/>
  <c r="C19" i="8" s="1"/>
  <c r="B52" i="8"/>
  <c r="D52" i="8"/>
  <c r="AA7" i="5" l="1"/>
  <c r="G27" i="8"/>
  <c r="C26" i="8"/>
  <c r="C31" i="8"/>
  <c r="C32" i="8" s="1"/>
  <c r="E14" i="8"/>
  <c r="C30" i="8"/>
  <c r="F27" i="8"/>
  <c r="G11" i="8"/>
  <c r="G36" i="8"/>
  <c r="D18" i="8"/>
  <c r="D19" i="8" s="1"/>
  <c r="D13" i="8"/>
  <c r="D15" i="8"/>
  <c r="D17" i="8"/>
  <c r="C52" i="8"/>
  <c r="N8" i="8"/>
  <c r="D54" i="8"/>
  <c r="D55" i="8" s="1"/>
  <c r="L8" i="8"/>
  <c r="B54" i="8"/>
  <c r="B55" i="8" s="1"/>
  <c r="Z12" i="5" l="1"/>
  <c r="Z10" i="5"/>
  <c r="Z14" i="5" s="1"/>
  <c r="AA10" i="5"/>
  <c r="AA14" i="5" s="1"/>
  <c r="AA12" i="5"/>
  <c r="F14" i="8"/>
  <c r="F24" i="8"/>
  <c r="G14" i="8"/>
  <c r="G24" i="8"/>
  <c r="L11" i="8"/>
  <c r="L15" i="8" s="1"/>
  <c r="L13" i="8"/>
  <c r="N13" i="8"/>
  <c r="N11" i="8"/>
  <c r="N15" i="8" s="1"/>
  <c r="M8" i="8"/>
  <c r="C54" i="8"/>
  <c r="C55" i="8" s="1"/>
  <c r="G16" i="8" l="1"/>
  <c r="F12" i="8"/>
  <c r="AA11" i="5"/>
  <c r="G31" i="8"/>
  <c r="G32" i="8" s="1"/>
  <c r="G28" i="8"/>
  <c r="G30" i="8"/>
  <c r="G26" i="8"/>
  <c r="M13" i="8"/>
  <c r="M11" i="8"/>
  <c r="F13" i="8" l="1"/>
  <c r="F15" i="8"/>
  <c r="F18" i="8"/>
  <c r="F19" i="8" s="1"/>
  <c r="S19" i="5" l="1"/>
  <c r="G12" i="8" l="1"/>
  <c r="G13" i="8" l="1"/>
  <c r="G18" i="8"/>
  <c r="G19" i="8" s="1"/>
  <c r="G17" i="8"/>
  <c r="G15" i="8"/>
  <c r="G33" i="8"/>
  <c r="G34" i="8" s="1"/>
  <c r="G37" i="8" s="1"/>
  <c r="G39" i="8" l="1"/>
  <c r="G47" i="8"/>
  <c r="G50" i="8" s="1"/>
  <c r="G52" i="8" l="1"/>
  <c r="G54" i="8" s="1"/>
  <c r="Q8" i="8" s="1"/>
  <c r="G55" i="8" l="1"/>
  <c r="Q11" i="8"/>
  <c r="D25" i="8" l="1"/>
  <c r="D30" i="8"/>
  <c r="D31" i="8"/>
  <c r="D32" i="8" s="1"/>
  <c r="D26" i="8"/>
  <c r="D28" i="8"/>
  <c r="G25" i="8" l="1"/>
  <c r="F31" i="8"/>
  <c r="F32" i="8" s="1"/>
  <c r="F28" i="8"/>
  <c r="F26" i="8"/>
  <c r="F30" i="8"/>
  <c r="Q15" i="8" l="1"/>
  <c r="N12" i="8"/>
  <c r="M12" i="8"/>
  <c r="M15" i="8"/>
  <c r="E24" i="8" l="1"/>
  <c r="E30" i="8" l="1"/>
  <c r="E31" i="8"/>
  <c r="E32" i="8" s="1"/>
  <c r="E28" i="8"/>
  <c r="E25" i="8"/>
  <c r="E26" i="8"/>
  <c r="F25" i="8"/>
  <c r="E12" i="8"/>
  <c r="E13" i="8" l="1"/>
  <c r="E18" i="8"/>
  <c r="E19" i="8" s="1"/>
  <c r="E15" i="8"/>
  <c r="J21" i="5" l="1"/>
  <c r="J20" i="5"/>
  <c r="J33" i="5"/>
  <c r="N8" i="5" l="1"/>
  <c r="K9" i="5" l="1"/>
  <c r="K8" i="5"/>
  <c r="K19" i="5"/>
  <c r="P19" i="5" l="1"/>
  <c r="P17" i="5" s="1"/>
  <c r="Q19" i="5"/>
  <c r="Q17" i="5" s="1"/>
  <c r="L19" i="5"/>
  <c r="L17" i="5" s="1"/>
  <c r="T17" i="5" s="1"/>
  <c r="O19" i="5"/>
  <c r="O17" i="5" s="1"/>
  <c r="N19" i="5"/>
  <c r="N17" i="5" s="1"/>
  <c r="M19" i="5"/>
  <c r="M17" i="5" s="1"/>
  <c r="E35" i="8"/>
  <c r="K11" i="5"/>
  <c r="K12" i="5"/>
  <c r="K21" i="5"/>
  <c r="K25" i="5"/>
  <c r="K20" i="5"/>
  <c r="U17" i="5" l="1"/>
  <c r="K27" i="5"/>
  <c r="V23" i="5"/>
  <c r="F35" i="8"/>
  <c r="O8" i="5" l="1"/>
  <c r="O9" i="5"/>
  <c r="N16" i="5"/>
  <c r="K28" i="5"/>
  <c r="K30" i="5" l="1"/>
  <c r="K31" i="5" s="1"/>
  <c r="K33" i="5" s="1"/>
  <c r="N11" i="5"/>
  <c r="L12" i="5" l="1"/>
  <c r="L11" i="5"/>
  <c r="E16" i="8" l="1"/>
  <c r="E17" i="8" s="1"/>
  <c r="F16" i="8" l="1"/>
  <c r="F17" i="8" s="1"/>
  <c r="O11" i="5" l="1"/>
  <c r="O12" i="5"/>
  <c r="L9" i="5"/>
  <c r="L16" i="5"/>
  <c r="L8" i="5"/>
  <c r="L20" i="5" l="1"/>
  <c r="L25" i="5"/>
  <c r="L21" i="5"/>
  <c r="L27" i="5" l="1"/>
  <c r="L28" i="5"/>
  <c r="L30" i="5" s="1"/>
  <c r="P9" i="5" l="1"/>
  <c r="P8" i="5"/>
  <c r="P16" i="5"/>
  <c r="V13" i="5" l="1"/>
  <c r="N9" i="5"/>
  <c r="M16" i="5"/>
  <c r="M9" i="5"/>
  <c r="M8" i="5"/>
  <c r="M11" i="5" l="1"/>
  <c r="V14" i="5"/>
  <c r="V6" i="5"/>
  <c r="T16" i="5"/>
  <c r="E6" i="8"/>
  <c r="T8" i="5"/>
  <c r="P12" i="5"/>
  <c r="P11" i="5"/>
  <c r="Q8" i="5"/>
  <c r="Q16" i="5"/>
  <c r="Q9" i="5"/>
  <c r="M12" i="5" l="1"/>
  <c r="T10" i="5"/>
  <c r="T14" i="5" s="1"/>
  <c r="N12" i="5"/>
  <c r="Q12" i="5"/>
  <c r="E23" i="8"/>
  <c r="E36" i="8"/>
  <c r="E11" i="8"/>
  <c r="U16" i="5"/>
  <c r="F6" i="8"/>
  <c r="U8" i="5"/>
  <c r="U19" i="5"/>
  <c r="V21" i="5"/>
  <c r="V25" i="5" s="1"/>
  <c r="V24" i="5"/>
  <c r="V8" i="5"/>
  <c r="T11" i="5" l="1"/>
  <c r="E33" i="8"/>
  <c r="E34" i="8" s="1"/>
  <c r="E37" i="8" s="1"/>
  <c r="E40" i="8" s="1"/>
  <c r="Q11" i="5"/>
  <c r="V16" i="5"/>
  <c r="V18" i="5" s="1"/>
  <c r="F36" i="8"/>
  <c r="F11" i="8"/>
  <c r="F23" i="8"/>
  <c r="V27" i="5"/>
  <c r="V28" i="5"/>
  <c r="E39" i="8" l="1"/>
  <c r="E47" i="8"/>
  <c r="E50" i="8" s="1"/>
  <c r="N25" i="5" l="1"/>
  <c r="Q25" i="5"/>
  <c r="Q27" i="5" s="1"/>
  <c r="O25" i="5"/>
  <c r="O27" i="5" s="1"/>
  <c r="P25" i="5"/>
  <c r="P27" i="5" s="1"/>
  <c r="Q21" i="5"/>
  <c r="N20" i="5"/>
  <c r="O21" i="5"/>
  <c r="O20" i="5"/>
  <c r="P20" i="5"/>
  <c r="P21" i="5"/>
  <c r="N27" i="5" l="1"/>
  <c r="U25" i="5"/>
  <c r="N28" i="5"/>
  <c r="P28" i="5"/>
  <c r="P30" i="5" s="1"/>
  <c r="P31" i="5" s="1"/>
  <c r="P33" i="5" s="1"/>
  <c r="Q28" i="5"/>
  <c r="Q30" i="5" s="1"/>
  <c r="Q31" i="5" s="1"/>
  <c r="O28" i="5"/>
  <c r="O30" i="5" s="1"/>
  <c r="O31" i="5" s="1"/>
  <c r="O33" i="5" s="1"/>
  <c r="M21" i="5"/>
  <c r="N21" i="5"/>
  <c r="M25" i="5"/>
  <c r="N30" i="5" l="1"/>
  <c r="U28" i="5"/>
  <c r="U27" i="5"/>
  <c r="M27" i="5"/>
  <c r="T25" i="5"/>
  <c r="T27" i="5" s="1"/>
  <c r="Q20" i="5"/>
  <c r="M20" i="5"/>
  <c r="U30" i="5" l="1"/>
  <c r="F52" i="8" s="1"/>
  <c r="F54" i="8" s="1"/>
  <c r="P8" i="8" s="1"/>
  <c r="P11" i="8" s="1"/>
  <c r="N31" i="5"/>
  <c r="N33" i="5" s="1"/>
  <c r="M28" i="5"/>
  <c r="T19" i="5"/>
  <c r="T20" i="5"/>
  <c r="U20" i="5"/>
  <c r="F55" i="8" l="1"/>
  <c r="M30" i="5"/>
  <c r="T28" i="5"/>
  <c r="Q12" i="8"/>
  <c r="P15" i="8"/>
  <c r="M31" i="5" l="1"/>
  <c r="M33" i="5" s="1"/>
  <c r="Q33" i="5"/>
  <c r="U31" i="5"/>
  <c r="AC7" i="5" l="1"/>
  <c r="AC10" i="5" s="1"/>
  <c r="U33" i="5"/>
  <c r="AC14" i="5" l="1"/>
  <c r="O3" i="5"/>
  <c r="R3" i="5" l="1"/>
  <c r="T3" i="5" s="1"/>
  <c r="M3" i="5"/>
  <c r="F33" i="8" l="1"/>
  <c r="F34" i="8" s="1"/>
  <c r="F37" i="8" s="1"/>
  <c r="U14" i="5"/>
  <c r="V19" i="5"/>
  <c r="U11" i="5"/>
  <c r="F47" i="8" l="1"/>
  <c r="F50" i="8" s="1"/>
  <c r="G40" i="8"/>
  <c r="F40" i="8"/>
  <c r="F39" i="8"/>
  <c r="T30" i="5" l="1"/>
  <c r="L31" i="5"/>
  <c r="L33" i="5" s="1"/>
  <c r="E52" i="8" l="1"/>
  <c r="E54" i="8" s="1"/>
  <c r="E55" i="8" s="1"/>
  <c r="T31" i="5"/>
  <c r="AB7" i="5" s="1"/>
  <c r="AB10" i="5" s="1"/>
  <c r="O8" i="8" l="1"/>
  <c r="O11" i="8" s="1"/>
  <c r="AB6" i="5"/>
  <c r="AB12" i="5" s="1"/>
  <c r="T33" i="5"/>
  <c r="AB11" i="5"/>
  <c r="AB14" i="5"/>
  <c r="AC11" i="5"/>
  <c r="O6" i="8" l="1"/>
  <c r="O13" i="8" s="1"/>
  <c r="AB8" i="5"/>
  <c r="AB9" i="5" s="1"/>
  <c r="AC6" i="5"/>
  <c r="AC12" i="5" s="1"/>
  <c r="L3" i="5" s="1"/>
  <c r="O12" i="8"/>
  <c r="J3" i="8"/>
  <c r="M3" i="8" s="1"/>
  <c r="O15" i="8"/>
  <c r="P12" i="8"/>
  <c r="O9" i="8" l="1"/>
  <c r="P6" i="8"/>
  <c r="P13" i="8" s="1"/>
  <c r="AB13" i="5"/>
  <c r="AC8" i="5"/>
  <c r="K3" i="5" s="1"/>
  <c r="L3" i="8"/>
  <c r="N3" i="8"/>
  <c r="O10" i="8"/>
  <c r="O14" i="8"/>
  <c r="P9" i="8" l="1"/>
  <c r="P14" i="8" s="1"/>
  <c r="Q6" i="8"/>
  <c r="Q13" i="8" s="1"/>
  <c r="AC13" i="5"/>
  <c r="AC9" i="5"/>
  <c r="Q9" i="8" l="1"/>
  <c r="Q14" i="8" s="1"/>
  <c r="P10" i="8"/>
  <c r="Q1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8" authorId="0" shapeId="0" xr:uid="{00000000-0006-0000-0100-000001000000}">
      <text>
        <r>
          <rPr>
            <sz val="11"/>
            <color indexed="81"/>
            <rFont val="돋움"/>
            <family val="3"/>
            <charset val="129"/>
          </rPr>
          <t>증권사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예측치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중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최소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물량을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가정함</t>
        </r>
      </text>
    </comment>
    <comment ref="W14" authorId="0" shapeId="0" xr:uid="{00000000-0006-0000-0100-000002000000}">
      <text>
        <r>
          <rPr>
            <sz val="11"/>
            <color indexed="81"/>
            <rFont val="Tahoma"/>
            <family val="2"/>
          </rPr>
          <t>6.66</t>
        </r>
        <r>
          <rPr>
            <sz val="11"/>
            <color indexed="81"/>
            <rFont val="돋움"/>
            <family val="3"/>
            <charset val="129"/>
          </rPr>
          <t>척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보수적인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추정을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위해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조정</t>
        </r>
      </text>
    </comment>
    <comment ref="M15" authorId="0" shapeId="0" xr:uid="{00000000-0006-0000-0100-000003000000}">
      <text>
        <r>
          <rPr>
            <sz val="10"/>
            <color indexed="81"/>
            <rFont val="Tahoma"/>
            <family val="2"/>
          </rPr>
          <t>SDC</t>
        </r>
        <r>
          <rPr>
            <sz val="10"/>
            <color indexed="81"/>
            <rFont val="돋움"/>
            <family val="3"/>
            <charset val="129"/>
          </rPr>
          <t>이외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고객사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향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매출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연</t>
        </r>
        <r>
          <rPr>
            <sz val="10"/>
            <color indexed="81"/>
            <rFont val="Tahoma"/>
            <family val="2"/>
          </rPr>
          <t xml:space="preserve"> 150</t>
        </r>
        <r>
          <rPr>
            <sz val="10"/>
            <color indexed="81"/>
            <rFont val="돋움"/>
            <family val="3"/>
            <charset val="129"/>
          </rPr>
          <t>억원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균등배분</t>
        </r>
      </text>
    </comment>
    <comment ref="W15" authorId="0" shapeId="0" xr:uid="{00000000-0006-0000-0100-000004000000}">
      <text>
        <r>
          <rPr>
            <sz val="11"/>
            <color indexed="81"/>
            <rFont val="돋움"/>
            <family val="3"/>
            <charset val="129"/>
          </rPr>
          <t>러시아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자국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조선소의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납기일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불확실성으로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국내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조선사에</t>
        </r>
        <r>
          <rPr>
            <sz val="11"/>
            <color indexed="81"/>
            <rFont val="Tahoma"/>
            <family val="2"/>
          </rPr>
          <t xml:space="preserve"> 
</t>
        </r>
        <r>
          <rPr>
            <sz val="11"/>
            <color indexed="81"/>
            <rFont val="돋움"/>
            <family val="3"/>
            <charset val="129"/>
          </rPr>
          <t>발주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것으로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3" authorId="0" shapeId="0" xr:uid="{00000000-0006-0000-0400-000001000000}">
      <text>
        <r>
          <rPr>
            <sz val="9"/>
            <color indexed="81"/>
            <rFont val="돋움"/>
            <family val="3"/>
            <charset val="129"/>
          </rPr>
          <t>식각장비 납품사인 아이씨디가 과거 디스플레이 사이클 당시 per9.2를 받음
당사는 올해부터 습식식각에서 독점적 지위에 새로 올라가는 만큼 per 10배는 충분히 받을 수 있다고 판단.</t>
        </r>
      </text>
    </comment>
    <comment ref="X9" authorId="0" shapeId="0" xr:uid="{00000000-0006-0000-0400-000002000000}">
      <text>
        <r>
          <rPr>
            <sz val="10"/>
            <color indexed="81"/>
            <rFont val="돋움"/>
            <family val="3"/>
            <charset val="129"/>
          </rPr>
          <t>인력충원계획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없음
</t>
        </r>
      </text>
    </comment>
    <comment ref="W12" authorId="0" shapeId="0" xr:uid="{00000000-0006-0000-0400-000003000000}">
      <text>
        <r>
          <rPr>
            <sz val="10"/>
            <color indexed="81"/>
            <rFont val="돋움"/>
            <family val="3"/>
            <charset val="129"/>
          </rPr>
          <t>고정비</t>
        </r>
        <r>
          <rPr>
            <sz val="10"/>
            <color indexed="81"/>
            <rFont val="Tahoma"/>
            <family val="2"/>
          </rPr>
          <t xml:space="preserve"> 90</t>
        </r>
        <r>
          <rPr>
            <sz val="10"/>
            <color indexed="81"/>
            <rFont val="돋움"/>
            <family val="3"/>
            <charset val="129"/>
          </rPr>
          <t>억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수준인것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회사측에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<sst xmlns="http://schemas.openxmlformats.org/spreadsheetml/2006/main" count="318" uniqueCount="188">
  <si>
    <t>판매내용</t>
    <phoneticPr fontId="1" type="noConversion"/>
  </si>
  <si>
    <t>발주처</t>
    <phoneticPr fontId="1" type="noConversion"/>
  </si>
  <si>
    <t>수주금액 (억원)</t>
    <phoneticPr fontId="1" type="noConversion"/>
  </si>
  <si>
    <t>계약일자</t>
    <phoneticPr fontId="1" type="noConversion"/>
  </si>
  <si>
    <t>인도일자</t>
    <phoneticPr fontId="1" type="noConversion"/>
  </si>
  <si>
    <t>기타 특이사항</t>
    <phoneticPr fontId="1" type="noConversion"/>
  </si>
  <si>
    <t>억원</t>
    <phoneticPr fontId="1" type="noConversion"/>
  </si>
  <si>
    <t>2Q19</t>
    <phoneticPr fontId="1" type="noConversion"/>
  </si>
  <si>
    <t>3Q19</t>
    <phoneticPr fontId="1" type="noConversion"/>
  </si>
  <si>
    <t>2020E</t>
    <phoneticPr fontId="1" type="noConversion"/>
  </si>
  <si>
    <t>매출액</t>
    <phoneticPr fontId="1" type="noConversion"/>
  </si>
  <si>
    <t>% YoY</t>
    <phoneticPr fontId="1" type="noConversion"/>
  </si>
  <si>
    <t>% QoQ</t>
    <phoneticPr fontId="1" type="noConversion"/>
  </si>
  <si>
    <t>분기배분</t>
    <phoneticPr fontId="1" type="noConversion"/>
  </si>
  <si>
    <t>컨센</t>
    <phoneticPr fontId="1" type="noConversion"/>
  </si>
  <si>
    <t>매출원가</t>
    <phoneticPr fontId="1" type="noConversion"/>
  </si>
  <si>
    <t>% of sales</t>
    <phoneticPr fontId="1" type="noConversion"/>
  </si>
  <si>
    <t>매출총이익</t>
    <phoneticPr fontId="1" type="noConversion"/>
  </si>
  <si>
    <t>GPM</t>
    <phoneticPr fontId="1" type="noConversion"/>
  </si>
  <si>
    <t>판관비</t>
    <phoneticPr fontId="1" type="noConversion"/>
  </si>
  <si>
    <t>영업이익</t>
    <phoneticPr fontId="1" type="noConversion"/>
  </si>
  <si>
    <t>OPM</t>
    <phoneticPr fontId="1" type="noConversion"/>
  </si>
  <si>
    <t>장비사업</t>
    <phoneticPr fontId="1" type="noConversion"/>
  </si>
  <si>
    <t>부품사업</t>
    <phoneticPr fontId="1" type="noConversion"/>
  </si>
  <si>
    <t>금융손익</t>
    <phoneticPr fontId="1" type="noConversion"/>
  </si>
  <si>
    <t>금융수익</t>
    <phoneticPr fontId="1" type="noConversion"/>
  </si>
  <si>
    <t>금융원가</t>
    <phoneticPr fontId="1" type="noConversion"/>
  </si>
  <si>
    <t>기타손익</t>
    <phoneticPr fontId="1" type="noConversion"/>
  </si>
  <si>
    <t>기타영업외수익</t>
    <phoneticPr fontId="1" type="noConversion"/>
  </si>
  <si>
    <t>관계기업손익</t>
    <phoneticPr fontId="1" type="noConversion"/>
  </si>
  <si>
    <t>세전계속사업이익</t>
    <phoneticPr fontId="1" type="noConversion"/>
  </si>
  <si>
    <t>법인세비용</t>
    <phoneticPr fontId="1" type="noConversion"/>
  </si>
  <si>
    <t>% 법인세율</t>
    <phoneticPr fontId="1" type="noConversion"/>
  </si>
  <si>
    <t>계속사업이익</t>
    <phoneticPr fontId="1" type="noConversion"/>
  </si>
  <si>
    <t>중단사업이익</t>
    <phoneticPr fontId="1" type="noConversion"/>
  </si>
  <si>
    <t>당기순이익</t>
    <phoneticPr fontId="1" type="noConversion"/>
  </si>
  <si>
    <t>지배주주순이익</t>
    <phoneticPr fontId="1" type="noConversion"/>
  </si>
  <si>
    <t>%</t>
    <phoneticPr fontId="1" type="noConversion"/>
  </si>
  <si>
    <t>NPM</t>
    <phoneticPr fontId="1" type="noConversion"/>
  </si>
  <si>
    <t>6월 이후 가동률 90% 수준으로 상승할 것</t>
    <phoneticPr fontId="1" type="noConversion"/>
  </si>
  <si>
    <t>20년 2Q부터 BOE향 수주 나올 것</t>
    <phoneticPr fontId="1" type="noConversion"/>
  </si>
  <si>
    <t>현재 연간 120만대 수준인 폴더블 패널 출하량을 내년 1000만대까지 끌어올리기 위한 (A5) 투자가 일부 포함될 수 있다</t>
    <phoneticPr fontId="1" type="noConversion"/>
  </si>
  <si>
    <t>업계는 아이폰 전체 물량(약 2억 대)을 소화하려면 월 12만~15만 장 수준은 확보해야 한다.</t>
  </si>
  <si>
    <t>2021E</t>
    <phoneticPr fontId="1" type="noConversion"/>
  </si>
  <si>
    <t>2022E</t>
    <phoneticPr fontId="1" type="noConversion"/>
  </si>
  <si>
    <t>납품기간 (월)</t>
    <phoneticPr fontId="1" type="noConversion"/>
  </si>
  <si>
    <t>현재주가</t>
    <phoneticPr fontId="1" type="noConversion"/>
  </si>
  <si>
    <t>PBR</t>
    <phoneticPr fontId="1" type="noConversion"/>
  </si>
  <si>
    <t>ROE</t>
    <phoneticPr fontId="1" type="noConversion"/>
  </si>
  <si>
    <t>PER</t>
    <phoneticPr fontId="1" type="noConversion"/>
  </si>
  <si>
    <t>상장주식수</t>
    <phoneticPr fontId="1" type="noConversion"/>
  </si>
  <si>
    <t>추정 EPS</t>
    <phoneticPr fontId="1" type="noConversion"/>
  </si>
  <si>
    <t>Target PER</t>
    <phoneticPr fontId="1" type="noConversion"/>
  </si>
  <si>
    <t>Target PBR</t>
    <phoneticPr fontId="1" type="noConversion"/>
  </si>
  <si>
    <t>TP</t>
    <phoneticPr fontId="1" type="noConversion"/>
  </si>
  <si>
    <t>Upside</t>
    <phoneticPr fontId="1" type="noConversion"/>
  </si>
  <si>
    <t>Call</t>
    <phoneticPr fontId="1" type="noConversion"/>
  </si>
  <si>
    <t>지배총자본</t>
    <phoneticPr fontId="19" type="noConversion"/>
  </si>
  <si>
    <t>지배순이익</t>
    <phoneticPr fontId="19" type="noConversion"/>
  </si>
  <si>
    <t>BPS</t>
    <phoneticPr fontId="19" type="noConversion"/>
  </si>
  <si>
    <t>EPS</t>
    <phoneticPr fontId="19" type="noConversion"/>
  </si>
  <si>
    <t>ROE</t>
    <phoneticPr fontId="19" type="noConversion"/>
  </si>
  <si>
    <t>PBR</t>
    <phoneticPr fontId="19" type="noConversion"/>
  </si>
  <si>
    <t>PER</t>
    <phoneticPr fontId="19" type="noConversion"/>
  </si>
  <si>
    <t>TP</t>
    <phoneticPr fontId="19" type="noConversion"/>
  </si>
  <si>
    <t>BUY</t>
    <phoneticPr fontId="1" type="noConversion"/>
  </si>
  <si>
    <t>SDC향 수주예상액 추정 근거</t>
    <phoneticPr fontId="1" type="noConversion"/>
  </si>
  <si>
    <t>4Q19</t>
    <phoneticPr fontId="1" type="noConversion"/>
  </si>
  <si>
    <t>고정비</t>
    <phoneticPr fontId="1" type="noConversion"/>
  </si>
  <si>
    <t>변동비</t>
    <phoneticPr fontId="1" type="noConversion"/>
  </si>
  <si>
    <t>1Q20</t>
    <phoneticPr fontId="1" type="noConversion"/>
  </si>
  <si>
    <t>2Q20</t>
    <phoneticPr fontId="1" type="noConversion"/>
  </si>
  <si>
    <t>3Q20</t>
    <phoneticPr fontId="1" type="noConversion"/>
  </si>
  <si>
    <t>4Q20</t>
    <phoneticPr fontId="1" type="noConversion"/>
  </si>
  <si>
    <t>1Q21</t>
    <phoneticPr fontId="1" type="noConversion"/>
  </si>
  <si>
    <t>2Q21</t>
    <phoneticPr fontId="1" type="noConversion"/>
  </si>
  <si>
    <t>3Q21</t>
    <phoneticPr fontId="1" type="noConversion"/>
  </si>
  <si>
    <t>4Q21</t>
    <phoneticPr fontId="1" type="noConversion"/>
  </si>
  <si>
    <t>1Q22</t>
    <phoneticPr fontId="1" type="noConversion"/>
  </si>
  <si>
    <t>2Q22</t>
    <phoneticPr fontId="1" type="noConversion"/>
  </si>
  <si>
    <t>3Q22</t>
    <phoneticPr fontId="1" type="noConversion"/>
  </si>
  <si>
    <t>4Q22</t>
    <phoneticPr fontId="1" type="noConversion"/>
  </si>
  <si>
    <t>수주 금액 억원</t>
    <phoneticPr fontId="1" type="noConversion"/>
  </si>
  <si>
    <t>매출인식</t>
    <phoneticPr fontId="1" type="noConversion"/>
  </si>
  <si>
    <t>20E</t>
    <phoneticPr fontId="1" type="noConversion"/>
  </si>
  <si>
    <t>매출원가율</t>
    <phoneticPr fontId="1" type="noConversion"/>
  </si>
  <si>
    <t>비율</t>
    <phoneticPr fontId="1" type="noConversion"/>
  </si>
  <si>
    <t>비율</t>
    <phoneticPr fontId="1" type="noConversion"/>
  </si>
  <si>
    <t>투자포인트</t>
    <phoneticPr fontId="1" type="noConversion"/>
  </si>
  <si>
    <t>1. 디스플레이 산업 대규모 증설</t>
    <phoneticPr fontId="1" type="noConversion"/>
  </si>
  <si>
    <t>에프엔에스테크</t>
    <phoneticPr fontId="1" type="noConversion"/>
  </si>
  <si>
    <t>083500</t>
    <phoneticPr fontId="1" type="noConversion"/>
  </si>
  <si>
    <t>디스플레이장비</t>
    <phoneticPr fontId="1" type="noConversion"/>
  </si>
  <si>
    <t>단위: 억원</t>
    <phoneticPr fontId="1" type="noConversion"/>
  </si>
  <si>
    <t>매출원가 고정비</t>
    <phoneticPr fontId="1" type="noConversion"/>
  </si>
  <si>
    <t>급여</t>
    <phoneticPr fontId="1" type="noConversion"/>
  </si>
  <si>
    <t>감가상각비</t>
    <phoneticPr fontId="1" type="noConversion"/>
  </si>
  <si>
    <t>무형자산 상각비</t>
    <phoneticPr fontId="1" type="noConversion"/>
  </si>
  <si>
    <t>판관비 고정비</t>
    <phoneticPr fontId="1" type="noConversion"/>
  </si>
  <si>
    <t>%yoy</t>
    <phoneticPr fontId="1" type="noConversion"/>
  </si>
  <si>
    <t>`</t>
    <phoneticPr fontId="1" type="noConversion"/>
  </si>
  <si>
    <t>21E</t>
    <phoneticPr fontId="1" type="noConversion"/>
  </si>
  <si>
    <t>22E</t>
    <phoneticPr fontId="1" type="noConversion"/>
  </si>
  <si>
    <t>삼성디스플레이의 올해 LCD 스크랩(L8라인)에 따른 QD-OLED 투자 가시화</t>
    <phoneticPr fontId="1" type="noConversion"/>
  </si>
  <si>
    <t>또 다른 경쟁사 케이씨텍은 19.12.31 삼성디스플레이가 발주한(L8-1-1) 물량을 수주하지 못함</t>
    <phoneticPr fontId="1" type="noConversion"/>
  </si>
  <si>
    <t>wet 장비에서 주요 경쟁사인 세메스가 wet 장비 사업을 정리하는 것으로 파악</t>
    <phoneticPr fontId="1" type="noConversion"/>
  </si>
  <si>
    <t>디스플레이 wet 장비 시장에서 독점적 지위를 가져갈 것으로 파악</t>
    <phoneticPr fontId="1" type="noConversion"/>
  </si>
  <si>
    <t>부품 사업부의 반도체시장 진출</t>
    <phoneticPr fontId="1" type="noConversion"/>
  </si>
  <si>
    <t xml:space="preserve">반도체 공정상 물을 사용할 때 초고순도의 물을 사용해야 하는데 </t>
    <phoneticPr fontId="1" type="noConversion"/>
  </si>
  <si>
    <t>물이 UV램프를 통과하면 초고순도의 물이 됨</t>
    <phoneticPr fontId="1" type="noConversion"/>
  </si>
  <si>
    <t>가이던스 13%</t>
    <phoneticPr fontId="1" type="noConversion"/>
  </si>
  <si>
    <t>A4(L7-2)전환, A5라인 증설 시  과거 A4(L7-1라인)전환 시 나왔던 15K당 수주액이 클 가능성이 높음</t>
    <phoneticPr fontId="1" type="noConversion"/>
  </si>
  <si>
    <t>건식식각과 습식식각 장단점이 있지만 공정에서 식각을 여러번 하기 때문에 두 장비가 모두 사용됨 (건식식각 납품회사 아이씨디와 크로스체크)</t>
    <phoneticPr fontId="1" type="noConversion"/>
  </si>
  <si>
    <t>18년 80억, 19년 90억</t>
    <phoneticPr fontId="1" type="noConversion"/>
  </si>
  <si>
    <t>올해 더 늘어날 수 있을까? 비슷한 수준일 것으로 판단</t>
    <phoneticPr fontId="1" type="noConversion"/>
  </si>
  <si>
    <t>삼성전자 수요는 연 200억원 수준으로 시장규모가 크진 않음/ 전체 시장규모 500억</t>
    <phoneticPr fontId="1" type="noConversion"/>
  </si>
  <si>
    <t>하지만 세메스의 wet장비 영업중단으로 습식식각 부분에서도 독점이 예상됨</t>
    <phoneticPr fontId="1" type="noConversion"/>
  </si>
  <si>
    <t>UV램프</t>
    <phoneticPr fontId="1" type="noConversion"/>
  </si>
  <si>
    <t>아이폰12 전 모델 OLED 적용 예정, 아이패드/맥북 oled 채택 가능성 높아지고, 애플이 22년에 폴더블 폰을 출시할 경우 2022년부터 공급부족 예상됨</t>
    <phoneticPr fontId="1" type="noConversion"/>
  </si>
  <si>
    <t xml:space="preserve">소모품으로 포토사이언스(일본)가 독점했으나 공급 이원화가 진행중 </t>
    <phoneticPr fontId="1" type="noConversion"/>
  </si>
  <si>
    <t>하이닉스, LG전자쪽에도 컨택중/ 가시적인 성과는 아직</t>
    <phoneticPr fontId="1" type="noConversion"/>
  </si>
  <si>
    <t>기존 후공정세정장비, 박리 장비는 90% 이상 점유율을 갖고 있었으나, 전공정 세정장비와 습식식각의 경우 세메스가 90% 독점</t>
    <phoneticPr fontId="1" type="noConversion"/>
  </si>
  <si>
    <t>L7-2라인 스크랩 후 중소형 OLED A4 라인으로 전환예정 (4분기 예상)</t>
    <phoneticPr fontId="1" type="noConversion"/>
  </si>
  <si>
    <t>따라서 4Q20부터 A4-2를 시작으로 21년~22년 A5 1~4라인 장비발주 예상</t>
    <phoneticPr fontId="1" type="noConversion"/>
  </si>
  <si>
    <t>BOE와 CSOT의 폴더블 패널 품질이 너무 낮아 올해 하반기부터 화웨이(15만대), 샤오미(20만대),  모토로라(20만대) SDC에 물량 요청</t>
    <phoneticPr fontId="1" type="noConversion"/>
  </si>
  <si>
    <t>동성화인텍</t>
    <phoneticPr fontId="1" type="noConversion"/>
  </si>
  <si>
    <t>19년 말 수주잔고</t>
    <phoneticPr fontId="1" type="noConversion"/>
  </si>
  <si>
    <t>1척당 157억</t>
    <phoneticPr fontId="1" type="noConversion"/>
  </si>
  <si>
    <t>20년 수주 예정</t>
    <phoneticPr fontId="1" type="noConversion"/>
  </si>
  <si>
    <t>21년 수주 예정</t>
    <phoneticPr fontId="1" type="noConversion"/>
  </si>
  <si>
    <t>전방 미발주</t>
    <phoneticPr fontId="1" type="noConversion"/>
  </si>
  <si>
    <t>30척</t>
    <phoneticPr fontId="1" type="noConversion"/>
  </si>
  <si>
    <t>모잠비크</t>
    <phoneticPr fontId="1" type="noConversion"/>
  </si>
  <si>
    <t>삼성중공업</t>
    <phoneticPr fontId="1" type="noConversion"/>
  </si>
  <si>
    <t>8척</t>
    <phoneticPr fontId="1" type="noConversion"/>
  </si>
  <si>
    <t>현대중공업</t>
    <phoneticPr fontId="1" type="noConversion"/>
  </si>
  <si>
    <t>캐나다 LNG</t>
    <phoneticPr fontId="1" type="noConversion"/>
  </si>
  <si>
    <t>8대</t>
    <phoneticPr fontId="1" type="noConversion"/>
  </si>
  <si>
    <t>카타르 노스필드</t>
    <phoneticPr fontId="1" type="noConversion"/>
  </si>
  <si>
    <t>삼중+현중</t>
    <phoneticPr fontId="1" type="noConversion"/>
  </si>
  <si>
    <t>26척</t>
    <phoneticPr fontId="1" type="noConversion"/>
  </si>
  <si>
    <t>카타르 골든패스</t>
    <phoneticPr fontId="1" type="noConversion"/>
  </si>
  <si>
    <t>12척</t>
    <phoneticPr fontId="1" type="noConversion"/>
  </si>
  <si>
    <t>러시아 노바텍</t>
    <phoneticPr fontId="1" type="noConversion"/>
  </si>
  <si>
    <t>6척 예상</t>
    <phoneticPr fontId="1" type="noConversion"/>
  </si>
  <si>
    <t>추가 10대 물량 나오는데 올해 숏리스트 나오는 수준/ 물량 포함 x</t>
    <phoneticPr fontId="1" type="noConversion"/>
  </si>
  <si>
    <t>프로젝트</t>
    <phoneticPr fontId="1" type="noConversion"/>
  </si>
  <si>
    <t>총 선박 주문 물량</t>
    <phoneticPr fontId="1" type="noConversion"/>
  </si>
  <si>
    <t>LNG선 수주 예상 기업</t>
    <phoneticPr fontId="1" type="noConversion"/>
  </si>
  <si>
    <t>상태</t>
    <phoneticPr fontId="1" type="noConversion"/>
  </si>
  <si>
    <t>본계약 예상년도</t>
    <phoneticPr fontId="1" type="noConversion"/>
  </si>
  <si>
    <t>모잠비크(Total)</t>
    <phoneticPr fontId="1" type="noConversion"/>
  </si>
  <si>
    <t>LOI</t>
    <phoneticPr fontId="1" type="noConversion"/>
  </si>
  <si>
    <t>캐나다LNG</t>
    <phoneticPr fontId="1" type="noConversion"/>
  </si>
  <si>
    <t>산둥중화조선</t>
    <phoneticPr fontId="1" type="noConversion"/>
  </si>
  <si>
    <t>슬롯예약 확정</t>
    <phoneticPr fontId="1" type="noConversion"/>
  </si>
  <si>
    <t>6월 슬롯예약 예상</t>
    <phoneticPr fontId="1" type="noConversion"/>
  </si>
  <si>
    <t>대우조선해양</t>
    <phoneticPr fontId="1" type="noConversion"/>
  </si>
  <si>
    <t>수주 예상 물량 (척)</t>
    <phoneticPr fontId="1" type="noConversion"/>
  </si>
  <si>
    <t>LNG플랜트 건설중</t>
    <phoneticPr fontId="1" type="noConversion"/>
  </si>
  <si>
    <t>삼중+현중 물량 총합</t>
    <phoneticPr fontId="1" type="noConversion"/>
  </si>
  <si>
    <t>보냉자재</t>
    <phoneticPr fontId="1" type="noConversion"/>
  </si>
  <si>
    <t>현대삼호중공업</t>
    <phoneticPr fontId="1" type="noConversion"/>
  </si>
  <si>
    <t>판매수수료</t>
    <phoneticPr fontId="1" type="noConversion"/>
  </si>
  <si>
    <t>3Q21E</t>
    <phoneticPr fontId="1" type="noConversion"/>
  </si>
  <si>
    <t>4Q21E</t>
    <phoneticPr fontId="1" type="noConversion"/>
  </si>
  <si>
    <t>`</t>
    <phoneticPr fontId="1" type="noConversion"/>
  </si>
  <si>
    <t>1Q19</t>
    <phoneticPr fontId="1" type="noConversion"/>
  </si>
  <si>
    <t>1Q22E</t>
    <phoneticPr fontId="1" type="noConversion"/>
  </si>
  <si>
    <t>2Q22E</t>
    <phoneticPr fontId="1" type="noConversion"/>
  </si>
  <si>
    <t>3Q22E</t>
    <phoneticPr fontId="1" type="noConversion"/>
  </si>
  <si>
    <t>4Q22E</t>
    <phoneticPr fontId="1" type="noConversion"/>
  </si>
  <si>
    <t>화학</t>
    <phoneticPr fontId="1" type="noConversion"/>
  </si>
  <si>
    <t>bps=자본/발행주식수</t>
    <phoneticPr fontId="1" type="noConversion"/>
  </si>
  <si>
    <t>eps=당기순이익/발행주식수</t>
    <phoneticPr fontId="1" type="noConversion"/>
  </si>
  <si>
    <t>roe=당기순이익/자기자본</t>
    <phoneticPr fontId="1" type="noConversion"/>
  </si>
  <si>
    <t>pbr=주가/bps</t>
    <phoneticPr fontId="1" type="noConversion"/>
  </si>
  <si>
    <t>per=주가/eps</t>
    <phoneticPr fontId="1" type="noConversion"/>
  </si>
  <si>
    <t>송원산업</t>
    <phoneticPr fontId="1" type="noConversion"/>
  </si>
  <si>
    <t>004430</t>
    <phoneticPr fontId="1" type="noConversion"/>
  </si>
  <si>
    <t>20년말 수주잔고</t>
    <phoneticPr fontId="1" type="noConversion"/>
  </si>
  <si>
    <t>22년 수주 예정</t>
    <phoneticPr fontId="1" type="noConversion"/>
  </si>
  <si>
    <t>1. NCC는 2020년말부터 2023년까지 연간 6~7%의 증설이 계획되어 있다.</t>
    <phoneticPr fontId="19" type="noConversion"/>
  </si>
  <si>
    <t>당사는 석유화학 업체이므로 향후 2~3년간 판매량과 마진이 개선될 예정이다.</t>
    <phoneticPr fontId="19" type="noConversion"/>
  </si>
  <si>
    <t>경쟁사 바스프의 DTBP 부족, 중국의 폐쇄 등으로 산화방지제가 부족한 상황이다.</t>
  </si>
  <si>
    <t>3. 경쟁사의 가동이 어려운 상황이다.</t>
    <phoneticPr fontId="19" type="noConversion"/>
  </si>
  <si>
    <t>2. 유가 하향안정화로 인한 페놀 가격 안정과 플라스틱 산화방지제의 호항 지속이 기대된다.</t>
    <phoneticPr fontId="19" type="noConversion"/>
  </si>
  <si>
    <t>0.1%씩 성장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</si>
</sst>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#,##0.0_ ;[Red]\-#,##0.0\ "/>
    <numFmt numFmtId="177" formatCode="#,##0_ ;[Red]\-#,##0\ "/>
    <numFmt numFmtId="178" formatCode="0.0%"/>
    <numFmt numFmtId="179" formatCode="#,##0_ "/>
    <numFmt numFmtId="180" formatCode="0.00_ "/>
    <numFmt numFmtId="181" formatCode="#,##0.00_);[Red]\(#,##0.00\)"/>
    <numFmt numFmtId="182" formatCode="0.0_);[Red]\(0.0\)"/>
    <numFmt numFmtId="183" formatCode="0_ ;[Red]\-0\ "/>
    <numFmt numFmtId="184" formatCode="_-* #,##0.0_-;\-* #,##0.0_-;_-* &quot;-&quot;_-;_-@_-"/>
    <numFmt numFmtId="185" formatCode="0_ "/>
    <numFmt numFmtId="186" formatCode="#,##0;[Red]#,##0"/>
    <numFmt numFmtId="187" formatCode="#,##0.00_ ;[Red]\-#,##0.00\ 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D3D3D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sz val="10"/>
      <color rgb="FF00206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rgb="FF1E2022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9"/>
      <name val="맑은 고딕"/>
      <family val="3"/>
      <charset val="129"/>
      <scheme val="major"/>
    </font>
    <font>
      <b/>
      <i/>
      <sz val="9"/>
      <name val="맑은 고딕"/>
      <family val="3"/>
      <charset val="129"/>
      <scheme val="major"/>
    </font>
    <font>
      <i/>
      <sz val="9"/>
      <color theme="1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9"/>
      <name val="맑은 고딕"/>
      <family val="3"/>
      <charset val="129"/>
      <scheme val="maj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0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Down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ck">
        <color indexed="64"/>
      </left>
      <right style="thin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thin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/>
      <bottom style="double">
        <color indexed="64"/>
      </bottom>
      <diagonal/>
    </border>
    <border>
      <left style="thin">
        <color theme="0" tint="-0.249977111117893"/>
      </left>
      <right style="medium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1" tint="4.9989318521683403E-2"/>
      </right>
      <top/>
      <bottom/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indexed="64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/>
      <bottom/>
      <diagonal/>
    </border>
    <border>
      <left style="medium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/>
      <diagonal/>
    </border>
    <border>
      <left style="thick">
        <color indexed="64"/>
      </left>
      <right style="thin">
        <color theme="1" tint="4.9989318521683403E-2"/>
      </right>
      <top/>
      <bottom/>
      <diagonal/>
    </border>
    <border>
      <left style="thick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/>
      <right style="thin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4.9989318521683403E-2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double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auto="1"/>
      </top>
      <bottom style="double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double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499984740745262"/>
      </top>
      <bottom/>
      <diagonal/>
    </border>
    <border>
      <left/>
      <right style="thin">
        <color theme="1" tint="4.9989318521683403E-2"/>
      </right>
      <top style="thin">
        <color theme="0" tint="-0.499984740745262"/>
      </top>
      <bottom/>
      <diagonal/>
    </border>
    <border>
      <left style="thick">
        <color indexed="64"/>
      </left>
      <right style="thin">
        <color indexed="64"/>
      </right>
      <top/>
      <bottom style="thin">
        <color theme="1" tint="4.9989318521683403E-2"/>
      </bottom>
      <diagonal/>
    </border>
    <border>
      <left style="thin">
        <color indexed="64"/>
      </left>
      <right style="thick">
        <color indexed="64"/>
      </right>
      <top/>
      <bottom style="thin">
        <color theme="1" tint="4.9989318521683403E-2"/>
      </bottom>
      <diagonal/>
    </border>
    <border>
      <left/>
      <right style="thin">
        <color indexed="64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indexed="64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249977111117893"/>
      </top>
      <bottom/>
      <diagonal/>
    </border>
    <border>
      <left style="thin">
        <color theme="1" tint="4.9989318521683403E-2"/>
      </left>
      <right style="thick">
        <color theme="1" tint="4.9989318521683403E-2"/>
      </right>
      <top/>
      <bottom/>
      <diagonal/>
    </border>
    <border>
      <left/>
      <right style="thick">
        <color theme="1" tint="4.9989318521683403E-2"/>
      </right>
      <top style="thin">
        <color theme="0" tint="-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ck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ck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ck">
        <color theme="1" tint="4.9989318521683403E-2"/>
      </left>
      <right style="thin">
        <color theme="1" tint="4.9989318521683403E-2"/>
      </right>
      <top style="thin">
        <color theme="0" tint="-0.499984740745262"/>
      </top>
      <bottom/>
      <diagonal/>
    </border>
    <border>
      <left style="thick">
        <color theme="1" tint="4.9989318521683403E-2"/>
      </left>
      <right style="thin">
        <color theme="1" tint="4.9989318521683403E-2"/>
      </right>
      <top/>
      <bottom/>
      <diagonal/>
    </border>
    <border>
      <left style="thick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ck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theme="1" tint="4.9989318521683403E-2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1" tint="4.9989318521683403E-2"/>
      </top>
      <bottom/>
      <diagonal/>
    </border>
    <border>
      <left style="thin">
        <color theme="0" tint="-0.249977111117893"/>
      </left>
      <right style="medium">
        <color theme="1" tint="4.9989318521683403E-2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0" tint="-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 tint="-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ck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715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7" fontId="5" fillId="3" borderId="9" xfId="0" applyNumberFormat="1" applyFont="1" applyFill="1" applyBorder="1" applyAlignment="1">
      <alignment horizontal="right" vertical="center"/>
    </xf>
    <xf numFmtId="0" fontId="9" fillId="7" borderId="13" xfId="0" applyFont="1" applyFill="1" applyBorder="1">
      <alignment vertical="center"/>
    </xf>
    <xf numFmtId="177" fontId="7" fillId="7" borderId="14" xfId="0" applyNumberFormat="1" applyFont="1" applyFill="1" applyBorder="1">
      <alignment vertical="center"/>
    </xf>
    <xf numFmtId="177" fontId="6" fillId="7" borderId="14" xfId="0" applyNumberFormat="1" applyFont="1" applyFill="1" applyBorder="1">
      <alignment vertical="center"/>
    </xf>
    <xf numFmtId="0" fontId="7" fillId="2" borderId="13" xfId="0" applyFont="1" applyFill="1" applyBorder="1">
      <alignment vertical="center"/>
    </xf>
    <xf numFmtId="177" fontId="6" fillId="2" borderId="14" xfId="0" applyNumberFormat="1" applyFont="1" applyFill="1" applyBorder="1">
      <alignment vertical="center"/>
    </xf>
    <xf numFmtId="0" fontId="7" fillId="7" borderId="13" xfId="0" applyFont="1" applyFill="1" applyBorder="1">
      <alignment vertical="center"/>
    </xf>
    <xf numFmtId="0" fontId="0" fillId="3" borderId="0" xfId="0" applyFill="1">
      <alignment vertical="center"/>
    </xf>
    <xf numFmtId="1" fontId="0" fillId="0" borderId="0" xfId="0" applyNumberFormat="1">
      <alignment vertical="center"/>
    </xf>
    <xf numFmtId="0" fontId="14" fillId="0" borderId="0" xfId="0" applyFont="1">
      <alignment vertical="center"/>
    </xf>
    <xf numFmtId="0" fontId="0" fillId="0" borderId="1" xfId="0" applyBorder="1">
      <alignment vertical="center"/>
    </xf>
    <xf numFmtId="0" fontId="0" fillId="3" borderId="4" xfId="0" applyFill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4" fontId="5" fillId="0" borderId="21" xfId="0" applyNumberFormat="1" applyFont="1" applyBorder="1" applyAlignment="1">
      <alignment horizontal="center" vertical="center"/>
    </xf>
    <xf numFmtId="177" fontId="5" fillId="0" borderId="22" xfId="0" applyNumberFormat="1" applyFont="1" applyBorder="1" applyAlignment="1">
      <alignment horizontal="center" vertical="center"/>
    </xf>
    <xf numFmtId="179" fontId="5" fillId="4" borderId="21" xfId="0" applyNumberFormat="1" applyFont="1" applyFill="1" applyBorder="1" applyAlignment="1">
      <alignment horizontal="center" vertical="center"/>
    </xf>
    <xf numFmtId="180" fontId="5" fillId="4" borderId="21" xfId="0" applyNumberFormat="1" applyFont="1" applyFill="1" applyBorder="1" applyAlignment="1">
      <alignment horizontal="center" vertical="center"/>
    </xf>
    <xf numFmtId="177" fontId="5" fillId="4" borderId="22" xfId="0" applyNumberFormat="1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5" fillId="7" borderId="0" xfId="0" applyFont="1" applyFill="1">
      <alignment vertical="center"/>
    </xf>
    <xf numFmtId="0" fontId="16" fillId="7" borderId="14" xfId="0" applyFont="1" applyFill="1" applyBorder="1">
      <alignment vertical="center"/>
    </xf>
    <xf numFmtId="0" fontId="17" fillId="7" borderId="14" xfId="0" quotePrefix="1" applyFont="1" applyFill="1" applyBorder="1" applyAlignment="1">
      <alignment horizontal="left" vertical="center"/>
    </xf>
    <xf numFmtId="0" fontId="17" fillId="7" borderId="14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177" fontId="18" fillId="0" borderId="9" xfId="0" applyNumberFormat="1" applyFont="1" applyBorder="1" applyAlignment="1">
      <alignment horizontal="center" vertical="center"/>
    </xf>
    <xf numFmtId="3" fontId="18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9" fontId="21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9" fontId="20" fillId="6" borderId="9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10" fontId="7" fillId="0" borderId="21" xfId="0" applyNumberFormat="1" applyFont="1" applyBorder="1">
      <alignment vertical="center"/>
    </xf>
    <xf numFmtId="179" fontId="20" fillId="6" borderId="27" xfId="0" applyNumberFormat="1" applyFont="1" applyFill="1" applyBorder="1" applyAlignment="1">
      <alignment horizontal="center" vertical="center"/>
    </xf>
    <xf numFmtId="181" fontId="24" fillId="0" borderId="3" xfId="0" applyNumberFormat="1" applyFont="1" applyBorder="1" applyAlignment="1">
      <alignment horizontal="center" vertical="center"/>
    </xf>
    <xf numFmtId="182" fontId="20" fillId="0" borderId="1" xfId="0" applyNumberFormat="1" applyFont="1" applyBorder="1" applyAlignment="1">
      <alignment horizontal="center" vertical="center"/>
    </xf>
    <xf numFmtId="179" fontId="18" fillId="0" borderId="25" xfId="0" applyNumberFormat="1" applyFont="1" applyBorder="1" applyAlignment="1">
      <alignment horizontal="center" vertical="center"/>
    </xf>
    <xf numFmtId="9" fontId="21" fillId="2" borderId="0" xfId="0" applyNumberFormat="1" applyFont="1" applyFill="1" applyBorder="1" applyAlignment="1">
      <alignment horizontal="center" vertical="center"/>
    </xf>
    <xf numFmtId="179" fontId="18" fillId="0" borderId="0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82" fontId="18" fillId="0" borderId="1" xfId="0" applyNumberFormat="1" applyFont="1" applyBorder="1" applyAlignment="1">
      <alignment horizontal="center" vertical="center"/>
    </xf>
    <xf numFmtId="181" fontId="23" fillId="0" borderId="0" xfId="0" applyNumberFormat="1" applyFont="1" applyBorder="1" applyAlignment="1">
      <alignment horizontal="center" vertical="center"/>
    </xf>
    <xf numFmtId="9" fontId="21" fillId="0" borderId="0" xfId="0" applyNumberFormat="1" applyFont="1" applyFill="1" applyAlignment="1">
      <alignment horizontal="center" vertical="center"/>
    </xf>
    <xf numFmtId="9" fontId="22" fillId="0" borderId="0" xfId="0" applyNumberFormat="1" applyFont="1" applyFill="1" applyAlignment="1">
      <alignment horizontal="center" vertical="center"/>
    </xf>
    <xf numFmtId="9" fontId="22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9" fontId="7" fillId="0" borderId="0" xfId="1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0" fontId="26" fillId="0" borderId="0" xfId="0" applyFont="1">
      <alignment vertical="center"/>
    </xf>
    <xf numFmtId="0" fontId="26" fillId="0" borderId="33" xfId="0" applyFont="1" applyBorder="1">
      <alignment vertical="center"/>
    </xf>
    <xf numFmtId="0" fontId="25" fillId="0" borderId="26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178" fontId="6" fillId="5" borderId="0" xfId="0" applyNumberFormat="1" applyFont="1" applyFill="1" applyBorder="1">
      <alignment vertical="center"/>
    </xf>
    <xf numFmtId="178" fontId="6" fillId="0" borderId="0" xfId="0" applyNumberFormat="1" applyFont="1" applyFill="1" applyBorder="1">
      <alignment vertical="center"/>
    </xf>
    <xf numFmtId="178" fontId="7" fillId="0" borderId="0" xfId="0" applyNumberFormat="1" applyFont="1" applyBorder="1" applyAlignment="1">
      <alignment horizontal="right" vertical="center"/>
    </xf>
    <xf numFmtId="9" fontId="10" fillId="0" borderId="0" xfId="1" applyFont="1" applyBorder="1">
      <alignment vertical="center"/>
    </xf>
    <xf numFmtId="9" fontId="7" fillId="0" borderId="0" xfId="0" applyNumberFormat="1" applyFont="1" applyBorder="1">
      <alignment vertical="center"/>
    </xf>
    <xf numFmtId="0" fontId="0" fillId="7" borderId="0" xfId="0" applyFill="1" applyBorder="1">
      <alignment vertical="center"/>
    </xf>
    <xf numFmtId="177" fontId="6" fillId="0" borderId="0" xfId="0" applyNumberFormat="1" applyFont="1" applyFill="1" applyBorder="1">
      <alignment vertical="center"/>
    </xf>
    <xf numFmtId="183" fontId="7" fillId="0" borderId="0" xfId="0" applyNumberFormat="1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179" fontId="18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right" vertical="center"/>
    </xf>
    <xf numFmtId="9" fontId="10" fillId="0" borderId="0" xfId="1" applyFont="1" applyFill="1" applyBorder="1" applyAlignment="1">
      <alignment horizontal="right" vertical="center"/>
    </xf>
    <xf numFmtId="177" fontId="10" fillId="0" borderId="9" xfId="0" applyNumberFormat="1" applyFont="1" applyBorder="1">
      <alignment vertical="center"/>
    </xf>
    <xf numFmtId="177" fontId="10" fillId="7" borderId="0" xfId="0" applyNumberFormat="1" applyFont="1" applyFill="1" applyBorder="1">
      <alignment vertical="center"/>
    </xf>
    <xf numFmtId="177" fontId="6" fillId="7" borderId="0" xfId="0" applyNumberFormat="1" applyFont="1" applyFill="1" applyBorder="1">
      <alignment vertical="center"/>
    </xf>
    <xf numFmtId="177" fontId="6" fillId="2" borderId="0" xfId="0" applyNumberFormat="1" applyFont="1" applyFill="1" applyBorder="1">
      <alignment vertical="center"/>
    </xf>
    <xf numFmtId="177" fontId="7" fillId="7" borderId="0" xfId="0" applyNumberFormat="1" applyFont="1" applyFill="1" applyBorder="1">
      <alignment vertical="center"/>
    </xf>
    <xf numFmtId="176" fontId="7" fillId="7" borderId="0" xfId="0" applyNumberFormat="1" applyFont="1" applyFill="1" applyBorder="1">
      <alignment vertical="center"/>
    </xf>
    <xf numFmtId="178" fontId="9" fillId="6" borderId="0" xfId="0" applyNumberFormat="1" applyFont="1" applyFill="1" applyBorder="1">
      <alignment vertical="center"/>
    </xf>
    <xf numFmtId="178" fontId="5" fillId="0" borderId="0" xfId="0" applyNumberFormat="1" applyFont="1" applyBorder="1" applyAlignment="1">
      <alignment horizontal="right" vertical="center"/>
    </xf>
    <xf numFmtId="177" fontId="12" fillId="9" borderId="0" xfId="0" applyNumberFormat="1" applyFont="1" applyFill="1" applyBorder="1">
      <alignment vertical="center"/>
    </xf>
    <xf numFmtId="9" fontId="9" fillId="0" borderId="9" xfId="0" applyNumberFormat="1" applyFont="1" applyFill="1" applyBorder="1">
      <alignment vertical="center"/>
    </xf>
    <xf numFmtId="183" fontId="6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Fill="1" applyBorder="1" applyAlignment="1">
      <alignment horizontal="right" vertical="center"/>
    </xf>
    <xf numFmtId="9" fontId="6" fillId="5" borderId="0" xfId="1" applyFont="1" applyFill="1" applyBorder="1">
      <alignment vertical="center"/>
    </xf>
    <xf numFmtId="9" fontId="6" fillId="0" borderId="0" xfId="1" applyFont="1" applyFill="1" applyBorder="1">
      <alignment vertical="center"/>
    </xf>
    <xf numFmtId="9" fontId="7" fillId="0" borderId="0" xfId="1" applyFont="1" applyFill="1" applyBorder="1">
      <alignment vertical="center"/>
    </xf>
    <xf numFmtId="9" fontId="0" fillId="0" borderId="0" xfId="0" applyNumberFormat="1">
      <alignment vertical="center"/>
    </xf>
    <xf numFmtId="3" fontId="18" fillId="0" borderId="9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right" vertical="center"/>
    </xf>
    <xf numFmtId="0" fontId="8" fillId="0" borderId="13" xfId="0" applyFont="1" applyBorder="1" applyAlignment="1">
      <alignment horizontal="right" vertical="center" indent="1"/>
    </xf>
    <xf numFmtId="0" fontId="27" fillId="0" borderId="13" xfId="0" applyFont="1" applyBorder="1" applyAlignment="1">
      <alignment horizontal="right" vertical="center" indent="1"/>
    </xf>
    <xf numFmtId="0" fontId="8" fillId="0" borderId="13" xfId="0" applyFont="1" applyFill="1" applyBorder="1" applyAlignment="1">
      <alignment horizontal="right" vertical="center"/>
    </xf>
    <xf numFmtId="177" fontId="6" fillId="0" borderId="14" xfId="0" applyNumberFormat="1" applyFont="1" applyFill="1" applyBorder="1">
      <alignment vertical="center"/>
    </xf>
    <xf numFmtId="9" fontId="7" fillId="7" borderId="0" xfId="0" applyNumberFormat="1" applyFont="1" applyFill="1" applyBorder="1">
      <alignment vertical="center"/>
    </xf>
    <xf numFmtId="1" fontId="6" fillId="3" borderId="12" xfId="0" applyNumberFormat="1" applyFont="1" applyFill="1" applyBorder="1">
      <alignment vertical="center"/>
    </xf>
    <xf numFmtId="178" fontId="9" fillId="6" borderId="25" xfId="0" applyNumberFormat="1" applyFont="1" applyFill="1" applyBorder="1">
      <alignment vertical="center"/>
    </xf>
    <xf numFmtId="177" fontId="11" fillId="3" borderId="25" xfId="0" applyNumberFormat="1" applyFont="1" applyFill="1" applyBorder="1">
      <alignment vertical="center"/>
    </xf>
    <xf numFmtId="177" fontId="7" fillId="7" borderId="25" xfId="0" applyNumberFormat="1" applyFont="1" applyFill="1" applyBorder="1">
      <alignment vertical="center"/>
    </xf>
    <xf numFmtId="177" fontId="11" fillId="9" borderId="25" xfId="0" applyNumberFormat="1" applyFont="1" applyFill="1" applyBorder="1">
      <alignment vertical="center"/>
    </xf>
    <xf numFmtId="176" fontId="10" fillId="7" borderId="25" xfId="0" applyNumberFormat="1" applyFont="1" applyFill="1" applyBorder="1">
      <alignment vertical="center"/>
    </xf>
    <xf numFmtId="178" fontId="9" fillId="6" borderId="18" xfId="0" applyNumberFormat="1" applyFont="1" applyFill="1" applyBorder="1">
      <alignment vertical="center"/>
    </xf>
    <xf numFmtId="0" fontId="0" fillId="6" borderId="5" xfId="0" applyFill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6" borderId="0" xfId="0" applyFill="1">
      <alignment vertical="center"/>
    </xf>
    <xf numFmtId="0" fontId="0" fillId="6" borderId="14" xfId="0" applyFill="1" applyBorder="1" applyAlignment="1">
      <alignment horizontal="right" vertical="center"/>
    </xf>
    <xf numFmtId="1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26" fillId="0" borderId="17" xfId="0" applyFont="1" applyBorder="1">
      <alignment vertical="center"/>
    </xf>
    <xf numFmtId="1" fontId="0" fillId="0" borderId="1" xfId="0" applyNumberFormat="1" applyBorder="1">
      <alignment vertical="center"/>
    </xf>
    <xf numFmtId="1" fontId="0" fillId="0" borderId="4" xfId="0" applyNumberFormat="1" applyBorder="1">
      <alignment vertical="center"/>
    </xf>
    <xf numFmtId="181" fontId="23" fillId="0" borderId="0" xfId="0" applyNumberFormat="1" applyFont="1" applyAlignment="1">
      <alignment horizontal="center" vertical="center"/>
    </xf>
    <xf numFmtId="0" fontId="0" fillId="13" borderId="5" xfId="0" applyFill="1" applyBorder="1">
      <alignment vertical="center"/>
    </xf>
    <xf numFmtId="0" fontId="0" fillId="13" borderId="0" xfId="0" applyFill="1">
      <alignment vertical="center"/>
    </xf>
    <xf numFmtId="0" fontId="0" fillId="13" borderId="14" xfId="0" applyFill="1" applyBorder="1" applyAlignment="1">
      <alignment horizontal="right" vertical="center"/>
    </xf>
    <xf numFmtId="9" fontId="22" fillId="0" borderId="0" xfId="0" applyNumberFormat="1" applyFont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177" fontId="18" fillId="0" borderId="0" xfId="0" applyNumberFormat="1" applyFont="1" applyBorder="1" applyAlignment="1">
      <alignment horizontal="center" vertical="center"/>
    </xf>
    <xf numFmtId="178" fontId="18" fillId="0" borderId="0" xfId="0" applyNumberFormat="1" applyFont="1" applyBorder="1" applyAlignment="1">
      <alignment horizontal="center" vertical="center"/>
    </xf>
    <xf numFmtId="181" fontId="24" fillId="0" borderId="0" xfId="0" applyNumberFormat="1" applyFont="1" applyBorder="1" applyAlignment="1">
      <alignment horizontal="center" vertical="center"/>
    </xf>
    <xf numFmtId="182" fontId="18" fillId="0" borderId="0" xfId="0" applyNumberFormat="1" applyFont="1" applyBorder="1" applyAlignment="1">
      <alignment horizontal="center" vertical="center"/>
    </xf>
    <xf numFmtId="182" fontId="20" fillId="0" borderId="0" xfId="0" applyNumberFormat="1" applyFont="1" applyBorder="1" applyAlignment="1">
      <alignment horizontal="center" vertical="center"/>
    </xf>
    <xf numFmtId="182" fontId="20" fillId="0" borderId="0" xfId="0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179" fontId="18" fillId="0" borderId="1" xfId="0" applyNumberFormat="1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177" fontId="18" fillId="0" borderId="17" xfId="0" applyNumberFormat="1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13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79" fontId="18" fillId="0" borderId="15" xfId="0" applyNumberFormat="1" applyFont="1" applyBorder="1" applyAlignment="1">
      <alignment horizontal="center" vertical="center"/>
    </xf>
    <xf numFmtId="179" fontId="20" fillId="6" borderId="43" xfId="0" applyNumberFormat="1" applyFont="1" applyFill="1" applyBorder="1" applyAlignment="1">
      <alignment horizontal="center" vertical="center"/>
    </xf>
    <xf numFmtId="3" fontId="18" fillId="0" borderId="11" xfId="0" applyNumberFormat="1" applyFont="1" applyBorder="1" applyAlignment="1">
      <alignment horizontal="center" vertical="center"/>
    </xf>
    <xf numFmtId="179" fontId="18" fillId="0" borderId="16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9" fontId="18" fillId="0" borderId="44" xfId="0" applyNumberFormat="1" applyFont="1" applyBorder="1" applyAlignment="1">
      <alignment horizontal="center" vertical="center"/>
    </xf>
    <xf numFmtId="183" fontId="9" fillId="0" borderId="0" xfId="0" applyNumberFormat="1" applyFont="1" applyFill="1" applyBorder="1">
      <alignment vertical="center"/>
    </xf>
    <xf numFmtId="181" fontId="23" fillId="0" borderId="3" xfId="0" applyNumberFormat="1" applyFont="1" applyBorder="1" applyAlignment="1">
      <alignment horizontal="center" vertical="center"/>
    </xf>
    <xf numFmtId="181" fontId="23" fillId="0" borderId="7" xfId="0" applyNumberFormat="1" applyFont="1" applyBorder="1" applyAlignment="1">
      <alignment horizontal="center" vertical="center"/>
    </xf>
    <xf numFmtId="182" fontId="18" fillId="0" borderId="44" xfId="0" applyNumberFormat="1" applyFont="1" applyBorder="1" applyAlignment="1">
      <alignment horizontal="center" vertical="center"/>
    </xf>
    <xf numFmtId="182" fontId="18" fillId="0" borderId="4" xfId="0" applyNumberFormat="1" applyFont="1" applyBorder="1" applyAlignment="1">
      <alignment horizontal="center" vertical="center"/>
    </xf>
    <xf numFmtId="9" fontId="28" fillId="0" borderId="0" xfId="0" applyNumberFormat="1" applyFont="1" applyAlignment="1">
      <alignment horizontal="center" vertical="center"/>
    </xf>
    <xf numFmtId="9" fontId="28" fillId="0" borderId="0" xfId="0" applyNumberFormat="1" applyFont="1" applyFill="1" applyAlignment="1">
      <alignment horizontal="center" vertical="center"/>
    </xf>
    <xf numFmtId="9" fontId="28" fillId="0" borderId="15" xfId="0" applyNumberFormat="1" applyFont="1" applyFill="1" applyBorder="1" applyAlignment="1">
      <alignment horizontal="center" vertical="center"/>
    </xf>
    <xf numFmtId="9" fontId="28" fillId="0" borderId="0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right" vertical="center"/>
    </xf>
    <xf numFmtId="177" fontId="18" fillId="0" borderId="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right" vertical="center"/>
    </xf>
    <xf numFmtId="1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5" fillId="0" borderId="28" xfId="0" applyFont="1" applyFill="1" applyBorder="1" applyAlignment="1">
      <alignment horizontal="center" vertical="center"/>
    </xf>
    <xf numFmtId="1" fontId="0" fillId="12" borderId="28" xfId="0" applyNumberFormat="1" applyFill="1" applyBorder="1">
      <alignment vertical="center"/>
    </xf>
    <xf numFmtId="0" fontId="0" fillId="0" borderId="38" xfId="0" applyBorder="1">
      <alignment vertical="center"/>
    </xf>
    <xf numFmtId="1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1" fontId="0" fillId="0" borderId="0" xfId="0" applyNumberFormat="1" applyBorder="1" applyAlignment="1">
      <alignment horizontal="center" vertical="center"/>
    </xf>
    <xf numFmtId="1" fontId="0" fillId="2" borderId="42" xfId="0" applyNumberFormat="1" applyFill="1" applyBorder="1">
      <alignment vertical="center"/>
    </xf>
    <xf numFmtId="1" fontId="0" fillId="0" borderId="38" xfId="0" applyNumberFormat="1" applyBorder="1">
      <alignment vertical="center"/>
    </xf>
    <xf numFmtId="0" fontId="25" fillId="0" borderId="45" xfId="0" applyFont="1" applyBorder="1" applyAlignment="1">
      <alignment horizontal="center" vertical="center"/>
    </xf>
    <xf numFmtId="9" fontId="0" fillId="0" borderId="0" xfId="1" applyFont="1" applyFill="1" applyBorder="1">
      <alignment vertical="center"/>
    </xf>
    <xf numFmtId="9" fontId="0" fillId="0" borderId="0" xfId="1" applyFont="1" applyFill="1">
      <alignment vertical="center"/>
    </xf>
    <xf numFmtId="177" fontId="11" fillId="0" borderId="0" xfId="0" applyNumberFormat="1" applyFont="1" applyFill="1" applyBorder="1">
      <alignment vertical="center"/>
    </xf>
    <xf numFmtId="177" fontId="6" fillId="3" borderId="0" xfId="0" applyNumberFormat="1" applyFont="1" applyFill="1" applyBorder="1">
      <alignment vertical="center"/>
    </xf>
    <xf numFmtId="177" fontId="11" fillId="3" borderId="0" xfId="0" applyNumberFormat="1" applyFont="1" applyFill="1" applyBorder="1" applyAlignment="1">
      <alignment horizontal="right" vertical="center"/>
    </xf>
    <xf numFmtId="183" fontId="11" fillId="3" borderId="0" xfId="0" applyNumberFormat="1" applyFont="1" applyFill="1" applyBorder="1">
      <alignment vertical="center"/>
    </xf>
    <xf numFmtId="0" fontId="0" fillId="6" borderId="0" xfId="0" applyFill="1" applyBorder="1" applyAlignment="1">
      <alignment horizontal="right" vertical="center"/>
    </xf>
    <xf numFmtId="0" fontId="0" fillId="13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6" borderId="0" xfId="0" applyFill="1" applyBorder="1">
      <alignment vertical="center"/>
    </xf>
    <xf numFmtId="1" fontId="0" fillId="0" borderId="0" xfId="0" applyNumberFormat="1" applyFill="1">
      <alignment vertical="center"/>
    </xf>
    <xf numFmtId="1" fontId="0" fillId="0" borderId="14" xfId="0" applyNumberFormat="1" applyFill="1" applyBorder="1">
      <alignment vertical="center"/>
    </xf>
    <xf numFmtId="9" fontId="0" fillId="0" borderId="0" xfId="1" applyFont="1">
      <alignment vertical="center"/>
    </xf>
    <xf numFmtId="1" fontId="0" fillId="12" borderId="31" xfId="0" applyNumberFormat="1" applyFill="1" applyBorder="1">
      <alignment vertical="center"/>
    </xf>
    <xf numFmtId="14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184" fontId="6" fillId="0" borderId="0" xfId="2" applyNumberFormat="1" applyFont="1" applyFill="1" applyBorder="1" applyAlignment="1">
      <alignment horizontal="right" vertical="center"/>
    </xf>
    <xf numFmtId="178" fontId="6" fillId="0" borderId="0" xfId="0" applyNumberFormat="1" applyFont="1" applyBorder="1" applyAlignment="1">
      <alignment horizontal="right" vertical="center"/>
    </xf>
    <xf numFmtId="185" fontId="0" fillId="0" borderId="0" xfId="0" applyNumberFormat="1" applyBorder="1">
      <alignment vertical="center"/>
    </xf>
    <xf numFmtId="0" fontId="5" fillId="4" borderId="51" xfId="0" applyFont="1" applyFill="1" applyBorder="1" applyAlignment="1">
      <alignment horizontal="center" vertical="center"/>
    </xf>
    <xf numFmtId="186" fontId="7" fillId="0" borderId="0" xfId="0" applyNumberFormat="1" applyFont="1" applyFill="1" applyBorder="1">
      <alignment vertical="center"/>
    </xf>
    <xf numFmtId="186" fontId="8" fillId="0" borderId="0" xfId="0" applyNumberFormat="1" applyFont="1" applyFill="1" applyBorder="1">
      <alignment vertical="center"/>
    </xf>
    <xf numFmtId="177" fontId="10" fillId="13" borderId="9" xfId="0" applyNumberFormat="1" applyFont="1" applyFill="1" applyBorder="1">
      <alignment vertical="center"/>
    </xf>
    <xf numFmtId="183" fontId="11" fillId="0" borderId="0" xfId="0" applyNumberFormat="1" applyFont="1" applyFill="1" applyBorder="1">
      <alignment vertical="center"/>
    </xf>
    <xf numFmtId="183" fontId="11" fillId="13" borderId="0" xfId="0" applyNumberFormat="1" applyFont="1" applyFill="1" applyBorder="1">
      <alignment vertical="center"/>
    </xf>
    <xf numFmtId="177" fontId="10" fillId="13" borderId="0" xfId="0" applyNumberFormat="1" applyFont="1" applyFill="1" applyBorder="1">
      <alignment vertical="center"/>
    </xf>
    <xf numFmtId="0" fontId="5" fillId="0" borderId="0" xfId="0" applyFont="1">
      <alignment vertical="center"/>
    </xf>
    <xf numFmtId="49" fontId="16" fillId="0" borderId="5" xfId="0" applyNumberFormat="1" applyFont="1" applyFill="1" applyBorder="1">
      <alignment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76" fontId="16" fillId="3" borderId="13" xfId="0" applyNumberFormat="1" applyFont="1" applyFill="1" applyBorder="1">
      <alignment vertical="center"/>
    </xf>
    <xf numFmtId="177" fontId="11" fillId="3" borderId="14" xfId="0" applyNumberFormat="1" applyFont="1" applyFill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177" fontId="10" fillId="13" borderId="10" xfId="0" applyNumberFormat="1" applyFont="1" applyFill="1" applyBorder="1">
      <alignment vertical="center"/>
    </xf>
    <xf numFmtId="0" fontId="16" fillId="0" borderId="13" xfId="0" applyFont="1" applyFill="1" applyBorder="1">
      <alignment vertical="center"/>
    </xf>
    <xf numFmtId="177" fontId="11" fillId="0" borderId="14" xfId="0" applyNumberFormat="1" applyFont="1" applyFill="1" applyBorder="1" applyAlignment="1">
      <alignment horizontal="right" vertical="center"/>
    </xf>
    <xf numFmtId="0" fontId="27" fillId="0" borderId="13" xfId="0" applyFont="1" applyFill="1" applyBorder="1" applyAlignment="1">
      <alignment horizontal="right" vertical="center" indent="1"/>
    </xf>
    <xf numFmtId="9" fontId="7" fillId="0" borderId="14" xfId="1" applyFont="1" applyFill="1" applyBorder="1" applyAlignment="1">
      <alignment horizontal="right" vertical="center"/>
    </xf>
    <xf numFmtId="9" fontId="6" fillId="5" borderId="14" xfId="1" applyFont="1" applyFill="1" applyBorder="1">
      <alignment vertical="center"/>
    </xf>
    <xf numFmtId="0" fontId="8" fillId="0" borderId="13" xfId="0" applyFont="1" applyFill="1" applyBorder="1" applyAlignment="1">
      <alignment horizontal="right" vertical="center" indent="1"/>
    </xf>
    <xf numFmtId="9" fontId="6" fillId="0" borderId="14" xfId="1" applyFont="1" applyFill="1" applyBorder="1">
      <alignment vertical="center"/>
    </xf>
    <xf numFmtId="0" fontId="8" fillId="0" borderId="13" xfId="0" applyFont="1" applyFill="1" applyBorder="1">
      <alignment vertical="center"/>
    </xf>
    <xf numFmtId="9" fontId="10" fillId="0" borderId="14" xfId="1" applyFont="1" applyFill="1" applyBorder="1" applyAlignment="1">
      <alignment horizontal="right" vertical="center"/>
    </xf>
    <xf numFmtId="9" fontId="9" fillId="0" borderId="14" xfId="1" applyFont="1" applyFill="1" applyBorder="1" applyAlignment="1">
      <alignment horizontal="right" vertical="center"/>
    </xf>
    <xf numFmtId="0" fontId="7" fillId="0" borderId="13" xfId="0" applyFont="1" applyFill="1" applyBorder="1" applyAlignment="1">
      <alignment vertical="center"/>
    </xf>
    <xf numFmtId="186" fontId="7" fillId="0" borderId="14" xfId="0" applyNumberFormat="1" applyFont="1" applyFill="1" applyBorder="1">
      <alignment vertical="center"/>
    </xf>
    <xf numFmtId="0" fontId="9" fillId="0" borderId="8" xfId="0" applyFont="1" applyFill="1" applyBorder="1" applyAlignment="1">
      <alignment horizontal="right" vertical="center" indent="1"/>
    </xf>
    <xf numFmtId="9" fontId="9" fillId="0" borderId="10" xfId="0" applyNumberFormat="1" applyFont="1" applyFill="1" applyBorder="1">
      <alignment vertical="center"/>
    </xf>
    <xf numFmtId="177" fontId="12" fillId="0" borderId="14" xfId="0" applyNumberFormat="1" applyFont="1" applyFill="1" applyBorder="1" applyAlignment="1">
      <alignment horizontal="right" vertical="center"/>
    </xf>
    <xf numFmtId="178" fontId="7" fillId="0" borderId="14" xfId="0" applyNumberFormat="1" applyFont="1" applyBorder="1" applyAlignment="1">
      <alignment horizontal="right" vertical="center"/>
    </xf>
    <xf numFmtId="178" fontId="6" fillId="5" borderId="14" xfId="0" applyNumberFormat="1" applyFont="1" applyFill="1" applyBorder="1">
      <alignment vertical="center"/>
    </xf>
    <xf numFmtId="9" fontId="10" fillId="0" borderId="14" xfId="1" applyFont="1" applyBorder="1">
      <alignment vertical="center"/>
    </xf>
    <xf numFmtId="41" fontId="7" fillId="0" borderId="14" xfId="2" applyFont="1" applyFill="1" applyBorder="1" applyAlignment="1">
      <alignment horizontal="right" vertical="center"/>
    </xf>
    <xf numFmtId="0" fontId="9" fillId="0" borderId="13" xfId="0" applyFont="1" applyBorder="1" applyAlignment="1">
      <alignment horizontal="right" vertical="center" indent="1"/>
    </xf>
    <xf numFmtId="9" fontId="7" fillId="0" borderId="14" xfId="0" applyNumberFormat="1" applyFont="1" applyBorder="1">
      <alignment vertical="center"/>
    </xf>
    <xf numFmtId="183" fontId="7" fillId="0" borderId="14" xfId="0" applyNumberFormat="1" applyFont="1" applyFill="1" applyBorder="1" applyAlignment="1">
      <alignment horizontal="right" vertical="center"/>
    </xf>
    <xf numFmtId="183" fontId="9" fillId="0" borderId="14" xfId="0" applyNumberFormat="1" applyFont="1" applyFill="1" applyBorder="1">
      <alignment vertical="center"/>
    </xf>
    <xf numFmtId="0" fontId="7" fillId="3" borderId="13" xfId="0" applyFont="1" applyFill="1" applyBorder="1">
      <alignment vertical="center"/>
    </xf>
    <xf numFmtId="177" fontId="6" fillId="3" borderId="14" xfId="0" applyNumberFormat="1" applyFont="1" applyFill="1" applyBorder="1">
      <alignment vertical="center"/>
    </xf>
    <xf numFmtId="0" fontId="11" fillId="0" borderId="13" xfId="0" applyFont="1" applyFill="1" applyBorder="1">
      <alignment vertical="center"/>
    </xf>
    <xf numFmtId="177" fontId="11" fillId="0" borderId="14" xfId="0" applyNumberFormat="1" applyFont="1" applyFill="1" applyBorder="1">
      <alignment vertical="center"/>
    </xf>
    <xf numFmtId="0" fontId="7" fillId="0" borderId="13" xfId="0" applyFont="1" applyFill="1" applyBorder="1">
      <alignment vertical="center"/>
    </xf>
    <xf numFmtId="183" fontId="6" fillId="0" borderId="14" xfId="0" applyNumberFormat="1" applyFont="1" applyFill="1" applyBorder="1">
      <alignment vertical="center"/>
    </xf>
    <xf numFmtId="0" fontId="7" fillId="0" borderId="13" xfId="0" applyFont="1" applyFill="1" applyBorder="1" applyAlignment="1">
      <alignment horizontal="right" vertical="center" indent="1"/>
    </xf>
    <xf numFmtId="9" fontId="7" fillId="0" borderId="14" xfId="1" applyFont="1" applyFill="1" applyBorder="1">
      <alignment vertical="center"/>
    </xf>
    <xf numFmtId="0" fontId="11" fillId="3" borderId="13" xfId="0" applyFont="1" applyFill="1" applyBorder="1">
      <alignment vertical="center"/>
    </xf>
    <xf numFmtId="183" fontId="11" fillId="3" borderId="14" xfId="0" applyNumberFormat="1" applyFont="1" applyFill="1" applyBorder="1">
      <alignment vertical="center"/>
    </xf>
    <xf numFmtId="0" fontId="9" fillId="0" borderId="13" xfId="0" applyFont="1" applyFill="1" applyBorder="1" applyAlignment="1">
      <alignment horizontal="right" vertical="center"/>
    </xf>
    <xf numFmtId="183" fontId="11" fillId="13" borderId="14" xfId="0" applyNumberFormat="1" applyFont="1" applyFill="1" applyBorder="1">
      <alignment vertical="center"/>
    </xf>
    <xf numFmtId="0" fontId="9" fillId="6" borderId="13" xfId="0" applyFont="1" applyFill="1" applyBorder="1" applyAlignment="1">
      <alignment horizontal="right" vertical="center" indent="1"/>
    </xf>
    <xf numFmtId="178" fontId="9" fillId="6" borderId="14" xfId="0" applyNumberFormat="1" applyFont="1" applyFill="1" applyBorder="1">
      <alignment vertical="center"/>
    </xf>
    <xf numFmtId="178" fontId="6" fillId="0" borderId="14" xfId="0" applyNumberFormat="1" applyFont="1" applyFill="1" applyBorder="1">
      <alignment vertical="center"/>
    </xf>
    <xf numFmtId="0" fontId="7" fillId="0" borderId="13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 indent="1"/>
    </xf>
    <xf numFmtId="178" fontId="5" fillId="0" borderId="14" xfId="0" applyNumberFormat="1" applyFont="1" applyBorder="1" applyAlignment="1">
      <alignment horizontal="right" vertical="center"/>
    </xf>
    <xf numFmtId="177" fontId="11" fillId="0" borderId="13" xfId="0" applyNumberFormat="1" applyFont="1" applyFill="1" applyBorder="1">
      <alignment vertical="center"/>
    </xf>
    <xf numFmtId="177" fontId="10" fillId="13" borderId="14" xfId="0" applyNumberFormat="1" applyFont="1" applyFill="1" applyBorder="1">
      <alignment vertical="center"/>
    </xf>
    <xf numFmtId="0" fontId="11" fillId="9" borderId="13" xfId="0" applyFont="1" applyFill="1" applyBorder="1">
      <alignment vertical="center"/>
    </xf>
    <xf numFmtId="177" fontId="12" fillId="9" borderId="14" xfId="0" applyNumberFormat="1" applyFont="1" applyFill="1" applyBorder="1">
      <alignment vertical="center"/>
    </xf>
    <xf numFmtId="0" fontId="9" fillId="6" borderId="17" xfId="0" applyFont="1" applyFill="1" applyBorder="1" applyAlignment="1">
      <alignment horizontal="right" vertical="center" indent="1"/>
    </xf>
    <xf numFmtId="178" fontId="9" fillId="6" borderId="1" xfId="0" applyNumberFormat="1" applyFont="1" applyFill="1" applyBorder="1">
      <alignment vertical="center"/>
    </xf>
    <xf numFmtId="178" fontId="9" fillId="6" borderId="4" xfId="0" applyNumberFormat="1" applyFont="1" applyFill="1" applyBorder="1">
      <alignment vertical="center"/>
    </xf>
    <xf numFmtId="187" fontId="5" fillId="0" borderId="21" xfId="0" applyNumberFormat="1" applyFont="1" applyBorder="1" applyAlignment="1">
      <alignment horizontal="center" vertical="center"/>
    </xf>
    <xf numFmtId="183" fontId="9" fillId="13" borderId="0" xfId="0" applyNumberFormat="1" applyFont="1" applyFill="1" applyBorder="1">
      <alignment vertical="center"/>
    </xf>
    <xf numFmtId="178" fontId="9" fillId="6" borderId="12" xfId="0" applyNumberFormat="1" applyFont="1" applyFill="1" applyBorder="1">
      <alignment vertical="center"/>
    </xf>
    <xf numFmtId="9" fontId="8" fillId="0" borderId="38" xfId="0" applyNumberFormat="1" applyFont="1" applyBorder="1">
      <alignment vertical="center"/>
    </xf>
    <xf numFmtId="177" fontId="6" fillId="3" borderId="49" xfId="0" applyNumberFormat="1" applyFont="1" applyFill="1" applyBorder="1">
      <alignment vertical="center"/>
    </xf>
    <xf numFmtId="9" fontId="7" fillId="7" borderId="38" xfId="0" applyNumberFormat="1" applyFont="1" applyFill="1" applyBorder="1">
      <alignment vertical="center"/>
    </xf>
    <xf numFmtId="177" fontId="6" fillId="7" borderId="38" xfId="0" applyNumberFormat="1" applyFont="1" applyFill="1" applyBorder="1">
      <alignment vertical="center"/>
    </xf>
    <xf numFmtId="177" fontId="7" fillId="7" borderId="54" xfId="0" applyNumberFormat="1" applyFont="1" applyFill="1" applyBorder="1">
      <alignment vertical="center"/>
    </xf>
    <xf numFmtId="178" fontId="9" fillId="6" borderId="46" xfId="0" applyNumberFormat="1" applyFont="1" applyFill="1" applyBorder="1">
      <alignment vertical="center"/>
    </xf>
    <xf numFmtId="178" fontId="9" fillId="6" borderId="39" xfId="0" applyNumberFormat="1" applyFont="1" applyFill="1" applyBorder="1">
      <alignment vertical="center"/>
    </xf>
    <xf numFmtId="0" fontId="0" fillId="6" borderId="14" xfId="0" applyFill="1" applyBorder="1">
      <alignment vertical="center"/>
    </xf>
    <xf numFmtId="0" fontId="0" fillId="13" borderId="14" xfId="0" applyFill="1" applyBorder="1">
      <alignment vertical="center"/>
    </xf>
    <xf numFmtId="0" fontId="0" fillId="0" borderId="37" xfId="0" applyBorder="1">
      <alignment vertical="center"/>
    </xf>
    <xf numFmtId="9" fontId="6" fillId="5" borderId="38" xfId="0" applyNumberFormat="1" applyFont="1" applyFill="1" applyBorder="1">
      <alignment vertical="center"/>
    </xf>
    <xf numFmtId="177" fontId="7" fillId="0" borderId="53" xfId="0" applyNumberFormat="1" applyFont="1" applyBorder="1">
      <alignment vertical="center"/>
    </xf>
    <xf numFmtId="178" fontId="9" fillId="6" borderId="49" xfId="0" applyNumberFormat="1" applyFont="1" applyFill="1" applyBorder="1">
      <alignment vertical="center"/>
    </xf>
    <xf numFmtId="177" fontId="11" fillId="3" borderId="49" xfId="0" applyNumberFormat="1" applyFont="1" applyFill="1" applyBorder="1">
      <alignment vertical="center"/>
    </xf>
    <xf numFmtId="9" fontId="6" fillId="7" borderId="38" xfId="0" applyNumberFormat="1" applyFont="1" applyFill="1" applyBorder="1">
      <alignment vertical="center"/>
    </xf>
    <xf numFmtId="9" fontId="6" fillId="8" borderId="53" xfId="0" applyNumberFormat="1" applyFont="1" applyFill="1" applyBorder="1">
      <alignment vertical="center"/>
    </xf>
    <xf numFmtId="177" fontId="6" fillId="7" borderId="53" xfId="0" applyNumberFormat="1" applyFont="1" applyFill="1" applyBorder="1">
      <alignment vertical="center"/>
    </xf>
    <xf numFmtId="0" fontId="16" fillId="2" borderId="52" xfId="0" applyFont="1" applyFill="1" applyBorder="1" applyAlignment="1">
      <alignment horizontal="center" vertical="center"/>
    </xf>
    <xf numFmtId="177" fontId="5" fillId="3" borderId="32" xfId="0" applyNumberFormat="1" applyFont="1" applyFill="1" applyBorder="1" applyAlignment="1">
      <alignment horizontal="right" vertical="center"/>
    </xf>
    <xf numFmtId="9" fontId="6" fillId="5" borderId="58" xfId="0" applyNumberFormat="1" applyFont="1" applyFill="1" applyBorder="1">
      <alignment vertical="center"/>
    </xf>
    <xf numFmtId="177" fontId="6" fillId="3" borderId="30" xfId="0" applyNumberFormat="1" applyFont="1" applyFill="1" applyBorder="1">
      <alignment vertical="center"/>
    </xf>
    <xf numFmtId="178" fontId="9" fillId="6" borderId="30" xfId="0" applyNumberFormat="1" applyFont="1" applyFill="1" applyBorder="1">
      <alignment vertical="center"/>
    </xf>
    <xf numFmtId="177" fontId="11" fillId="3" borderId="30" xfId="0" applyNumberFormat="1" applyFont="1" applyFill="1" applyBorder="1">
      <alignment vertical="center"/>
    </xf>
    <xf numFmtId="177" fontId="10" fillId="7" borderId="58" xfId="0" applyNumberFormat="1" applyFont="1" applyFill="1" applyBorder="1">
      <alignment vertical="center"/>
    </xf>
    <xf numFmtId="9" fontId="6" fillId="8" borderId="32" xfId="0" applyNumberFormat="1" applyFont="1" applyFill="1" applyBorder="1">
      <alignment vertical="center"/>
    </xf>
    <xf numFmtId="177" fontId="6" fillId="7" borderId="58" xfId="0" applyNumberFormat="1" applyFont="1" applyFill="1" applyBorder="1">
      <alignment vertical="center"/>
    </xf>
    <xf numFmtId="177" fontId="6" fillId="7" borderId="32" xfId="0" applyNumberFormat="1" applyFont="1" applyFill="1" applyBorder="1">
      <alignment vertical="center"/>
    </xf>
    <xf numFmtId="177" fontId="7" fillId="7" borderId="58" xfId="0" applyNumberFormat="1" applyFont="1" applyFill="1" applyBorder="1">
      <alignment vertical="center"/>
    </xf>
    <xf numFmtId="177" fontId="10" fillId="7" borderId="59" xfId="0" applyNumberFormat="1" applyFont="1" applyFill="1" applyBorder="1">
      <alignment vertical="center"/>
    </xf>
    <xf numFmtId="177" fontId="11" fillId="9" borderId="30" xfId="0" applyNumberFormat="1" applyFont="1" applyFill="1" applyBorder="1">
      <alignment vertical="center"/>
    </xf>
    <xf numFmtId="177" fontId="10" fillId="10" borderId="38" xfId="0" applyNumberFormat="1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61" xfId="0" applyFill="1" applyBorder="1">
      <alignment vertical="center"/>
    </xf>
    <xf numFmtId="1" fontId="5" fillId="3" borderId="29" xfId="0" applyNumberFormat="1" applyFont="1" applyFill="1" applyBorder="1" applyAlignment="1">
      <alignment horizontal="right" vertical="center"/>
    </xf>
    <xf numFmtId="178" fontId="9" fillId="6" borderId="62" xfId="0" applyNumberFormat="1" applyFont="1" applyFill="1" applyBorder="1">
      <alignment vertical="center"/>
    </xf>
    <xf numFmtId="177" fontId="11" fillId="3" borderId="62" xfId="0" applyNumberFormat="1" applyFont="1" applyFill="1" applyBorder="1">
      <alignment vertical="center"/>
    </xf>
    <xf numFmtId="177" fontId="9" fillId="7" borderId="62" xfId="0" applyNumberFormat="1" applyFont="1" applyFill="1" applyBorder="1">
      <alignment vertical="center"/>
    </xf>
    <xf numFmtId="9" fontId="7" fillId="7" borderId="24" xfId="0" applyNumberFormat="1" applyFont="1" applyFill="1" applyBorder="1">
      <alignment vertical="center"/>
    </xf>
    <xf numFmtId="177" fontId="7" fillId="7" borderId="62" xfId="0" applyNumberFormat="1" applyFont="1" applyFill="1" applyBorder="1">
      <alignment vertical="center"/>
    </xf>
    <xf numFmtId="177" fontId="11" fillId="9" borderId="62" xfId="0" applyNumberFormat="1" applyFont="1" applyFill="1" applyBorder="1">
      <alignment vertical="center"/>
    </xf>
    <xf numFmtId="178" fontId="9" fillId="6" borderId="19" xfId="0" applyNumberFormat="1" applyFont="1" applyFill="1" applyBorder="1">
      <alignment vertical="center"/>
    </xf>
    <xf numFmtId="178" fontId="9" fillId="6" borderId="29" xfId="0" applyNumberFormat="1" applyFont="1" applyFill="1" applyBorder="1">
      <alignment vertical="center"/>
    </xf>
    <xf numFmtId="177" fontId="5" fillId="7" borderId="0" xfId="0" applyNumberFormat="1" applyFont="1" applyFill="1" applyBorder="1" applyAlignment="1">
      <alignment horizontal="right" vertical="center"/>
    </xf>
    <xf numFmtId="183" fontId="5" fillId="7" borderId="24" xfId="0" applyNumberFormat="1" applyFont="1" applyFill="1" applyBorder="1" applyAlignment="1">
      <alignment horizontal="right" vertical="center"/>
    </xf>
    <xf numFmtId="9" fontId="5" fillId="7" borderId="24" xfId="0" applyNumberFormat="1" applyFont="1" applyFill="1" applyBorder="1" applyAlignment="1">
      <alignment horizontal="right" vertical="center"/>
    </xf>
    <xf numFmtId="14" fontId="0" fillId="0" borderId="0" xfId="0" applyNumberForma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6" fillId="0" borderId="35" xfId="0" applyFont="1" applyBorder="1">
      <alignment vertical="center"/>
    </xf>
    <xf numFmtId="0" fontId="26" fillId="0" borderId="34" xfId="0" applyFont="1" applyBorder="1">
      <alignment vertical="center"/>
    </xf>
    <xf numFmtId="0" fontId="0" fillId="12" borderId="55" xfId="0" applyFill="1" applyBorder="1">
      <alignment vertical="center"/>
    </xf>
    <xf numFmtId="1" fontId="25" fillId="14" borderId="26" xfId="0" applyNumberFormat="1" applyFont="1" applyFill="1" applyBorder="1" applyAlignment="1">
      <alignment horizontal="center" vertical="center"/>
    </xf>
    <xf numFmtId="1" fontId="25" fillId="14" borderId="31" xfId="0" applyNumberFormat="1" applyFont="1" applyFill="1" applyBorder="1" applyAlignment="1">
      <alignment horizontal="center" vertical="center"/>
    </xf>
    <xf numFmtId="1" fontId="25" fillId="14" borderId="48" xfId="0" applyNumberFormat="1" applyFont="1" applyFill="1" applyBorder="1" applyAlignment="1">
      <alignment horizontal="center" vertical="center"/>
    </xf>
    <xf numFmtId="1" fontId="25" fillId="14" borderId="47" xfId="0" applyNumberFormat="1" applyFont="1" applyFill="1" applyBorder="1" applyAlignment="1">
      <alignment horizontal="center" vertical="center"/>
    </xf>
    <xf numFmtId="1" fontId="25" fillId="14" borderId="50" xfId="0" applyNumberFormat="1" applyFont="1" applyFill="1" applyBorder="1" applyAlignment="1">
      <alignment horizontal="center" vertical="center"/>
    </xf>
    <xf numFmtId="0" fontId="0" fillId="12" borderId="24" xfId="0" applyFill="1" applyBorder="1">
      <alignment vertical="center"/>
    </xf>
    <xf numFmtId="1" fontId="25" fillId="0" borderId="28" xfId="0" applyNumberFormat="1" applyFont="1" applyBorder="1" applyAlignment="1">
      <alignment horizontal="center" vertical="center"/>
    </xf>
    <xf numFmtId="1" fontId="25" fillId="0" borderId="30" xfId="0" applyNumberFormat="1" applyFont="1" applyBorder="1" applyAlignment="1">
      <alignment horizontal="center" vertical="center"/>
    </xf>
    <xf numFmtId="0" fontId="25" fillId="14" borderId="2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29" xfId="0" applyFont="1" applyFill="1" applyBorder="1" applyAlignment="1">
      <alignment horizontal="center" vertical="center"/>
    </xf>
    <xf numFmtId="1" fontId="25" fillId="14" borderId="28" xfId="0" applyNumberFormat="1" applyFont="1" applyFill="1" applyBorder="1" applyAlignment="1">
      <alignment horizontal="center" vertical="center"/>
    </xf>
    <xf numFmtId="1" fontId="25" fillId="0" borderId="29" xfId="0" applyNumberFormat="1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1" fontId="25" fillId="14" borderId="30" xfId="0" applyNumberFormat="1" applyFont="1" applyFill="1" applyBorder="1" applyAlignment="1">
      <alignment horizontal="center" vertical="center"/>
    </xf>
    <xf numFmtId="1" fontId="25" fillId="0" borderId="6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>
      <alignment vertical="center"/>
    </xf>
    <xf numFmtId="0" fontId="0" fillId="0" borderId="37" xfId="0" applyBorder="1" applyAlignment="1">
      <alignment horizontal="right" vertical="center"/>
    </xf>
    <xf numFmtId="1" fontId="0" fillId="0" borderId="40" xfId="0" applyNumberFormat="1" applyBorder="1">
      <alignment vertical="center"/>
    </xf>
    <xf numFmtId="41" fontId="33" fillId="0" borderId="0" xfId="2" applyFont="1" applyFill="1" applyBorder="1">
      <alignment vertical="center"/>
    </xf>
    <xf numFmtId="0" fontId="0" fillId="0" borderId="41" xfId="0" applyBorder="1">
      <alignment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61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0" xfId="0" applyAlignment="1">
      <alignment vertical="center"/>
    </xf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0" borderId="24" xfId="0" applyFill="1" applyBorder="1">
      <alignment vertical="center"/>
    </xf>
    <xf numFmtId="1" fontId="0" fillId="0" borderId="28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4" fontId="0" fillId="0" borderId="3" xfId="0" applyNumberFormat="1" applyBorder="1" applyAlignment="1">
      <alignment horizontal="right" vertical="center"/>
    </xf>
    <xf numFmtId="1" fontId="0" fillId="0" borderId="3" xfId="0" applyNumberFormat="1" applyBorder="1">
      <alignment vertical="center"/>
    </xf>
    <xf numFmtId="14" fontId="0" fillId="0" borderId="0" xfId="0" applyNumberFormat="1" applyAlignment="1">
      <alignment horizontal="right" vertical="center"/>
    </xf>
    <xf numFmtId="14" fontId="0" fillId="0" borderId="9" xfId="0" applyNumberFormat="1" applyBorder="1" applyAlignment="1">
      <alignment horizontal="right" vertical="center"/>
    </xf>
    <xf numFmtId="1" fontId="0" fillId="0" borderId="9" xfId="0" applyNumberFormat="1" applyBorder="1">
      <alignment vertical="center"/>
    </xf>
    <xf numFmtId="0" fontId="0" fillId="0" borderId="25" xfId="0" applyBorder="1">
      <alignment vertical="center"/>
    </xf>
    <xf numFmtId="14" fontId="0" fillId="0" borderId="25" xfId="0" applyNumberFormat="1" applyBorder="1" applyAlignment="1">
      <alignment horizontal="right" vertical="center"/>
    </xf>
    <xf numFmtId="1" fontId="0" fillId="0" borderId="25" xfId="0" applyNumberFormat="1" applyBorder="1">
      <alignment vertical="center"/>
    </xf>
    <xf numFmtId="0" fontId="0" fillId="0" borderId="62" xfId="0" applyBorder="1">
      <alignment vertical="center"/>
    </xf>
    <xf numFmtId="14" fontId="0" fillId="0" borderId="0" xfId="0" applyNumberFormat="1">
      <alignment vertical="center"/>
    </xf>
    <xf numFmtId="0" fontId="0" fillId="0" borderId="24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26" xfId="0" applyBorder="1">
      <alignment vertical="center"/>
    </xf>
    <xf numFmtId="3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32" fillId="0" borderId="0" xfId="0" applyNumberFormat="1" applyFont="1" applyAlignment="1">
      <alignment horizontal="right" vertical="center"/>
    </xf>
    <xf numFmtId="14" fontId="32" fillId="0" borderId="9" xfId="0" applyNumberFormat="1" applyFont="1" applyBorder="1" applyAlignment="1">
      <alignment horizontal="right" vertical="center"/>
    </xf>
    <xf numFmtId="14" fontId="32" fillId="0" borderId="25" xfId="0" applyNumberFormat="1" applyFont="1" applyBorder="1" applyAlignment="1">
      <alignment horizontal="right" vertical="center"/>
    </xf>
    <xf numFmtId="14" fontId="32" fillId="0" borderId="0" xfId="0" applyNumberFormat="1" applyFont="1">
      <alignment vertical="center"/>
    </xf>
    <xf numFmtId="1" fontId="25" fillId="0" borderId="63" xfId="0" applyNumberFormat="1" applyFont="1" applyFill="1" applyBorder="1" applyAlignment="1">
      <alignment horizontal="center" vertical="center"/>
    </xf>
    <xf numFmtId="1" fontId="25" fillId="0" borderId="28" xfId="0" applyNumberFormat="1" applyFont="1" applyFill="1" applyBorder="1" applyAlignment="1">
      <alignment horizontal="center" vertical="center"/>
    </xf>
    <xf numFmtId="0" fontId="5" fillId="0" borderId="13" xfId="0" applyFont="1" applyBorder="1">
      <alignment vertical="center"/>
    </xf>
    <xf numFmtId="177" fontId="10" fillId="7" borderId="66" xfId="0" applyNumberFormat="1" applyFont="1" applyFill="1" applyBorder="1">
      <alignment vertical="center"/>
    </xf>
    <xf numFmtId="177" fontId="6" fillId="7" borderId="66" xfId="0" applyNumberFormat="1" applyFont="1" applyFill="1" applyBorder="1">
      <alignment vertical="center"/>
    </xf>
    <xf numFmtId="177" fontId="10" fillId="7" borderId="67" xfId="0" applyNumberFormat="1" applyFont="1" applyFill="1" applyBorder="1">
      <alignment vertical="center"/>
    </xf>
    <xf numFmtId="177" fontId="5" fillId="3" borderId="53" xfId="0" applyNumberFormat="1" applyFont="1" applyFill="1" applyBorder="1" applyAlignment="1">
      <alignment horizontal="right" vertical="center"/>
    </xf>
    <xf numFmtId="9" fontId="6" fillId="5" borderId="53" xfId="0" applyNumberFormat="1" applyFont="1" applyFill="1" applyBorder="1">
      <alignment vertical="center"/>
    </xf>
    <xf numFmtId="9" fontId="8" fillId="0" borderId="58" xfId="0" applyNumberFormat="1" applyFont="1" applyBorder="1">
      <alignment vertical="center"/>
    </xf>
    <xf numFmtId="177" fontId="5" fillId="3" borderId="48" xfId="0" applyNumberFormat="1" applyFont="1" applyFill="1" applyBorder="1" applyAlignment="1">
      <alignment horizontal="right" vertical="center"/>
    </xf>
    <xf numFmtId="177" fontId="6" fillId="7" borderId="38" xfId="0" applyNumberFormat="1" applyFont="1" applyFill="1" applyBorder="1" applyAlignment="1">
      <alignment horizontal="right" vertical="center"/>
    </xf>
    <xf numFmtId="9" fontId="8" fillId="7" borderId="0" xfId="0" applyNumberFormat="1" applyFont="1" applyFill="1" applyBorder="1">
      <alignment vertical="center"/>
    </xf>
    <xf numFmtId="9" fontId="8" fillId="7" borderId="24" xfId="0" applyNumberFormat="1" applyFont="1" applyFill="1" applyBorder="1">
      <alignment vertical="center"/>
    </xf>
    <xf numFmtId="9" fontId="8" fillId="7" borderId="38" xfId="0" applyNumberFormat="1" applyFont="1" applyFill="1" applyBorder="1">
      <alignment vertical="center"/>
    </xf>
    <xf numFmtId="177" fontId="7" fillId="7" borderId="24" xfId="0" applyNumberFormat="1" applyFont="1" applyFill="1" applyBorder="1">
      <alignment vertical="center"/>
    </xf>
    <xf numFmtId="177" fontId="9" fillId="7" borderId="24" xfId="0" applyNumberFormat="1" applyFont="1" applyFill="1" applyBorder="1">
      <alignment vertical="center"/>
    </xf>
    <xf numFmtId="9" fontId="8" fillId="7" borderId="26" xfId="0" applyNumberFormat="1" applyFont="1" applyFill="1" applyBorder="1">
      <alignment vertical="center"/>
    </xf>
    <xf numFmtId="0" fontId="0" fillId="7" borderId="0" xfId="0" applyFill="1">
      <alignment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3" fontId="5" fillId="7" borderId="21" xfId="0" applyNumberFormat="1" applyFont="1" applyFill="1" applyBorder="1" applyAlignment="1">
      <alignment horizontal="center" vertical="center"/>
    </xf>
    <xf numFmtId="4" fontId="5" fillId="7" borderId="21" xfId="0" applyNumberFormat="1" applyFont="1" applyFill="1" applyBorder="1" applyAlignment="1">
      <alignment horizontal="center" vertical="center"/>
    </xf>
    <xf numFmtId="178" fontId="7" fillId="7" borderId="21" xfId="0" applyNumberFormat="1" applyFont="1" applyFill="1" applyBorder="1" applyAlignment="1">
      <alignment horizontal="center" vertical="center"/>
    </xf>
    <xf numFmtId="176" fontId="5" fillId="7" borderId="21" xfId="0" applyNumberFormat="1" applyFont="1" applyFill="1" applyBorder="1" applyAlignment="1">
      <alignment horizontal="center" vertical="center"/>
    </xf>
    <xf numFmtId="177" fontId="5" fillId="7" borderId="22" xfId="0" applyNumberFormat="1" applyFont="1" applyFill="1" applyBorder="1" applyAlignment="1">
      <alignment horizontal="center" vertical="center"/>
    </xf>
    <xf numFmtId="1" fontId="5" fillId="7" borderId="62" xfId="0" applyNumberFormat="1" applyFont="1" applyFill="1" applyBorder="1" applyAlignment="1">
      <alignment horizontal="right" vertical="center"/>
    </xf>
    <xf numFmtId="1" fontId="6" fillId="7" borderId="54" xfId="0" applyNumberFormat="1" applyFont="1" applyFill="1" applyBorder="1">
      <alignment vertical="center"/>
    </xf>
    <xf numFmtId="1" fontId="6" fillId="7" borderId="58" xfId="0" applyNumberFormat="1" applyFont="1" applyFill="1" applyBorder="1">
      <alignment vertical="center"/>
    </xf>
    <xf numFmtId="1" fontId="6" fillId="7" borderId="38" xfId="0" applyNumberFormat="1" applyFont="1" applyFill="1" applyBorder="1">
      <alignment vertical="center"/>
    </xf>
    <xf numFmtId="178" fontId="7" fillId="7" borderId="24" xfId="0" applyNumberFormat="1" applyFont="1" applyFill="1" applyBorder="1">
      <alignment vertical="center"/>
    </xf>
    <xf numFmtId="178" fontId="7" fillId="7" borderId="38" xfId="0" applyNumberFormat="1" applyFont="1" applyFill="1" applyBorder="1">
      <alignment vertical="center"/>
    </xf>
    <xf numFmtId="178" fontId="7" fillId="7" borderId="53" xfId="0" applyNumberFormat="1" applyFont="1" applyFill="1" applyBorder="1">
      <alignment vertical="center"/>
    </xf>
    <xf numFmtId="178" fontId="7" fillId="7" borderId="66" xfId="0" applyNumberFormat="1" applyFont="1" applyFill="1" applyBorder="1">
      <alignment vertical="center"/>
    </xf>
    <xf numFmtId="178" fontId="7" fillId="7" borderId="58" xfId="0" applyNumberFormat="1" applyFont="1" applyFill="1" applyBorder="1">
      <alignment vertical="center"/>
    </xf>
    <xf numFmtId="9" fontId="8" fillId="7" borderId="58" xfId="0" applyNumberFormat="1" applyFont="1" applyFill="1" applyBorder="1">
      <alignment vertical="center"/>
    </xf>
    <xf numFmtId="177" fontId="13" fillId="7" borderId="24" xfId="0" applyNumberFormat="1" applyFont="1" applyFill="1" applyBorder="1" applyAlignment="1">
      <alignment horizontal="right" vertical="center"/>
    </xf>
    <xf numFmtId="177" fontId="6" fillId="7" borderId="68" xfId="0" applyNumberFormat="1" applyFont="1" applyFill="1" applyBorder="1">
      <alignment vertical="center"/>
    </xf>
    <xf numFmtId="177" fontId="6" fillId="7" borderId="24" xfId="0" applyNumberFormat="1" applyFont="1" applyFill="1" applyBorder="1">
      <alignment vertical="center"/>
    </xf>
    <xf numFmtId="9" fontId="27" fillId="7" borderId="38" xfId="0" applyNumberFormat="1" applyFont="1" applyFill="1" applyBorder="1">
      <alignment vertical="center"/>
    </xf>
    <xf numFmtId="9" fontId="6" fillId="5" borderId="24" xfId="0" applyNumberFormat="1" applyFont="1" applyFill="1" applyBorder="1">
      <alignment vertical="center"/>
    </xf>
    <xf numFmtId="9" fontId="8" fillId="7" borderId="9" xfId="0" applyNumberFormat="1" applyFont="1" applyFill="1" applyBorder="1">
      <alignment vertical="center"/>
    </xf>
    <xf numFmtId="9" fontId="8" fillId="7" borderId="53" xfId="0" applyNumberFormat="1" applyFont="1" applyFill="1" applyBorder="1">
      <alignment vertical="center"/>
    </xf>
    <xf numFmtId="9" fontId="6" fillId="5" borderId="31" xfId="0" applyNumberFormat="1" applyFont="1" applyFill="1" applyBorder="1">
      <alignment vertical="center"/>
    </xf>
    <xf numFmtId="9" fontId="6" fillId="5" borderId="32" xfId="0" applyNumberFormat="1" applyFont="1" applyFill="1" applyBorder="1">
      <alignment vertical="center"/>
    </xf>
    <xf numFmtId="177" fontId="10" fillId="10" borderId="54" xfId="0" applyNumberFormat="1" applyFont="1" applyFill="1" applyBorder="1">
      <alignment vertical="center"/>
    </xf>
    <xf numFmtId="177" fontId="11" fillId="9" borderId="45" xfId="0" applyNumberFormat="1" applyFont="1" applyFill="1" applyBorder="1">
      <alignment vertical="center"/>
    </xf>
    <xf numFmtId="177" fontId="10" fillId="10" borderId="25" xfId="0" applyNumberFormat="1" applyFont="1" applyFill="1" applyBorder="1">
      <alignment vertical="center"/>
    </xf>
    <xf numFmtId="177" fontId="11" fillId="0" borderId="25" xfId="0" applyNumberFormat="1" applyFont="1" applyFill="1" applyBorder="1">
      <alignment vertical="center"/>
    </xf>
    <xf numFmtId="177" fontId="11" fillId="0" borderId="62" xfId="0" applyNumberFormat="1" applyFont="1" applyFill="1" applyBorder="1">
      <alignment vertical="center"/>
    </xf>
    <xf numFmtId="177" fontId="11" fillId="0" borderId="54" xfId="0" applyNumberFormat="1" applyFont="1" applyFill="1" applyBorder="1">
      <alignment vertical="center"/>
    </xf>
    <xf numFmtId="177" fontId="11" fillId="0" borderId="67" xfId="0" applyNumberFormat="1" applyFont="1" applyFill="1" applyBorder="1">
      <alignment vertical="center"/>
    </xf>
    <xf numFmtId="177" fontId="11" fillId="0" borderId="59" xfId="0" applyNumberFormat="1" applyFont="1" applyFill="1" applyBorder="1">
      <alignment vertical="center"/>
    </xf>
    <xf numFmtId="0" fontId="32" fillId="0" borderId="0" xfId="0" applyFont="1">
      <alignment vertical="center"/>
    </xf>
    <xf numFmtId="9" fontId="6" fillId="7" borderId="59" xfId="0" applyNumberFormat="1" applyFont="1" applyFill="1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25" xfId="0" applyNumberFormat="1" applyFont="1" applyFill="1" applyBorder="1">
      <alignment vertical="center"/>
    </xf>
    <xf numFmtId="177" fontId="10" fillId="7" borderId="62" xfId="0" applyNumberFormat="1" applyFont="1" applyFill="1" applyBorder="1">
      <alignment vertical="center"/>
    </xf>
    <xf numFmtId="1" fontId="6" fillId="3" borderId="29" xfId="0" applyNumberFormat="1" applyFont="1" applyFill="1" applyBorder="1">
      <alignment vertical="center"/>
    </xf>
    <xf numFmtId="1" fontId="6" fillId="7" borderId="62" xfId="0" applyNumberFormat="1" applyFont="1" applyFill="1" applyBorder="1">
      <alignment vertical="center"/>
    </xf>
    <xf numFmtId="9" fontId="7" fillId="7" borderId="26" xfId="0" applyNumberFormat="1" applyFont="1" applyFill="1" applyBorder="1">
      <alignment vertical="center"/>
    </xf>
    <xf numFmtId="183" fontId="6" fillId="7" borderId="24" xfId="0" applyNumberFormat="1" applyFont="1" applyFill="1" applyBorder="1">
      <alignment vertical="center"/>
    </xf>
    <xf numFmtId="176" fontId="10" fillId="7" borderId="29" xfId="0" applyNumberFormat="1" applyFont="1" applyFill="1" applyBorder="1">
      <alignment vertical="center"/>
    </xf>
    <xf numFmtId="177" fontId="11" fillId="9" borderId="60" xfId="0" applyNumberFormat="1" applyFont="1" applyFill="1" applyBorder="1">
      <alignment vertical="center"/>
    </xf>
    <xf numFmtId="9" fontId="6" fillId="5" borderId="68" xfId="0" applyNumberFormat="1" applyFont="1" applyFill="1" applyBorder="1">
      <alignment vertical="center"/>
    </xf>
    <xf numFmtId="9" fontId="6" fillId="5" borderId="69" xfId="0" applyNumberFormat="1" applyFont="1" applyFill="1" applyBorder="1">
      <alignment vertical="center"/>
    </xf>
    <xf numFmtId="9" fontId="6" fillId="8" borderId="69" xfId="0" applyNumberFormat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180" fontId="5" fillId="0" borderId="22" xfId="0" applyNumberFormat="1" applyFont="1" applyFill="1" applyBorder="1" applyAlignment="1">
      <alignment horizontal="center" vertical="center"/>
    </xf>
    <xf numFmtId="177" fontId="5" fillId="3" borderId="69" xfId="0" applyNumberFormat="1" applyFont="1" applyFill="1" applyBorder="1" applyAlignment="1">
      <alignment horizontal="right" vertical="center"/>
    </xf>
    <xf numFmtId="177" fontId="10" fillId="10" borderId="68" xfId="0" applyNumberFormat="1" applyFont="1" applyFill="1" applyBorder="1">
      <alignment vertical="center"/>
    </xf>
    <xf numFmtId="9" fontId="8" fillId="0" borderId="68" xfId="0" applyNumberFormat="1" applyFont="1" applyBorder="1">
      <alignment vertical="center"/>
    </xf>
    <xf numFmtId="177" fontId="6" fillId="3" borderId="45" xfId="0" applyNumberFormat="1" applyFont="1" applyFill="1" applyBorder="1">
      <alignment vertical="center"/>
    </xf>
    <xf numFmtId="178" fontId="9" fillId="6" borderId="45" xfId="0" applyNumberFormat="1" applyFont="1" applyFill="1" applyBorder="1">
      <alignment vertical="center"/>
    </xf>
    <xf numFmtId="1" fontId="6" fillId="7" borderId="68" xfId="0" applyNumberFormat="1" applyFont="1" applyFill="1" applyBorder="1">
      <alignment vertical="center"/>
    </xf>
    <xf numFmtId="178" fontId="7" fillId="7" borderId="68" xfId="0" applyNumberFormat="1" applyFont="1" applyFill="1" applyBorder="1">
      <alignment vertical="center"/>
    </xf>
    <xf numFmtId="177" fontId="11" fillId="3" borderId="45" xfId="0" applyNumberFormat="1" applyFont="1" applyFill="1" applyBorder="1">
      <alignment vertical="center"/>
    </xf>
    <xf numFmtId="9" fontId="6" fillId="7" borderId="68" xfId="0" applyNumberFormat="1" applyFont="1" applyFill="1" applyBorder="1">
      <alignment vertical="center"/>
    </xf>
    <xf numFmtId="177" fontId="11" fillId="0" borderId="70" xfId="0" applyNumberFormat="1" applyFont="1" applyFill="1" applyBorder="1">
      <alignment vertical="center"/>
    </xf>
    <xf numFmtId="177" fontId="11" fillId="9" borderId="70" xfId="0" applyNumberFormat="1" applyFont="1" applyFill="1" applyBorder="1">
      <alignment vertical="center"/>
    </xf>
    <xf numFmtId="177" fontId="10" fillId="10" borderId="70" xfId="0" applyNumberFormat="1" applyFont="1" applyFill="1" applyBorder="1">
      <alignment vertical="center"/>
    </xf>
    <xf numFmtId="178" fontId="9" fillId="6" borderId="71" xfId="0" applyNumberFormat="1" applyFont="1" applyFill="1" applyBorder="1">
      <alignment vertical="center"/>
    </xf>
    <xf numFmtId="177" fontId="11" fillId="9" borderId="67" xfId="0" applyNumberFormat="1" applyFont="1" applyFill="1" applyBorder="1">
      <alignment vertical="center"/>
    </xf>
    <xf numFmtId="177" fontId="10" fillId="10" borderId="67" xfId="0" applyNumberFormat="1" applyFont="1" applyFill="1" applyBorder="1">
      <alignment vertical="center"/>
    </xf>
    <xf numFmtId="178" fontId="9" fillId="6" borderId="33" xfId="0" applyNumberFormat="1" applyFont="1" applyFill="1" applyBorder="1">
      <alignment vertical="center"/>
    </xf>
    <xf numFmtId="177" fontId="7" fillId="3" borderId="69" xfId="0" applyNumberFormat="1" applyFont="1" applyFill="1" applyBorder="1" applyAlignment="1">
      <alignment horizontal="right" vertical="center"/>
    </xf>
    <xf numFmtId="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0" fontId="0" fillId="7" borderId="25" xfId="0" applyFill="1" applyBorder="1">
      <alignment vertical="center"/>
    </xf>
    <xf numFmtId="177" fontId="10" fillId="10" borderId="49" xfId="0" applyNumberFormat="1" applyFont="1" applyFill="1" applyBorder="1">
      <alignment vertical="center"/>
    </xf>
    <xf numFmtId="177" fontId="10" fillId="7" borderId="24" xfId="0" applyNumberFormat="1" applyFont="1" applyFill="1" applyBorder="1">
      <alignment vertical="center"/>
    </xf>
    <xf numFmtId="9" fontId="6" fillId="8" borderId="26" xfId="0" applyNumberFormat="1" applyFont="1" applyFill="1" applyBorder="1">
      <alignment vertical="center"/>
    </xf>
    <xf numFmtId="177" fontId="6" fillId="7" borderId="26" xfId="0" applyNumberFormat="1" applyFont="1" applyFill="1" applyBorder="1">
      <alignment vertical="center"/>
    </xf>
    <xf numFmtId="177" fontId="10" fillId="10" borderId="58" xfId="0" applyNumberFormat="1" applyFont="1" applyFill="1" applyBorder="1">
      <alignment vertical="center"/>
    </xf>
    <xf numFmtId="9" fontId="6" fillId="7" borderId="58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7" fontId="6" fillId="3" borderId="29" xfId="0" applyNumberFormat="1" applyFont="1" applyFill="1" applyBorder="1">
      <alignment vertical="center"/>
    </xf>
    <xf numFmtId="1" fontId="6" fillId="7" borderId="24" xfId="0" applyNumberFormat="1" applyFont="1" applyFill="1" applyBorder="1">
      <alignment vertical="center"/>
    </xf>
    <xf numFmtId="177" fontId="11" fillId="3" borderId="72" xfId="0" applyNumberFormat="1" applyFont="1" applyFill="1" applyBorder="1">
      <alignment vertical="center"/>
    </xf>
    <xf numFmtId="177" fontId="10" fillId="10" borderId="32" xfId="0" applyNumberFormat="1" applyFont="1" applyFill="1" applyBorder="1">
      <alignment vertical="center"/>
    </xf>
    <xf numFmtId="9" fontId="5" fillId="7" borderId="38" xfId="0" applyNumberFormat="1" applyFont="1" applyFill="1" applyBorder="1" applyAlignment="1">
      <alignment horizontal="right" vertical="center"/>
    </xf>
    <xf numFmtId="177" fontId="11" fillId="3" borderId="54" xfId="0" applyNumberFormat="1" applyFont="1" applyFill="1" applyBorder="1">
      <alignment vertical="center"/>
    </xf>
    <xf numFmtId="177" fontId="10" fillId="0" borderId="49" xfId="0" applyNumberFormat="1" applyFont="1" applyFill="1" applyBorder="1">
      <alignment vertical="center"/>
    </xf>
    <xf numFmtId="0" fontId="36" fillId="2" borderId="23" xfId="0" applyFont="1" applyFill="1" applyBorder="1" applyAlignment="1">
      <alignment horizontal="center" vertical="center"/>
    </xf>
    <xf numFmtId="0" fontId="16" fillId="0" borderId="75" xfId="0" applyFont="1" applyFill="1" applyBorder="1" applyAlignment="1">
      <alignment horizontal="center" vertical="center"/>
    </xf>
    <xf numFmtId="0" fontId="9" fillId="6" borderId="76" xfId="0" applyFont="1" applyFill="1" applyBorder="1" applyAlignment="1">
      <alignment horizontal="right" vertical="center" indent="1"/>
    </xf>
    <xf numFmtId="0" fontId="7" fillId="7" borderId="77" xfId="0" applyFont="1" applyFill="1" applyBorder="1" applyAlignment="1">
      <alignment horizontal="right" vertical="center" indent="1"/>
    </xf>
    <xf numFmtId="0" fontId="7" fillId="7" borderId="78" xfId="0" applyFont="1" applyFill="1" applyBorder="1" applyAlignment="1">
      <alignment horizontal="right" vertical="center" indent="1"/>
    </xf>
    <xf numFmtId="0" fontId="7" fillId="7" borderId="77" xfId="0" applyFont="1" applyFill="1" applyBorder="1" applyAlignment="1">
      <alignment horizontal="left" vertical="center"/>
    </xf>
    <xf numFmtId="0" fontId="7" fillId="7" borderId="77" xfId="0" applyFont="1" applyFill="1" applyBorder="1">
      <alignment vertical="center"/>
    </xf>
    <xf numFmtId="0" fontId="7" fillId="0" borderId="78" xfId="0" applyFont="1" applyFill="1" applyBorder="1">
      <alignment vertical="center"/>
    </xf>
    <xf numFmtId="177" fontId="11" fillId="0" borderId="79" xfId="0" applyNumberFormat="1" applyFont="1" applyFill="1" applyBorder="1">
      <alignment vertical="center"/>
    </xf>
    <xf numFmtId="0" fontId="11" fillId="9" borderId="80" xfId="0" applyFont="1" applyFill="1" applyBorder="1">
      <alignment vertical="center"/>
    </xf>
    <xf numFmtId="0" fontId="9" fillId="6" borderId="81" xfId="0" applyFont="1" applyFill="1" applyBorder="1" applyAlignment="1">
      <alignment horizontal="right" vertical="center" indent="1"/>
    </xf>
    <xf numFmtId="0" fontId="11" fillId="3" borderId="76" xfId="0" applyFont="1" applyFill="1" applyBorder="1">
      <alignment vertical="center"/>
    </xf>
    <xf numFmtId="0" fontId="8" fillId="7" borderId="82" xfId="0" applyFont="1" applyFill="1" applyBorder="1" applyAlignment="1">
      <alignment horizontal="left" vertical="center" indent="1"/>
    </xf>
    <xf numFmtId="0" fontId="7" fillId="7" borderId="78" xfId="0" applyFont="1" applyFill="1" applyBorder="1">
      <alignment vertical="center"/>
    </xf>
    <xf numFmtId="0" fontId="7" fillId="7" borderId="79" xfId="0" applyFont="1" applyFill="1" applyBorder="1">
      <alignment vertical="center"/>
    </xf>
    <xf numFmtId="0" fontId="9" fillId="7" borderId="78" xfId="0" applyFont="1" applyFill="1" applyBorder="1">
      <alignment vertical="center"/>
    </xf>
    <xf numFmtId="0" fontId="17" fillId="7" borderId="83" xfId="0" applyFont="1" applyFill="1" applyBorder="1">
      <alignment vertical="center"/>
    </xf>
    <xf numFmtId="0" fontId="5" fillId="7" borderId="84" xfId="0" applyFont="1" applyFill="1" applyBorder="1">
      <alignment vertical="center"/>
    </xf>
    <xf numFmtId="49" fontId="16" fillId="0" borderId="77" xfId="0" applyNumberFormat="1" applyFont="1" applyFill="1" applyBorder="1">
      <alignment vertical="center"/>
    </xf>
    <xf numFmtId="176" fontId="16" fillId="3" borderId="78" xfId="0" applyNumberFormat="1" applyFont="1" applyFill="1" applyBorder="1">
      <alignment vertical="center"/>
    </xf>
    <xf numFmtId="0" fontId="9" fillId="7" borderId="77" xfId="0" applyFont="1" applyFill="1" applyBorder="1">
      <alignment vertical="center"/>
    </xf>
    <xf numFmtId="0" fontId="8" fillId="7" borderId="77" xfId="0" applyFont="1" applyFill="1" applyBorder="1" applyAlignment="1">
      <alignment horizontal="right" vertical="center" indent="1"/>
    </xf>
    <xf numFmtId="0" fontId="8" fillId="7" borderId="78" xfId="0" applyFont="1" applyFill="1" applyBorder="1" applyAlignment="1">
      <alignment horizontal="right" vertical="center" indent="1"/>
    </xf>
    <xf numFmtId="178" fontId="0" fillId="7" borderId="0" xfId="1" applyNumberFormat="1" applyFont="1" applyFill="1" applyBorder="1" applyAlignment="1">
      <alignment horizontal="center" vertical="center"/>
    </xf>
    <xf numFmtId="0" fontId="8" fillId="2" borderId="75" xfId="0" applyFont="1" applyFill="1" applyBorder="1" applyAlignment="1">
      <alignment horizontal="center" vertical="center"/>
    </xf>
    <xf numFmtId="0" fontId="16" fillId="2" borderId="75" xfId="0" applyFont="1" applyFill="1" applyBorder="1" applyAlignment="1">
      <alignment horizontal="center" vertical="center"/>
    </xf>
    <xf numFmtId="177" fontId="9" fillId="7" borderId="86" xfId="0" applyNumberFormat="1" applyFont="1" applyFill="1" applyBorder="1">
      <alignment vertical="center"/>
    </xf>
    <xf numFmtId="9" fontId="8" fillId="7" borderId="87" xfId="0" applyNumberFormat="1" applyFont="1" applyFill="1" applyBorder="1">
      <alignment vertical="center"/>
    </xf>
    <xf numFmtId="9" fontId="8" fillId="7" borderId="88" xfId="0" applyNumberFormat="1" applyFont="1" applyFill="1" applyBorder="1">
      <alignment vertical="center"/>
    </xf>
    <xf numFmtId="177" fontId="7" fillId="7" borderId="86" xfId="0" applyNumberFormat="1" applyFont="1" applyFill="1" applyBorder="1">
      <alignment vertical="center"/>
    </xf>
    <xf numFmtId="177" fontId="10" fillId="7" borderId="90" xfId="0" applyNumberFormat="1" applyFont="1" applyFill="1" applyBorder="1">
      <alignment vertical="center"/>
    </xf>
    <xf numFmtId="9" fontId="8" fillId="7" borderId="91" xfId="0" applyNumberFormat="1" applyFont="1" applyFill="1" applyBorder="1">
      <alignment vertical="center"/>
    </xf>
    <xf numFmtId="9" fontId="8" fillId="7" borderId="92" xfId="0" applyNumberFormat="1" applyFont="1" applyFill="1" applyBorder="1">
      <alignment vertical="center"/>
    </xf>
    <xf numFmtId="177" fontId="7" fillId="7" borderId="91" xfId="0" applyNumberFormat="1" applyFont="1" applyFill="1" applyBorder="1">
      <alignment vertical="center"/>
    </xf>
    <xf numFmtId="177" fontId="10" fillId="7" borderId="94" xfId="0" applyNumberFormat="1" applyFont="1" applyFill="1" applyBorder="1">
      <alignment vertical="center"/>
    </xf>
    <xf numFmtId="9" fontId="8" fillId="7" borderId="73" xfId="0" applyNumberFormat="1" applyFont="1" applyFill="1" applyBorder="1">
      <alignment vertical="center"/>
    </xf>
    <xf numFmtId="9" fontId="8" fillId="7" borderId="74" xfId="0" applyNumberFormat="1" applyFont="1" applyFill="1" applyBorder="1">
      <alignment vertical="center"/>
    </xf>
    <xf numFmtId="177" fontId="7" fillId="7" borderId="73" xfId="0" applyNumberFormat="1" applyFont="1" applyFill="1" applyBorder="1">
      <alignment vertical="center"/>
    </xf>
    <xf numFmtId="177" fontId="10" fillId="7" borderId="86" xfId="0" applyNumberFormat="1" applyFont="1" applyFill="1" applyBorder="1">
      <alignment vertical="center"/>
    </xf>
    <xf numFmtId="177" fontId="9" fillId="7" borderId="96" xfId="0" applyNumberFormat="1" applyFont="1" applyFill="1" applyBorder="1">
      <alignment vertical="center"/>
    </xf>
    <xf numFmtId="9" fontId="6" fillId="5" borderId="97" xfId="0" applyNumberFormat="1" applyFont="1" applyFill="1" applyBorder="1">
      <alignment vertical="center"/>
    </xf>
    <xf numFmtId="9" fontId="6" fillId="5" borderId="98" xfId="0" applyNumberFormat="1" applyFont="1" applyFill="1" applyBorder="1">
      <alignment vertical="center"/>
    </xf>
    <xf numFmtId="177" fontId="7" fillId="7" borderId="97" xfId="0" applyNumberFormat="1" applyFont="1" applyFill="1" applyBorder="1">
      <alignment vertical="center"/>
    </xf>
    <xf numFmtId="177" fontId="9" fillId="7" borderId="90" xfId="0" applyNumberFormat="1" applyFont="1" applyFill="1" applyBorder="1">
      <alignment vertical="center"/>
    </xf>
    <xf numFmtId="9" fontId="6" fillId="5" borderId="91" xfId="0" applyNumberFormat="1" applyFont="1" applyFill="1" applyBorder="1">
      <alignment vertical="center"/>
    </xf>
    <xf numFmtId="177" fontId="5" fillId="7" borderId="38" xfId="0" applyNumberFormat="1" applyFont="1" applyFill="1" applyBorder="1" applyAlignment="1">
      <alignment horizontal="right" vertical="center"/>
    </xf>
    <xf numFmtId="177" fontId="6" fillId="10" borderId="100" xfId="0" applyNumberFormat="1" applyFont="1" applyFill="1" applyBorder="1">
      <alignment vertical="center"/>
    </xf>
    <xf numFmtId="9" fontId="8" fillId="7" borderId="101" xfId="0" applyNumberFormat="1" applyFont="1" applyFill="1" applyBorder="1">
      <alignment vertical="center"/>
    </xf>
    <xf numFmtId="9" fontId="8" fillId="7" borderId="102" xfId="0" applyNumberFormat="1" applyFont="1" applyFill="1" applyBorder="1">
      <alignment vertical="center"/>
    </xf>
    <xf numFmtId="177" fontId="7" fillId="7" borderId="101" xfId="0" applyNumberFormat="1" applyFont="1" applyFill="1" applyBorder="1">
      <alignment vertical="center"/>
    </xf>
    <xf numFmtId="1" fontId="6" fillId="7" borderId="100" xfId="0" applyNumberFormat="1" applyFont="1" applyFill="1" applyBorder="1">
      <alignment vertical="center"/>
    </xf>
    <xf numFmtId="178" fontId="7" fillId="7" borderId="101" xfId="0" applyNumberFormat="1" applyFont="1" applyFill="1" applyBorder="1">
      <alignment vertical="center"/>
    </xf>
    <xf numFmtId="177" fontId="11" fillId="3" borderId="100" xfId="0" applyNumberFormat="1" applyFont="1" applyFill="1" applyBorder="1">
      <alignment vertical="center"/>
    </xf>
    <xf numFmtId="177" fontId="10" fillId="10" borderId="100" xfId="0" applyNumberFormat="1" applyFont="1" applyFill="1" applyBorder="1">
      <alignment vertical="center"/>
    </xf>
    <xf numFmtId="178" fontId="9" fillId="6" borderId="103" xfId="0" applyNumberFormat="1" applyFont="1" applyFill="1" applyBorder="1">
      <alignment vertical="center"/>
    </xf>
    <xf numFmtId="9" fontId="7" fillId="7" borderId="101" xfId="0" applyNumberFormat="1" applyFont="1" applyFill="1" applyBorder="1">
      <alignment vertical="center"/>
    </xf>
    <xf numFmtId="177" fontId="7" fillId="7" borderId="100" xfId="0" applyNumberFormat="1" applyFont="1" applyFill="1" applyBorder="1">
      <alignment vertical="center"/>
    </xf>
    <xf numFmtId="177" fontId="6" fillId="7" borderId="101" xfId="0" applyNumberFormat="1" applyFont="1" applyFill="1" applyBorder="1">
      <alignment vertical="center"/>
    </xf>
    <xf numFmtId="177" fontId="5" fillId="7" borderId="101" xfId="0" applyNumberFormat="1" applyFont="1" applyFill="1" applyBorder="1" applyAlignment="1">
      <alignment horizontal="right" vertical="center"/>
    </xf>
    <xf numFmtId="9" fontId="5" fillId="7" borderId="101" xfId="0" applyNumberFormat="1" applyFont="1" applyFill="1" applyBorder="1" applyAlignment="1">
      <alignment horizontal="right" vertical="center"/>
    </xf>
    <xf numFmtId="177" fontId="11" fillId="0" borderId="100" xfId="0" applyNumberFormat="1" applyFont="1" applyFill="1" applyBorder="1">
      <alignment vertical="center"/>
    </xf>
    <xf numFmtId="177" fontId="11" fillId="9" borderId="100" xfId="0" applyNumberFormat="1" applyFont="1" applyFill="1" applyBorder="1">
      <alignment vertical="center"/>
    </xf>
    <xf numFmtId="178" fontId="9" fillId="6" borderId="99" xfId="0" applyNumberFormat="1" applyFont="1" applyFill="1" applyBorder="1">
      <alignment vertical="center"/>
    </xf>
    <xf numFmtId="177" fontId="5" fillId="3" borderId="104" xfId="0" applyNumberFormat="1" applyFont="1" applyFill="1" applyBorder="1" applyAlignment="1">
      <alignment horizontal="right" vertical="center"/>
    </xf>
    <xf numFmtId="177" fontId="10" fillId="10" borderId="101" xfId="0" applyNumberFormat="1" applyFont="1" applyFill="1" applyBorder="1">
      <alignment vertical="center"/>
    </xf>
    <xf numFmtId="177" fontId="6" fillId="7" borderId="102" xfId="0" applyNumberFormat="1" applyFont="1" applyFill="1" applyBorder="1">
      <alignment vertical="center"/>
    </xf>
    <xf numFmtId="177" fontId="5" fillId="3" borderId="105" xfId="0" applyNumberFormat="1" applyFont="1" applyFill="1" applyBorder="1" applyAlignment="1">
      <alignment horizontal="right" vertical="center"/>
    </xf>
    <xf numFmtId="177" fontId="10" fillId="10" borderId="91" xfId="0" applyNumberFormat="1" applyFont="1" applyFill="1" applyBorder="1">
      <alignment vertical="center"/>
    </xf>
    <xf numFmtId="177" fontId="7" fillId="7" borderId="90" xfId="0" applyNumberFormat="1" applyFont="1" applyFill="1" applyBorder="1">
      <alignment vertical="center"/>
    </xf>
    <xf numFmtId="178" fontId="9" fillId="6" borderId="90" xfId="0" applyNumberFormat="1" applyFont="1" applyFill="1" applyBorder="1">
      <alignment vertical="center"/>
    </xf>
    <xf numFmtId="1" fontId="6" fillId="7" borderId="90" xfId="0" applyNumberFormat="1" applyFont="1" applyFill="1" applyBorder="1">
      <alignment vertical="center"/>
    </xf>
    <xf numFmtId="178" fontId="7" fillId="7" borderId="91" xfId="0" applyNumberFormat="1" applyFont="1" applyFill="1" applyBorder="1">
      <alignment vertical="center"/>
    </xf>
    <xf numFmtId="177" fontId="11" fillId="3" borderId="90" xfId="0" applyNumberFormat="1" applyFont="1" applyFill="1" applyBorder="1">
      <alignment vertical="center"/>
    </xf>
    <xf numFmtId="177" fontId="10" fillId="10" borderId="90" xfId="0" applyNumberFormat="1" applyFont="1" applyFill="1" applyBorder="1">
      <alignment vertical="center"/>
    </xf>
    <xf numFmtId="178" fontId="9" fillId="6" borderId="89" xfId="0" applyNumberFormat="1" applyFont="1" applyFill="1" applyBorder="1">
      <alignment vertical="center"/>
    </xf>
    <xf numFmtId="9" fontId="7" fillId="7" borderId="91" xfId="0" applyNumberFormat="1" applyFont="1" applyFill="1" applyBorder="1">
      <alignment vertical="center"/>
    </xf>
    <xf numFmtId="177" fontId="6" fillId="7" borderId="91" xfId="0" applyNumberFormat="1" applyFont="1" applyFill="1" applyBorder="1">
      <alignment vertical="center"/>
    </xf>
    <xf numFmtId="177" fontId="5" fillId="7" borderId="91" xfId="0" applyNumberFormat="1" applyFont="1" applyFill="1" applyBorder="1" applyAlignment="1">
      <alignment horizontal="right" vertical="center"/>
    </xf>
    <xf numFmtId="9" fontId="5" fillId="7" borderId="91" xfId="0" applyNumberFormat="1" applyFont="1" applyFill="1" applyBorder="1" applyAlignment="1">
      <alignment horizontal="right" vertical="center"/>
    </xf>
    <xf numFmtId="177" fontId="6" fillId="7" borderId="92" xfId="0" applyNumberFormat="1" applyFont="1" applyFill="1" applyBorder="1">
      <alignment vertical="center"/>
    </xf>
    <xf numFmtId="177" fontId="5" fillId="3" borderId="106" xfId="0" applyNumberFormat="1" applyFont="1" applyFill="1" applyBorder="1" applyAlignment="1">
      <alignment horizontal="right" vertical="center"/>
    </xf>
    <xf numFmtId="177" fontId="10" fillId="10" borderId="73" xfId="0" applyNumberFormat="1" applyFont="1" applyFill="1" applyBorder="1">
      <alignment vertical="center"/>
    </xf>
    <xf numFmtId="177" fontId="7" fillId="7" borderId="94" xfId="0" applyNumberFormat="1" applyFont="1" applyFill="1" applyBorder="1">
      <alignment vertical="center"/>
    </xf>
    <xf numFmtId="178" fontId="9" fillId="6" borderId="94" xfId="0" applyNumberFormat="1" applyFont="1" applyFill="1" applyBorder="1">
      <alignment vertical="center"/>
    </xf>
    <xf numFmtId="1" fontId="6" fillId="7" borderId="94" xfId="0" applyNumberFormat="1" applyFont="1" applyFill="1" applyBorder="1">
      <alignment vertical="center"/>
    </xf>
    <xf numFmtId="178" fontId="7" fillId="7" borderId="73" xfId="0" applyNumberFormat="1" applyFont="1" applyFill="1" applyBorder="1">
      <alignment vertical="center"/>
    </xf>
    <xf numFmtId="177" fontId="11" fillId="3" borderId="94" xfId="0" applyNumberFormat="1" applyFont="1" applyFill="1" applyBorder="1">
      <alignment vertical="center"/>
    </xf>
    <xf numFmtId="177" fontId="10" fillId="10" borderId="94" xfId="0" applyNumberFormat="1" applyFont="1" applyFill="1" applyBorder="1">
      <alignment vertical="center"/>
    </xf>
    <xf numFmtId="178" fontId="9" fillId="6" borderId="93" xfId="0" applyNumberFormat="1" applyFont="1" applyFill="1" applyBorder="1">
      <alignment vertical="center"/>
    </xf>
    <xf numFmtId="9" fontId="7" fillId="7" borderId="73" xfId="0" applyNumberFormat="1" applyFont="1" applyFill="1" applyBorder="1">
      <alignment vertical="center"/>
    </xf>
    <xf numFmtId="177" fontId="6" fillId="7" borderId="73" xfId="0" applyNumberFormat="1" applyFont="1" applyFill="1" applyBorder="1">
      <alignment vertical="center"/>
    </xf>
    <xf numFmtId="177" fontId="5" fillId="7" borderId="73" xfId="0" applyNumberFormat="1" applyFont="1" applyFill="1" applyBorder="1" applyAlignment="1">
      <alignment horizontal="right" vertical="center"/>
    </xf>
    <xf numFmtId="9" fontId="5" fillId="7" borderId="73" xfId="0" applyNumberFormat="1" applyFont="1" applyFill="1" applyBorder="1" applyAlignment="1">
      <alignment horizontal="right" vertical="center"/>
    </xf>
    <xf numFmtId="177" fontId="11" fillId="0" borderId="93" xfId="0" applyNumberFormat="1" applyFont="1" applyFill="1" applyBorder="1">
      <alignment vertical="center"/>
    </xf>
    <xf numFmtId="177" fontId="9" fillId="7" borderId="94" xfId="0" applyNumberFormat="1" applyFont="1" applyFill="1" applyBorder="1">
      <alignment vertical="center"/>
    </xf>
    <xf numFmtId="9" fontId="6" fillId="5" borderId="73" xfId="0" applyNumberFormat="1" applyFont="1" applyFill="1" applyBorder="1">
      <alignment vertical="center"/>
    </xf>
    <xf numFmtId="1" fontId="5" fillId="3" borderId="95" xfId="0" applyNumberFormat="1" applyFont="1" applyFill="1" applyBorder="1" applyAlignment="1">
      <alignment horizontal="right" vertical="center"/>
    </xf>
    <xf numFmtId="9" fontId="6" fillId="5" borderId="107" xfId="0" applyNumberFormat="1" applyFont="1" applyFill="1" applyBorder="1">
      <alignment vertical="center"/>
    </xf>
    <xf numFmtId="178" fontId="9" fillId="6" borderId="96" xfId="0" applyNumberFormat="1" applyFont="1" applyFill="1" applyBorder="1">
      <alignment vertical="center"/>
    </xf>
    <xf numFmtId="1" fontId="5" fillId="7" borderId="96" xfId="0" applyNumberFormat="1" applyFont="1" applyFill="1" applyBorder="1" applyAlignment="1">
      <alignment horizontal="right" vertical="center"/>
    </xf>
    <xf numFmtId="178" fontId="7" fillId="7" borderId="97" xfId="0" applyNumberFormat="1" applyFont="1" applyFill="1" applyBorder="1">
      <alignment vertical="center"/>
    </xf>
    <xf numFmtId="177" fontId="11" fillId="3" borderId="96" xfId="0" applyNumberFormat="1" applyFont="1" applyFill="1" applyBorder="1">
      <alignment vertical="center"/>
    </xf>
    <xf numFmtId="178" fontId="9" fillId="6" borderId="95" xfId="0" applyNumberFormat="1" applyFont="1" applyFill="1" applyBorder="1">
      <alignment vertical="center"/>
    </xf>
    <xf numFmtId="9" fontId="7" fillId="7" borderId="97" xfId="0" applyNumberFormat="1" applyFont="1" applyFill="1" applyBorder="1">
      <alignment vertical="center"/>
    </xf>
    <xf numFmtId="177" fontId="7" fillId="7" borderId="96" xfId="0" applyNumberFormat="1" applyFont="1" applyFill="1" applyBorder="1">
      <alignment vertical="center"/>
    </xf>
    <xf numFmtId="177" fontId="5" fillId="7" borderId="97" xfId="0" applyNumberFormat="1" applyFont="1" applyFill="1" applyBorder="1" applyAlignment="1">
      <alignment horizontal="right" vertical="center"/>
    </xf>
    <xf numFmtId="177" fontId="13" fillId="0" borderId="97" xfId="0" applyNumberFormat="1" applyFont="1" applyFill="1" applyBorder="1" applyAlignment="1">
      <alignment horizontal="right" vertical="center"/>
    </xf>
    <xf numFmtId="177" fontId="7" fillId="0" borderId="96" xfId="0" applyNumberFormat="1" applyFont="1" applyFill="1" applyBorder="1">
      <alignment vertical="center"/>
    </xf>
    <xf numFmtId="183" fontId="5" fillId="7" borderId="97" xfId="0" applyNumberFormat="1" applyFont="1" applyFill="1" applyBorder="1" applyAlignment="1">
      <alignment horizontal="right" vertical="center"/>
    </xf>
    <xf numFmtId="9" fontId="5" fillId="7" borderId="97" xfId="0" applyNumberFormat="1" applyFont="1" applyFill="1" applyBorder="1" applyAlignment="1">
      <alignment horizontal="right" vertical="center"/>
    </xf>
    <xf numFmtId="1" fontId="5" fillId="3" borderId="93" xfId="0" applyNumberFormat="1" applyFont="1" applyFill="1" applyBorder="1" applyAlignment="1">
      <alignment horizontal="right" vertical="center"/>
    </xf>
    <xf numFmtId="9" fontId="6" fillId="5" borderId="108" xfId="0" applyNumberFormat="1" applyFont="1" applyFill="1" applyBorder="1">
      <alignment vertical="center"/>
    </xf>
    <xf numFmtId="1" fontId="5" fillId="7" borderId="94" xfId="0" applyNumberFormat="1" applyFont="1" applyFill="1" applyBorder="1" applyAlignment="1">
      <alignment horizontal="right" vertical="center"/>
    </xf>
    <xf numFmtId="177" fontId="13" fillId="7" borderId="73" xfId="0" applyNumberFormat="1" applyFont="1" applyFill="1" applyBorder="1" applyAlignment="1">
      <alignment horizontal="right" vertical="center"/>
    </xf>
    <xf numFmtId="183" fontId="5" fillId="7" borderId="73" xfId="0" applyNumberFormat="1" applyFont="1" applyFill="1" applyBorder="1" applyAlignment="1">
      <alignment horizontal="right" vertical="center"/>
    </xf>
    <xf numFmtId="9" fontId="6" fillId="5" borderId="109" xfId="0" applyNumberFormat="1" applyFont="1" applyFill="1" applyBorder="1">
      <alignment vertical="center"/>
    </xf>
    <xf numFmtId="177" fontId="7" fillId="7" borderId="26" xfId="0" applyNumberFormat="1" applyFont="1" applyFill="1" applyBorder="1">
      <alignment vertical="center"/>
    </xf>
    <xf numFmtId="1" fontId="5" fillId="3" borderId="89" xfId="0" applyNumberFormat="1" applyFont="1" applyFill="1" applyBorder="1" applyAlignment="1">
      <alignment horizontal="right" vertical="center"/>
    </xf>
    <xf numFmtId="9" fontId="6" fillId="5" borderId="110" xfId="0" applyNumberFormat="1" applyFont="1" applyFill="1" applyBorder="1">
      <alignment vertical="center"/>
    </xf>
    <xf numFmtId="1" fontId="5" fillId="7" borderId="90" xfId="0" applyNumberFormat="1" applyFont="1" applyFill="1" applyBorder="1" applyAlignment="1">
      <alignment horizontal="right" vertical="center"/>
    </xf>
    <xf numFmtId="177" fontId="13" fillId="7" borderId="91" xfId="0" applyNumberFormat="1" applyFont="1" applyFill="1" applyBorder="1" applyAlignment="1">
      <alignment horizontal="right" vertical="center"/>
    </xf>
    <xf numFmtId="183" fontId="5" fillId="7" borderId="91" xfId="0" applyNumberFormat="1" applyFont="1" applyFill="1" applyBorder="1" applyAlignment="1">
      <alignment horizontal="right" vertical="center"/>
    </xf>
    <xf numFmtId="176" fontId="5" fillId="7" borderId="92" xfId="0" applyNumberFormat="1" applyFont="1" applyFill="1" applyBorder="1" applyAlignment="1">
      <alignment horizontal="right" vertical="center"/>
    </xf>
    <xf numFmtId="177" fontId="11" fillId="0" borderId="89" xfId="0" applyNumberFormat="1" applyFont="1" applyFill="1" applyBorder="1">
      <alignment vertical="center"/>
    </xf>
    <xf numFmtId="1" fontId="5" fillId="3" borderId="85" xfId="0" applyNumberFormat="1" applyFont="1" applyFill="1" applyBorder="1" applyAlignment="1">
      <alignment horizontal="right" vertical="center"/>
    </xf>
    <xf numFmtId="9" fontId="8" fillId="7" borderId="111" xfId="0" applyNumberFormat="1" applyFont="1" applyFill="1" applyBorder="1">
      <alignment vertical="center"/>
    </xf>
    <xf numFmtId="177" fontId="7" fillId="7" borderId="88" xfId="0" applyNumberFormat="1" applyFont="1" applyFill="1" applyBorder="1">
      <alignment vertical="center"/>
    </xf>
    <xf numFmtId="178" fontId="9" fillId="6" borderId="86" xfId="0" applyNumberFormat="1" applyFont="1" applyFill="1" applyBorder="1">
      <alignment vertical="center"/>
    </xf>
    <xf numFmtId="1" fontId="5" fillId="7" borderId="86" xfId="0" applyNumberFormat="1" applyFont="1" applyFill="1" applyBorder="1" applyAlignment="1">
      <alignment horizontal="right" vertical="center"/>
    </xf>
    <xf numFmtId="178" fontId="7" fillId="7" borderId="87" xfId="0" applyNumberFormat="1" applyFont="1" applyFill="1" applyBorder="1">
      <alignment vertical="center"/>
    </xf>
    <xf numFmtId="177" fontId="11" fillId="3" borderId="86" xfId="0" applyNumberFormat="1" applyFont="1" applyFill="1" applyBorder="1">
      <alignment vertical="center"/>
    </xf>
    <xf numFmtId="178" fontId="9" fillId="6" borderId="85" xfId="0" applyNumberFormat="1" applyFont="1" applyFill="1" applyBorder="1">
      <alignment vertical="center"/>
    </xf>
    <xf numFmtId="9" fontId="7" fillId="7" borderId="87" xfId="0" applyNumberFormat="1" applyFont="1" applyFill="1" applyBorder="1">
      <alignment vertical="center"/>
    </xf>
    <xf numFmtId="177" fontId="5" fillId="7" borderId="87" xfId="0" applyNumberFormat="1" applyFont="1" applyFill="1" applyBorder="1" applyAlignment="1">
      <alignment horizontal="right" vertical="center"/>
    </xf>
    <xf numFmtId="183" fontId="5" fillId="7" borderId="87" xfId="0" applyNumberFormat="1" applyFont="1" applyFill="1" applyBorder="1" applyAlignment="1">
      <alignment horizontal="right" vertical="center"/>
    </xf>
    <xf numFmtId="1" fontId="5" fillId="7" borderId="87" xfId="0" applyNumberFormat="1" applyFont="1" applyFill="1" applyBorder="1" applyAlignment="1">
      <alignment horizontal="right" vertical="center"/>
    </xf>
    <xf numFmtId="9" fontId="5" fillId="7" borderId="87" xfId="0" applyNumberFormat="1" applyFont="1" applyFill="1" applyBorder="1" applyAlignment="1">
      <alignment horizontal="right" vertical="center"/>
    </xf>
    <xf numFmtId="177" fontId="11" fillId="0" borderId="85" xfId="0" applyNumberFormat="1" applyFont="1" applyFill="1" applyBorder="1">
      <alignment vertical="center"/>
    </xf>
    <xf numFmtId="177" fontId="11" fillId="0" borderId="94" xfId="0" applyNumberFormat="1" applyFont="1" applyFill="1" applyBorder="1">
      <alignment vertical="center"/>
    </xf>
    <xf numFmtId="177" fontId="11" fillId="9" borderId="94" xfId="0" applyNumberFormat="1" applyFont="1" applyFill="1" applyBorder="1">
      <alignment vertical="center"/>
    </xf>
    <xf numFmtId="176" fontId="10" fillId="7" borderId="94" xfId="0" applyNumberFormat="1" applyFont="1" applyFill="1" applyBorder="1">
      <alignment vertical="center"/>
    </xf>
    <xf numFmtId="178" fontId="9" fillId="6" borderId="112" xfId="0" applyNumberFormat="1" applyFont="1" applyFill="1" applyBorder="1">
      <alignment vertical="center"/>
    </xf>
    <xf numFmtId="1" fontId="6" fillId="3" borderId="85" xfId="0" applyNumberFormat="1" applyFont="1" applyFill="1" applyBorder="1">
      <alignment vertical="center"/>
    </xf>
    <xf numFmtId="1" fontId="6" fillId="7" borderId="86" xfId="0" applyNumberFormat="1" applyFont="1" applyFill="1" applyBorder="1">
      <alignment vertical="center"/>
    </xf>
    <xf numFmtId="177" fontId="6" fillId="7" borderId="87" xfId="0" applyNumberFormat="1" applyFont="1" applyFill="1" applyBorder="1">
      <alignment vertical="center"/>
    </xf>
    <xf numFmtId="177" fontId="11" fillId="0" borderId="86" xfId="0" applyNumberFormat="1" applyFont="1" applyFill="1" applyBorder="1">
      <alignment vertical="center"/>
    </xf>
    <xf numFmtId="177" fontId="11" fillId="9" borderId="86" xfId="0" applyNumberFormat="1" applyFont="1" applyFill="1" applyBorder="1">
      <alignment vertical="center"/>
    </xf>
    <xf numFmtId="178" fontId="9" fillId="6" borderId="113" xfId="0" applyNumberFormat="1" applyFont="1" applyFill="1" applyBorder="1">
      <alignment vertical="center"/>
    </xf>
    <xf numFmtId="177" fontId="11" fillId="0" borderId="96" xfId="0" applyNumberFormat="1" applyFont="1" applyFill="1" applyBorder="1">
      <alignment vertical="center"/>
    </xf>
    <xf numFmtId="178" fontId="9" fillId="6" borderId="115" xfId="0" applyNumberFormat="1" applyFont="1" applyFill="1" applyBorder="1">
      <alignment vertical="center"/>
    </xf>
    <xf numFmtId="177" fontId="11" fillId="9" borderId="90" xfId="0" applyNumberFormat="1" applyFont="1" applyFill="1" applyBorder="1">
      <alignment vertical="center"/>
    </xf>
    <xf numFmtId="178" fontId="9" fillId="6" borderId="116" xfId="0" applyNumberFormat="1" applyFont="1" applyFill="1" applyBorder="1">
      <alignment vertical="center"/>
    </xf>
    <xf numFmtId="9" fontId="8" fillId="7" borderId="117" xfId="0" applyNumberFormat="1" applyFont="1" applyFill="1" applyBorder="1">
      <alignment vertical="center"/>
    </xf>
    <xf numFmtId="9" fontId="8" fillId="7" borderId="118" xfId="0" applyNumberFormat="1" applyFont="1" applyFill="1" applyBorder="1">
      <alignment vertical="center"/>
    </xf>
    <xf numFmtId="9" fontId="5" fillId="7" borderId="119" xfId="0" applyNumberFormat="1" applyFont="1" applyFill="1" applyBorder="1" applyAlignment="1">
      <alignment horizontal="right" vertical="center"/>
    </xf>
    <xf numFmtId="9" fontId="5" fillId="7" borderId="120" xfId="0" applyNumberFormat="1" applyFont="1" applyFill="1" applyBorder="1" applyAlignment="1">
      <alignment horizontal="right" vertical="center"/>
    </xf>
    <xf numFmtId="9" fontId="5" fillId="7" borderId="121" xfId="0" applyNumberFormat="1" applyFont="1" applyFill="1" applyBorder="1" applyAlignment="1">
      <alignment horizontal="right" vertical="center"/>
    </xf>
    <xf numFmtId="177" fontId="6" fillId="7" borderId="122" xfId="0" applyNumberFormat="1" applyFont="1" applyFill="1" applyBorder="1">
      <alignment vertical="center"/>
    </xf>
    <xf numFmtId="9" fontId="8" fillId="7" borderId="123" xfId="0" applyNumberFormat="1" applyFont="1" applyFill="1" applyBorder="1">
      <alignment vertical="center"/>
    </xf>
    <xf numFmtId="9" fontId="8" fillId="7" borderId="125" xfId="0" applyNumberFormat="1" applyFont="1" applyFill="1" applyBorder="1">
      <alignment vertical="center"/>
    </xf>
    <xf numFmtId="178" fontId="9" fillId="6" borderId="91" xfId="0" applyNumberFormat="1" applyFont="1" applyFill="1" applyBorder="1">
      <alignment vertical="center"/>
    </xf>
    <xf numFmtId="178" fontId="9" fillId="6" borderId="73" xfId="0" applyNumberFormat="1" applyFont="1" applyFill="1" applyBorder="1">
      <alignment vertical="center"/>
    </xf>
    <xf numFmtId="178" fontId="9" fillId="6" borderId="87" xfId="0" applyNumberFormat="1" applyFont="1" applyFill="1" applyBorder="1">
      <alignment vertical="center"/>
    </xf>
    <xf numFmtId="178" fontId="9" fillId="6" borderId="53" xfId="0" applyNumberFormat="1" applyFont="1" applyFill="1" applyBorder="1">
      <alignment vertical="center"/>
    </xf>
    <xf numFmtId="178" fontId="9" fillId="6" borderId="101" xfId="0" applyNumberFormat="1" applyFont="1" applyFill="1" applyBorder="1">
      <alignment vertical="center"/>
    </xf>
    <xf numFmtId="178" fontId="9" fillId="6" borderId="38" xfId="0" applyNumberFormat="1" applyFont="1" applyFill="1" applyBorder="1">
      <alignment vertical="center"/>
    </xf>
    <xf numFmtId="178" fontId="9" fillId="6" borderId="58" xfId="0" applyNumberFormat="1" applyFont="1" applyFill="1" applyBorder="1">
      <alignment vertical="center"/>
    </xf>
    <xf numFmtId="177" fontId="7" fillId="7" borderId="126" xfId="0" applyNumberFormat="1" applyFont="1" applyFill="1" applyBorder="1">
      <alignment vertical="center"/>
    </xf>
    <xf numFmtId="177" fontId="7" fillId="7" borderId="127" xfId="0" applyNumberFormat="1" applyFont="1" applyFill="1" applyBorder="1">
      <alignment vertical="center"/>
    </xf>
    <xf numFmtId="177" fontId="7" fillId="7" borderId="128" xfId="0" applyNumberFormat="1" applyFont="1" applyFill="1" applyBorder="1">
      <alignment vertical="center"/>
    </xf>
    <xf numFmtId="177" fontId="7" fillId="7" borderId="129" xfId="0" applyNumberFormat="1" applyFont="1" applyFill="1" applyBorder="1">
      <alignment vertical="center"/>
    </xf>
    <xf numFmtId="177" fontId="7" fillId="7" borderId="130" xfId="0" applyNumberFormat="1" applyFont="1" applyFill="1" applyBorder="1">
      <alignment vertical="center"/>
    </xf>
    <xf numFmtId="9" fontId="8" fillId="7" borderId="124" xfId="0" applyNumberFormat="1" applyFont="1" applyFill="1" applyBorder="1">
      <alignment vertical="center"/>
    </xf>
    <xf numFmtId="9" fontId="8" fillId="7" borderId="131" xfId="0" applyNumberFormat="1" applyFont="1" applyFill="1" applyBorder="1">
      <alignment vertical="center"/>
    </xf>
    <xf numFmtId="9" fontId="8" fillId="7" borderId="132" xfId="0" applyNumberFormat="1" applyFont="1" applyFill="1" applyBorder="1">
      <alignment vertical="center"/>
    </xf>
    <xf numFmtId="9" fontId="8" fillId="7" borderId="133" xfId="0" applyNumberFormat="1" applyFont="1" applyFill="1" applyBorder="1">
      <alignment vertical="center"/>
    </xf>
    <xf numFmtId="9" fontId="8" fillId="7" borderId="134" xfId="0" applyNumberFormat="1" applyFont="1" applyFill="1" applyBorder="1">
      <alignment vertical="center"/>
    </xf>
    <xf numFmtId="9" fontId="8" fillId="7" borderId="135" xfId="0" applyNumberFormat="1" applyFont="1" applyFill="1" applyBorder="1">
      <alignment vertical="center"/>
    </xf>
    <xf numFmtId="177" fontId="11" fillId="17" borderId="96" xfId="0" applyNumberFormat="1" applyFont="1" applyFill="1" applyBorder="1">
      <alignment vertical="center"/>
    </xf>
    <xf numFmtId="0" fontId="5" fillId="4" borderId="18" xfId="0" applyFont="1" applyFill="1" applyBorder="1" applyAlignment="1">
      <alignment horizontal="center" vertical="center"/>
    </xf>
    <xf numFmtId="177" fontId="5" fillId="4" borderId="21" xfId="0" applyNumberFormat="1" applyFont="1" applyFill="1" applyBorder="1" applyAlignment="1">
      <alignment horizontal="center" vertical="center"/>
    </xf>
    <xf numFmtId="177" fontId="5" fillId="4" borderId="22" xfId="0" applyNumberFormat="1" applyFont="1" applyFill="1" applyBorder="1" applyAlignment="1">
      <alignment horizontal="center" vertical="center"/>
    </xf>
    <xf numFmtId="41" fontId="0" fillId="7" borderId="25" xfId="2" applyFon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3" fontId="0" fillId="0" borderId="0" xfId="0" applyNumberFormat="1">
      <alignment vertical="center"/>
    </xf>
    <xf numFmtId="177" fontId="7" fillId="7" borderId="136" xfId="0" applyNumberFormat="1" applyFont="1" applyFill="1" applyBorder="1">
      <alignment vertical="center"/>
    </xf>
    <xf numFmtId="1" fontId="6" fillId="3" borderId="60" xfId="0" applyNumberFormat="1" applyFont="1" applyFill="1" applyBorder="1">
      <alignment vertical="center"/>
    </xf>
    <xf numFmtId="1" fontId="6" fillId="3" borderId="30" xfId="0" applyNumberFormat="1" applyFont="1" applyFill="1" applyBorder="1">
      <alignment vertical="center"/>
    </xf>
    <xf numFmtId="1" fontId="6" fillId="3" borderId="63" xfId="0" applyNumberFormat="1" applyFont="1" applyFill="1" applyBorder="1">
      <alignment vertical="center"/>
    </xf>
    <xf numFmtId="177" fontId="7" fillId="7" borderId="137" xfId="0" applyNumberFormat="1" applyFont="1" applyFill="1" applyBorder="1">
      <alignment vertical="center"/>
    </xf>
    <xf numFmtId="177" fontId="7" fillId="7" borderId="138" xfId="0" applyNumberFormat="1" applyFont="1" applyFill="1" applyBorder="1">
      <alignment vertical="center"/>
    </xf>
    <xf numFmtId="177" fontId="7" fillId="7" borderId="139" xfId="0" applyNumberFormat="1" applyFont="1" applyFill="1" applyBorder="1">
      <alignment vertical="center"/>
    </xf>
    <xf numFmtId="177" fontId="7" fillId="7" borderId="141" xfId="0" applyNumberFormat="1" applyFont="1" applyFill="1" applyBorder="1">
      <alignment vertical="center"/>
    </xf>
    <xf numFmtId="178" fontId="9" fillId="6" borderId="140" xfId="0" applyNumberFormat="1" applyFont="1" applyFill="1" applyBorder="1">
      <alignment vertical="center"/>
    </xf>
    <xf numFmtId="0" fontId="0" fillId="0" borderId="40" xfId="0" applyFill="1" applyBorder="1">
      <alignment vertical="center"/>
    </xf>
    <xf numFmtId="0" fontId="0" fillId="0" borderId="40" xfId="0" applyBorder="1">
      <alignment vertical="center"/>
    </xf>
    <xf numFmtId="0" fontId="8" fillId="7" borderId="142" xfId="0" applyFont="1" applyFill="1" applyBorder="1" applyAlignment="1">
      <alignment horizontal="left" vertical="center" indent="1"/>
    </xf>
    <xf numFmtId="9" fontId="6" fillId="5" borderId="114" xfId="0" applyNumberFormat="1" applyFont="1" applyFill="1" applyBorder="1">
      <alignment vertical="center"/>
    </xf>
    <xf numFmtId="9" fontId="8" fillId="7" borderId="143" xfId="0" applyNumberFormat="1" applyFont="1" applyFill="1" applyBorder="1">
      <alignment vertical="center"/>
    </xf>
    <xf numFmtId="9" fontId="8" fillId="7" borderId="144" xfId="0" applyNumberFormat="1" applyFont="1" applyFill="1" applyBorder="1">
      <alignment vertical="center"/>
    </xf>
    <xf numFmtId="9" fontId="8" fillId="7" borderId="145" xfId="0" applyNumberFormat="1" applyFont="1" applyFill="1" applyBorder="1">
      <alignment vertical="center"/>
    </xf>
    <xf numFmtId="9" fontId="8" fillId="7" borderId="146" xfId="0" applyNumberFormat="1" applyFont="1" applyFill="1" applyBorder="1">
      <alignment vertical="center"/>
    </xf>
    <xf numFmtId="176" fontId="5" fillId="7" borderId="98" xfId="0" applyNumberFormat="1" applyFont="1" applyFill="1" applyBorder="1" applyAlignment="1">
      <alignment horizontal="right" vertical="center"/>
    </xf>
    <xf numFmtId="176" fontId="5" fillId="7" borderId="147" xfId="0" applyNumberFormat="1" applyFont="1" applyFill="1" applyBorder="1" applyAlignment="1">
      <alignment horizontal="right" vertical="center"/>
    </xf>
    <xf numFmtId="0" fontId="5" fillId="7" borderId="88" xfId="0" applyFont="1" applyFill="1" applyBorder="1" applyAlignment="1">
      <alignment horizontal="right" vertical="center"/>
    </xf>
    <xf numFmtId="176" fontId="6" fillId="7" borderId="147" xfId="0" applyNumberFormat="1" applyFont="1" applyFill="1" applyBorder="1">
      <alignment vertical="center"/>
    </xf>
    <xf numFmtId="177" fontId="6" fillId="7" borderId="88" xfId="0" applyNumberFormat="1" applyFont="1" applyFill="1" applyBorder="1">
      <alignment vertical="center"/>
    </xf>
    <xf numFmtId="177" fontId="6" fillId="7" borderId="148" xfId="0" applyNumberFormat="1" applyFont="1" applyFill="1" applyBorder="1">
      <alignment vertical="center"/>
    </xf>
    <xf numFmtId="177" fontId="7" fillId="7" borderId="149" xfId="0" applyNumberFormat="1" applyFont="1" applyFill="1" applyBorder="1">
      <alignment vertical="center"/>
    </xf>
    <xf numFmtId="177" fontId="6" fillId="7" borderId="69" xfId="0" applyNumberFormat="1" applyFont="1" applyFill="1" applyBorder="1">
      <alignment vertical="center"/>
    </xf>
    <xf numFmtId="177" fontId="7" fillId="7" borderId="150" xfId="0" applyNumberFormat="1" applyFont="1" applyFill="1" applyBorder="1">
      <alignment vertical="center"/>
    </xf>
    <xf numFmtId="177" fontId="7" fillId="7" borderId="66" xfId="0" applyNumberFormat="1" applyFont="1" applyFill="1" applyBorder="1">
      <alignment vertical="center"/>
    </xf>
    <xf numFmtId="177" fontId="6" fillId="7" borderId="31" xfId="0" applyNumberFormat="1" applyFont="1" applyFill="1" applyBorder="1">
      <alignment vertical="center"/>
    </xf>
    <xf numFmtId="0" fontId="9" fillId="7" borderId="151" xfId="0" applyFont="1" applyFill="1" applyBorder="1">
      <alignment vertical="center"/>
    </xf>
    <xf numFmtId="0" fontId="0" fillId="7" borderId="24" xfId="0" applyFill="1" applyBorder="1">
      <alignment vertical="center"/>
    </xf>
    <xf numFmtId="178" fontId="0" fillId="0" borderId="0" xfId="0" applyNumberFormat="1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59531</xdr:colOff>
      <xdr:row>36</xdr:row>
      <xdr:rowOff>47625</xdr:rowOff>
    </xdr:from>
    <xdr:to>
      <xdr:col>23</xdr:col>
      <xdr:colOff>386610</xdr:colOff>
      <xdr:row>41</xdr:row>
      <xdr:rowOff>14432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D6AF5A-1FC9-4BB0-9C67-CAC3B2AA8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7625" y="7774781"/>
          <a:ext cx="6077798" cy="103837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34</xdr:row>
      <xdr:rowOff>9525</xdr:rowOff>
    </xdr:from>
    <xdr:to>
      <xdr:col>18</xdr:col>
      <xdr:colOff>878681</xdr:colOff>
      <xdr:row>50</xdr:row>
      <xdr:rowOff>200900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805EB8F-5D55-44DF-B94C-F0DD3F03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7562850"/>
          <a:ext cx="3993356" cy="3696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1038225</xdr:colOff>
      <xdr:row>57</xdr:row>
      <xdr:rowOff>66675</xdr:rowOff>
    </xdr:from>
    <xdr:to>
      <xdr:col>24</xdr:col>
      <xdr:colOff>229134</xdr:colOff>
      <xdr:row>72</xdr:row>
      <xdr:rowOff>57587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8A3D37-A204-4AC4-8D7F-94EAABEF1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9182100"/>
          <a:ext cx="3829584" cy="313416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72</xdr:row>
      <xdr:rowOff>133350</xdr:rowOff>
    </xdr:from>
    <xdr:to>
      <xdr:col>24</xdr:col>
      <xdr:colOff>467265</xdr:colOff>
      <xdr:row>87</xdr:row>
      <xdr:rowOff>95683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A416E55-1E1F-4C5F-9D4B-45E15FA2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5125" y="12392025"/>
          <a:ext cx="3867690" cy="3105583"/>
        </a:xfrm>
        <a:prstGeom prst="rect">
          <a:avLst/>
        </a:prstGeom>
      </xdr:spPr>
    </xdr:pic>
    <xdr:clientData/>
  </xdr:twoCellAnchor>
  <xdr:twoCellAnchor editAs="oneCell">
    <xdr:from>
      <xdr:col>24</xdr:col>
      <xdr:colOff>619125</xdr:colOff>
      <xdr:row>57</xdr:row>
      <xdr:rowOff>85725</xdr:rowOff>
    </xdr:from>
    <xdr:to>
      <xdr:col>30</xdr:col>
      <xdr:colOff>314857</xdr:colOff>
      <xdr:row>72</xdr:row>
      <xdr:rowOff>114743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73A8351-9A12-45A0-83C6-8106FECD0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54675" y="9201150"/>
          <a:ext cx="3810532" cy="3172268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1047750</xdr:colOff>
      <xdr:row>89</xdr:row>
      <xdr:rowOff>57150</xdr:rowOff>
    </xdr:from>
    <xdr:to>
      <xdr:col>23</xdr:col>
      <xdr:colOff>305248</xdr:colOff>
      <xdr:row>97</xdr:row>
      <xdr:rowOff>200279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E564D9B-2A4A-43DE-969D-5F5FAF511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5" y="15878175"/>
          <a:ext cx="3210373" cy="18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84</xdr:row>
      <xdr:rowOff>66049</xdr:rowOff>
    </xdr:from>
    <xdr:to>
      <xdr:col>8</xdr:col>
      <xdr:colOff>238126</xdr:colOff>
      <xdr:row>100</xdr:row>
      <xdr:rowOff>58856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2A89FAD-89D5-4F93-861B-29829AABD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6" y="14629774"/>
          <a:ext cx="4991100" cy="3345607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83</xdr:row>
      <xdr:rowOff>123825</xdr:rowOff>
    </xdr:from>
    <xdr:to>
      <xdr:col>17</xdr:col>
      <xdr:colOff>38794</xdr:colOff>
      <xdr:row>99</xdr:row>
      <xdr:rowOff>162398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8825F5B-3AB4-4745-AF2F-B733FDEC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5" y="14687550"/>
          <a:ext cx="4972744" cy="339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81"/>
  <sheetViews>
    <sheetView tabSelected="1" zoomScale="40" zoomScaleNormal="40" workbookViewId="0">
      <pane xSplit="1" topLeftCell="B1" activePane="topRight" state="frozen"/>
      <selection activeCell="A7" sqref="A7"/>
      <selection pane="topRight" activeCell="AK30" sqref="AK30"/>
    </sheetView>
  </sheetViews>
  <sheetFormatPr defaultRowHeight="17.399999999999999" outlineLevelRow="1" x14ac:dyDescent="0.4"/>
  <cols>
    <col min="1" max="1" width="17.5" bestFit="1" customWidth="1"/>
    <col min="2" max="2" width="9.8984375" customWidth="1"/>
    <col min="3" max="5" width="9" customWidth="1"/>
    <col min="7" max="7" width="10.19921875" bestFit="1" customWidth="1"/>
    <col min="10" max="11" width="9.19921875" bestFit="1" customWidth="1"/>
    <col min="12" max="12" width="9.09765625" customWidth="1"/>
    <col min="13" max="13" width="9.19921875" bestFit="1" customWidth="1"/>
    <col min="14" max="14" width="11.19921875" bestFit="1" customWidth="1"/>
    <col min="19" max="19" width="9" customWidth="1"/>
    <col min="22" max="22" width="8" hidden="1" customWidth="1"/>
    <col min="23" max="25" width="9" customWidth="1"/>
    <col min="30" max="30" width="9" customWidth="1"/>
    <col min="32" max="32" width="15.8984375" bestFit="1" customWidth="1"/>
    <col min="34" max="34" width="8.5" customWidth="1"/>
    <col min="36" max="36" width="7" bestFit="1" customWidth="1"/>
    <col min="37" max="37" width="9.5" customWidth="1"/>
    <col min="38" max="38" width="12.5" customWidth="1"/>
    <col min="39" max="39" width="14.3984375" customWidth="1"/>
    <col min="40" max="40" width="8" customWidth="1"/>
  </cols>
  <sheetData>
    <row r="1" spans="1:30" ht="18" thickBot="1" x14ac:dyDescent="0.45">
      <c r="A1" s="30" t="s">
        <v>178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</row>
    <row r="2" spans="1:30" ht="18" thickBot="1" x14ac:dyDescent="0.45">
      <c r="A2" s="31" t="s">
        <v>179</v>
      </c>
      <c r="B2" s="397"/>
      <c r="C2" s="397"/>
      <c r="D2" s="397"/>
      <c r="E2" s="397"/>
      <c r="F2" s="397"/>
      <c r="G2" s="397"/>
      <c r="H2" s="397"/>
      <c r="I2" s="713"/>
      <c r="J2" s="398" t="s">
        <v>46</v>
      </c>
      <c r="K2" s="398" t="s">
        <v>47</v>
      </c>
      <c r="L2" s="398" t="s">
        <v>48</v>
      </c>
      <c r="M2" s="398" t="s">
        <v>49</v>
      </c>
      <c r="N2" s="399" t="s">
        <v>50</v>
      </c>
      <c r="O2" s="19" t="s">
        <v>51</v>
      </c>
      <c r="P2" s="19" t="s">
        <v>52</v>
      </c>
      <c r="Q2" s="446" t="s">
        <v>53</v>
      </c>
      <c r="R2" s="661" t="s">
        <v>54</v>
      </c>
      <c r="S2" s="661"/>
      <c r="T2" s="206" t="s">
        <v>55</v>
      </c>
      <c r="U2" s="20" t="s">
        <v>56</v>
      </c>
      <c r="V2" s="397"/>
    </row>
    <row r="3" spans="1:30" ht="18.600000000000001" thickTop="1" thickBot="1" x14ac:dyDescent="0.45">
      <c r="A3" s="498" t="s">
        <v>172</v>
      </c>
      <c r="B3" s="397"/>
      <c r="C3" s="397"/>
      <c r="D3" s="397"/>
      <c r="E3" s="397"/>
      <c r="F3" s="397"/>
      <c r="G3" s="397"/>
      <c r="H3" s="397"/>
      <c r="I3" s="713"/>
      <c r="J3" s="400">
        <v>17950</v>
      </c>
      <c r="K3" s="401">
        <f>J3/AC8</f>
        <v>0.77094454946261337</v>
      </c>
      <c r="L3" s="402">
        <f>AC12</f>
        <v>8.7525859826203367E-2</v>
      </c>
      <c r="M3" s="403">
        <f>J3/O3</f>
        <v>8.8081916703640211</v>
      </c>
      <c r="N3" s="404">
        <v>24000000</v>
      </c>
      <c r="O3" s="24">
        <f>AC10</f>
        <v>2037.8757265687625</v>
      </c>
      <c r="P3" s="25">
        <v>13</v>
      </c>
      <c r="Q3" s="447">
        <v>2.5299999999999998</v>
      </c>
      <c r="R3" s="662">
        <f>O3*P3</f>
        <v>26492.384445393913</v>
      </c>
      <c r="S3" s="663"/>
      <c r="T3" s="27">
        <f>R3/J3-1</f>
        <v>0.47589885489659678</v>
      </c>
      <c r="U3" s="482" t="s">
        <v>65</v>
      </c>
      <c r="V3" s="397"/>
      <c r="W3" s="13"/>
      <c r="X3" s="13"/>
      <c r="Y3" s="13"/>
      <c r="Z3" s="13"/>
    </row>
    <row r="4" spans="1:30" ht="18" thickBot="1" x14ac:dyDescent="0.45">
      <c r="A4" s="499"/>
      <c r="B4" s="75"/>
      <c r="C4" s="75"/>
      <c r="D4" s="75"/>
      <c r="E4" s="75"/>
      <c r="F4" s="75"/>
      <c r="G4" s="75"/>
      <c r="H4" s="75"/>
      <c r="I4" s="75"/>
      <c r="J4" s="467"/>
      <c r="K4" s="467"/>
      <c r="L4" s="467"/>
      <c r="M4" s="467"/>
      <c r="N4" s="467"/>
      <c r="O4" s="366"/>
      <c r="P4" s="467"/>
      <c r="Q4" s="467"/>
      <c r="R4" s="664"/>
      <c r="S4" s="664"/>
      <c r="T4" s="505"/>
      <c r="U4" s="75"/>
      <c r="V4" s="397"/>
      <c r="W4" s="4"/>
      <c r="X4" s="4"/>
      <c r="Y4" s="15"/>
      <c r="Z4" s="15"/>
      <c r="AA4" s="15"/>
      <c r="AB4" s="15"/>
      <c r="AC4" s="15"/>
    </row>
    <row r="5" spans="1:30" ht="18.600000000000001" thickTop="1" thickBot="1" x14ac:dyDescent="0.45">
      <c r="A5" s="500" t="s">
        <v>6</v>
      </c>
      <c r="B5" s="483" t="s">
        <v>167</v>
      </c>
      <c r="C5" s="483" t="s">
        <v>7</v>
      </c>
      <c r="D5" s="483" t="s">
        <v>8</v>
      </c>
      <c r="E5" s="483" t="s">
        <v>67</v>
      </c>
      <c r="F5" s="483" t="s">
        <v>70</v>
      </c>
      <c r="G5" s="483" t="s">
        <v>71</v>
      </c>
      <c r="H5" s="483" t="s">
        <v>72</v>
      </c>
      <c r="I5" s="483" t="s">
        <v>73</v>
      </c>
      <c r="J5" s="483" t="s">
        <v>74</v>
      </c>
      <c r="K5" s="483" t="s">
        <v>75</v>
      </c>
      <c r="L5" s="506" t="s">
        <v>164</v>
      </c>
      <c r="M5" s="507" t="s">
        <v>165</v>
      </c>
      <c r="N5" s="507" t="s">
        <v>168</v>
      </c>
      <c r="O5" s="507" t="s">
        <v>169</v>
      </c>
      <c r="P5" s="507" t="s">
        <v>170</v>
      </c>
      <c r="Q5" s="507" t="s">
        <v>171</v>
      </c>
      <c r="R5" s="483">
        <v>2019</v>
      </c>
      <c r="S5" s="483">
        <v>2020</v>
      </c>
      <c r="T5" s="507" t="s">
        <v>43</v>
      </c>
      <c r="U5" s="507" t="s">
        <v>44</v>
      </c>
      <c r="V5" s="289" t="s">
        <v>44</v>
      </c>
      <c r="Y5" s="382"/>
      <c r="Z5" s="33">
        <v>2019</v>
      </c>
      <c r="AA5" s="43">
        <v>2020</v>
      </c>
      <c r="AB5" s="44" t="s">
        <v>43</v>
      </c>
      <c r="AC5" s="44" t="s">
        <v>44</v>
      </c>
      <c r="AD5" s="118"/>
    </row>
    <row r="6" spans="1:30" x14ac:dyDescent="0.4">
      <c r="A6" s="501" t="s">
        <v>10</v>
      </c>
      <c r="B6" s="5">
        <v>1904</v>
      </c>
      <c r="C6" s="389">
        <v>2185</v>
      </c>
      <c r="D6" s="389">
        <v>2084</v>
      </c>
      <c r="E6" s="389">
        <v>1971</v>
      </c>
      <c r="F6" s="389">
        <v>2105</v>
      </c>
      <c r="G6" s="389">
        <v>1981</v>
      </c>
      <c r="H6" s="389">
        <v>1952</v>
      </c>
      <c r="I6" s="389">
        <v>2038</v>
      </c>
      <c r="J6" s="389">
        <v>2225</v>
      </c>
      <c r="K6" s="290">
        <v>2321</v>
      </c>
      <c r="L6" s="5">
        <f>K6*(1+0.017)</f>
        <v>2360.4569999999999</v>
      </c>
      <c r="M6" s="5">
        <f>L6*(1+0.017)</f>
        <v>2400.5847689999996</v>
      </c>
      <c r="N6" s="545">
        <f>M6*(1+0.017)</f>
        <v>2441.3947100729993</v>
      </c>
      <c r="O6" s="548">
        <f>N6*(1+0.027)</f>
        <v>2507.3123672449701</v>
      </c>
      <c r="P6" s="562">
        <f>O6*(1+0.017)</f>
        <v>2549.9366774881346</v>
      </c>
      <c r="Q6" s="562">
        <f>P6*(1+0.017)</f>
        <v>2593.2856010054325</v>
      </c>
      <c r="R6" s="464">
        <f>SUM(B6:E6)</f>
        <v>8144</v>
      </c>
      <c r="S6" s="290">
        <f>SUM(F6:I6)</f>
        <v>8076</v>
      </c>
      <c r="T6" s="448">
        <f>SUM(J6:M6)</f>
        <v>9307.0417689999995</v>
      </c>
      <c r="U6" s="290">
        <f>SUM(N6:Q6)</f>
        <v>10091.929355811537</v>
      </c>
      <c r="V6" s="386" t="e">
        <f>V10+V13</f>
        <v>#REF!</v>
      </c>
      <c r="Y6" s="146" t="s">
        <v>57</v>
      </c>
      <c r="Z6" s="35">
        <v>4346</v>
      </c>
      <c r="AA6" s="51">
        <v>4635</v>
      </c>
      <c r="AB6" s="51">
        <f>AA6+AB7</f>
        <v>5098.8603507331036</v>
      </c>
      <c r="AC6" s="51">
        <f>AB6+AC7</f>
        <v>5587.950525109607</v>
      </c>
      <c r="AD6" s="118"/>
    </row>
    <row r="7" spans="1:30" x14ac:dyDescent="0.4">
      <c r="A7" s="502" t="s">
        <v>14</v>
      </c>
      <c r="B7" s="521"/>
      <c r="C7" s="576"/>
      <c r="D7" s="525"/>
      <c r="E7" s="395"/>
      <c r="F7" s="508"/>
      <c r="G7" s="512"/>
      <c r="H7" s="516"/>
      <c r="I7" s="436"/>
      <c r="J7" s="520"/>
      <c r="K7" s="434"/>
      <c r="L7" s="528"/>
      <c r="M7" s="302"/>
      <c r="N7" s="546"/>
      <c r="O7" s="549"/>
      <c r="P7" s="563"/>
      <c r="Q7" s="302"/>
      <c r="R7" s="383"/>
      <c r="S7" s="295"/>
      <c r="T7" s="449"/>
      <c r="U7" s="472"/>
      <c r="V7" s="302">
        <v>1570</v>
      </c>
      <c r="Y7" s="169" t="s">
        <v>58</v>
      </c>
      <c r="Z7" s="101">
        <f>R31</f>
        <v>350</v>
      </c>
      <c r="AA7" s="101">
        <f>S31</f>
        <v>286</v>
      </c>
      <c r="AB7" s="101">
        <f>T31</f>
        <v>463.86035073310342</v>
      </c>
      <c r="AC7" s="101">
        <f>U31</f>
        <v>489.090174376503</v>
      </c>
      <c r="AD7" s="139"/>
    </row>
    <row r="8" spans="1:30" s="2" customFormat="1" x14ac:dyDescent="0.4">
      <c r="A8" s="503" t="s">
        <v>11</v>
      </c>
      <c r="B8" s="522"/>
      <c r="C8" s="577"/>
      <c r="D8" s="526"/>
      <c r="E8" s="419"/>
      <c r="F8" s="509">
        <f>F6/B6-1</f>
        <v>0.10556722689075637</v>
      </c>
      <c r="G8" s="513">
        <f t="shared" ref="G8:M8" si="0">G6/C6-1</f>
        <v>-9.3363844393592688E-2</v>
      </c>
      <c r="H8" s="517">
        <f t="shared" si="0"/>
        <v>-6.3339731285988465E-2</v>
      </c>
      <c r="I8" s="392">
        <f t="shared" si="0"/>
        <v>3.399289700659569E-2</v>
      </c>
      <c r="J8" s="509">
        <f>J6/F6-1</f>
        <v>5.700712589073631E-2</v>
      </c>
      <c r="K8" s="391">
        <f t="shared" si="0"/>
        <v>0.17163048965169114</v>
      </c>
      <c r="L8" s="529">
        <f>L6/H6-1</f>
        <v>0.20925051229508185</v>
      </c>
      <c r="M8" s="393">
        <f t="shared" si="0"/>
        <v>0.17791205544651589</v>
      </c>
      <c r="N8" s="529">
        <f>N6/J6-1</f>
        <v>9.7256049471010853E-2</v>
      </c>
      <c r="O8" s="513">
        <f t="shared" ref="O8" si="1">O6/K6-1</f>
        <v>8.0272454650999636E-2</v>
      </c>
      <c r="P8" s="517">
        <f>P6/L6-1</f>
        <v>8.0272454650999636E-2</v>
      </c>
      <c r="Q8" s="393">
        <f t="shared" ref="Q8" si="2">Q6/M6-1</f>
        <v>8.0272454650999636E-2</v>
      </c>
      <c r="R8" s="443"/>
      <c r="S8" s="414">
        <f>S6/R6-1</f>
        <v>-8.3497053045186176E-3</v>
      </c>
      <c r="T8" s="450">
        <f>T6/S6-1</f>
        <v>0.1524321160227835</v>
      </c>
      <c r="U8" s="388">
        <f>U6/T6-1</f>
        <v>8.4332659752946348E-2</v>
      </c>
      <c r="V8" s="272" t="e">
        <f>V6/U6-1</f>
        <v>#REF!</v>
      </c>
      <c r="Y8" s="146" t="s">
        <v>59</v>
      </c>
      <c r="Z8" s="35">
        <f>Z6*100000000/N3</f>
        <v>18108.333333333332</v>
      </c>
      <c r="AA8" s="35">
        <f>AA6*100000000/N3</f>
        <v>19312.5</v>
      </c>
      <c r="AB8" s="49">
        <f>AB6*100000000/N3</f>
        <v>21245.251461387932</v>
      </c>
      <c r="AC8" s="49">
        <f>AC6*100000000/N3</f>
        <v>23283.127187956696</v>
      </c>
      <c r="AD8" s="118"/>
    </row>
    <row r="9" spans="1:30" x14ac:dyDescent="0.4">
      <c r="A9" s="504" t="s">
        <v>12</v>
      </c>
      <c r="B9" s="523"/>
      <c r="C9" s="518">
        <f t="shared" ref="C9" si="3">C6/B6-1</f>
        <v>0.1475840336134453</v>
      </c>
      <c r="D9" s="514">
        <f t="shared" ref="D9" si="4">D6/C6-1</f>
        <v>-4.6224256292906163E-2</v>
      </c>
      <c r="E9" s="396">
        <f t="shared" ref="E9" si="5">E6/D6-1</f>
        <v>-5.4222648752399238E-2</v>
      </c>
      <c r="F9" s="510">
        <f t="shared" ref="F9:M9" si="6">F6/E6-1</f>
        <v>6.7985794013191381E-2</v>
      </c>
      <c r="G9" s="514">
        <f t="shared" si="6"/>
        <v>-5.8907363420427572E-2</v>
      </c>
      <c r="H9" s="518">
        <f t="shared" si="6"/>
        <v>-1.463907117617369E-2</v>
      </c>
      <c r="I9" s="396">
        <f t="shared" si="6"/>
        <v>4.4057377049180335E-2</v>
      </c>
      <c r="J9" s="510">
        <f t="shared" si="6"/>
        <v>9.1756624141315024E-2</v>
      </c>
      <c r="K9" s="420">
        <f>K6/J6-1</f>
        <v>4.3146067415730238E-2</v>
      </c>
      <c r="L9" s="530">
        <f t="shared" si="6"/>
        <v>1.6999999999999904E-2</v>
      </c>
      <c r="M9" s="421">
        <f t="shared" si="6"/>
        <v>1.6999999999999904E-2</v>
      </c>
      <c r="N9" s="530">
        <f t="shared" ref="N9" si="7">N6/M6-1</f>
        <v>1.6999999999999904E-2</v>
      </c>
      <c r="O9" s="514">
        <f>O6/N6-1</f>
        <v>2.6999999999999913E-2</v>
      </c>
      <c r="P9" s="518">
        <f t="shared" ref="P9" si="8">P6/O6-1</f>
        <v>1.6999999999999904E-2</v>
      </c>
      <c r="Q9" s="421">
        <f t="shared" ref="Q9" si="9">Q6/P6-1</f>
        <v>1.6999999999999904E-2</v>
      </c>
      <c r="R9" s="422"/>
      <c r="S9" s="423"/>
      <c r="T9" s="444"/>
      <c r="U9" s="423"/>
      <c r="V9" s="387"/>
      <c r="Y9" s="168" t="s">
        <v>37</v>
      </c>
      <c r="Z9" s="40"/>
      <c r="AA9" s="40">
        <f>(AA8-Z8)/Z8</f>
        <v>6.6497929130234765E-2</v>
      </c>
      <c r="AB9" s="50">
        <f>(AB8-AA8)/AA8</f>
        <v>0.10007774557348516</v>
      </c>
      <c r="AC9" s="50">
        <f>(AC8-AB8)/AB8</f>
        <v>9.5921468864347867E-2</v>
      </c>
      <c r="AD9" s="118"/>
    </row>
    <row r="10" spans="1:30" outlineLevel="1" x14ac:dyDescent="0.4">
      <c r="A10" s="493" t="s">
        <v>15</v>
      </c>
      <c r="B10" s="578">
        <v>1507</v>
      </c>
      <c r="C10" s="592">
        <v>1666</v>
      </c>
      <c r="D10" s="599">
        <v>1674</v>
      </c>
      <c r="E10" s="306">
        <v>1632</v>
      </c>
      <c r="F10" s="606">
        <v>1690</v>
      </c>
      <c r="G10" s="599">
        <v>1563</v>
      </c>
      <c r="H10" s="592">
        <v>1546</v>
      </c>
      <c r="I10" s="437">
        <v>1638</v>
      </c>
      <c r="J10" s="624">
        <v>1744</v>
      </c>
      <c r="K10" s="108">
        <v>1800</v>
      </c>
      <c r="L10" s="685">
        <f>L6-L13</f>
        <v>1904.8887989999998</v>
      </c>
      <c r="M10" s="686">
        <f>M6-M13</f>
        <v>1937.2719085829997</v>
      </c>
      <c r="N10" s="685">
        <f>N6-N13</f>
        <v>1914.0534526972315</v>
      </c>
      <c r="O10" s="687">
        <f t="shared" ref="O10:Q10" si="10">O6-O13</f>
        <v>1965.7328959200565</v>
      </c>
      <c r="P10" s="687">
        <f t="shared" si="10"/>
        <v>2057.7988987329245</v>
      </c>
      <c r="Q10" s="686">
        <f t="shared" si="10"/>
        <v>2092.7814800113838</v>
      </c>
      <c r="R10" s="475">
        <f>SUM(B10:E10)</f>
        <v>6479</v>
      </c>
      <c r="S10" s="292">
        <f>SUM(F10:I10)</f>
        <v>6437</v>
      </c>
      <c r="T10" s="451">
        <f>SUM(J10:M10)</f>
        <v>7386.1607075829997</v>
      </c>
      <c r="U10" s="292">
        <f>SUM(N10:Q10)</f>
        <v>8030.3667273615965</v>
      </c>
      <c r="V10" s="275" t="e">
        <f>#REF!*1.2</f>
        <v>#REF!</v>
      </c>
      <c r="Y10" s="146" t="s">
        <v>60</v>
      </c>
      <c r="Z10" s="35">
        <f>Z7*100000000/N3</f>
        <v>1458.3333333333333</v>
      </c>
      <c r="AA10" s="35">
        <f>AA7*100000000/N3</f>
        <v>1191.6666666666667</v>
      </c>
      <c r="AB10" s="51">
        <f>AB7*100000000/N3</f>
        <v>1932.7514613879309</v>
      </c>
      <c r="AC10" s="51">
        <f>AC7*100000000/N3</f>
        <v>2037.8757265687625</v>
      </c>
      <c r="AD10" s="118"/>
    </row>
    <row r="11" spans="1:30" outlineLevel="1" x14ac:dyDescent="0.4">
      <c r="A11" s="494" t="s">
        <v>11</v>
      </c>
      <c r="B11" s="579"/>
      <c r="C11" s="593"/>
      <c r="D11" s="600"/>
      <c r="E11" s="597"/>
      <c r="F11" s="607">
        <f t="shared" ref="F11:Q11" si="11">F10/B10-1</f>
        <v>0.1214333112143331</v>
      </c>
      <c r="G11" s="640">
        <f t="shared" si="11"/>
        <v>-6.1824729891956753E-2</v>
      </c>
      <c r="H11" s="640">
        <f t="shared" si="11"/>
        <v>-7.6463560334528058E-2</v>
      </c>
      <c r="I11" s="640">
        <f t="shared" si="11"/>
        <v>3.6764705882352811E-3</v>
      </c>
      <c r="J11" s="517">
        <f t="shared" si="11"/>
        <v>3.1952662721893565E-2</v>
      </c>
      <c r="K11" s="641">
        <f t="shared" si="11"/>
        <v>0.15163147792706333</v>
      </c>
      <c r="L11" s="658">
        <f t="shared" si="11"/>
        <v>0.2321402322121604</v>
      </c>
      <c r="M11" s="641">
        <f t="shared" si="11"/>
        <v>0.18270568289560418</v>
      </c>
      <c r="N11" s="635">
        <f t="shared" si="11"/>
        <v>9.7507713702541077E-2</v>
      </c>
      <c r="O11" s="634">
        <f t="shared" si="11"/>
        <v>9.2073831066697975E-2</v>
      </c>
      <c r="P11" s="635">
        <f t="shared" si="11"/>
        <v>8.0272454650999636E-2</v>
      </c>
      <c r="Q11" s="641">
        <f t="shared" si="11"/>
        <v>8.0272454650999414E-2</v>
      </c>
      <c r="R11" s="419"/>
      <c r="S11" s="388">
        <f>S10/R10-1</f>
        <v>-6.4824818644853011E-3</v>
      </c>
      <c r="T11" s="450">
        <f>T10/S10-1</f>
        <v>0.14745389274242648</v>
      </c>
      <c r="U11" s="388">
        <f>U10/T10-1</f>
        <v>8.7217980393687222E-2</v>
      </c>
      <c r="V11" s="418" t="e">
        <f>V10/#REF!-1</f>
        <v>#REF!</v>
      </c>
      <c r="Y11" s="170" t="s">
        <v>37</v>
      </c>
      <c r="Z11" s="55"/>
      <c r="AA11" s="56">
        <f>(AA10-Z10)/Z10</f>
        <v>-0.18285714285714277</v>
      </c>
      <c r="AB11" s="57">
        <f>(AB10-AA10)/AA10</f>
        <v>0.62188933822763426</v>
      </c>
      <c r="AC11" s="57">
        <f>(AC10-AB10)/AB10</f>
        <v>5.4390989882030998E-2</v>
      </c>
      <c r="AD11" s="139"/>
    </row>
    <row r="12" spans="1:30" s="2" customFormat="1" ht="18" outlineLevel="1" thickBot="1" x14ac:dyDescent="0.45">
      <c r="A12" s="695" t="s">
        <v>12</v>
      </c>
      <c r="B12" s="696" t="s">
        <v>166</v>
      </c>
      <c r="C12" s="697">
        <f t="shared" ref="C12:Q12" si="12">C10/B10-1</f>
        <v>0.10550763105507621</v>
      </c>
      <c r="D12" s="698">
        <f t="shared" si="12"/>
        <v>4.8019207683074328E-3</v>
      </c>
      <c r="E12" s="699">
        <f t="shared" si="12"/>
        <v>-2.508960573476704E-2</v>
      </c>
      <c r="F12" s="700">
        <f t="shared" si="12"/>
        <v>3.5539215686274606E-2</v>
      </c>
      <c r="G12" s="513">
        <f t="shared" si="12"/>
        <v>-7.5147928994082847E-2</v>
      </c>
      <c r="H12" s="513">
        <f t="shared" si="12"/>
        <v>-1.0876519513755567E-2</v>
      </c>
      <c r="I12" s="656">
        <f t="shared" si="12"/>
        <v>5.9508408796895118E-2</v>
      </c>
      <c r="J12" s="517">
        <f t="shared" si="12"/>
        <v>6.4713064713064705E-2</v>
      </c>
      <c r="K12" s="654">
        <f t="shared" si="12"/>
        <v>3.2110091743119185E-2</v>
      </c>
      <c r="L12" s="659">
        <f t="shared" si="12"/>
        <v>5.8271554999999919E-2</v>
      </c>
      <c r="M12" s="655">
        <f t="shared" si="12"/>
        <v>1.6999999999999904E-2</v>
      </c>
      <c r="N12" s="517">
        <f t="shared" si="12"/>
        <v>-1.1985130111524245E-2</v>
      </c>
      <c r="O12" s="513">
        <f t="shared" si="12"/>
        <v>2.6999999999999913E-2</v>
      </c>
      <c r="P12" s="657">
        <f t="shared" si="12"/>
        <v>4.6835459183673489E-2</v>
      </c>
      <c r="Q12" s="655">
        <f t="shared" si="12"/>
        <v>1.6999999999999904E-2</v>
      </c>
      <c r="R12" s="419"/>
      <c r="S12" s="291"/>
      <c r="T12" s="419"/>
      <c r="U12" s="291"/>
      <c r="V12" s="282"/>
      <c r="Y12" s="143" t="s">
        <v>61</v>
      </c>
      <c r="Z12" s="41">
        <f>Z7/Z6</f>
        <v>8.0533824206166588E-2</v>
      </c>
      <c r="AA12" s="41">
        <f>AA7/AA6</f>
        <v>6.1704422869471413E-2</v>
      </c>
      <c r="AB12" s="52">
        <f>AB7/AB6</f>
        <v>9.0973338908254375E-2</v>
      </c>
      <c r="AC12" s="52">
        <f>AC7/AC6</f>
        <v>8.7525859826203367E-2</v>
      </c>
      <c r="AD12" s="118"/>
    </row>
    <row r="13" spans="1:30" outlineLevel="1" x14ac:dyDescent="0.4">
      <c r="A13" s="495" t="s">
        <v>17</v>
      </c>
      <c r="B13" s="524">
        <f t="shared" ref="B13:K13" si="13">B6-B10</f>
        <v>397</v>
      </c>
      <c r="C13" s="519">
        <f t="shared" si="13"/>
        <v>519</v>
      </c>
      <c r="D13" s="515">
        <f t="shared" si="13"/>
        <v>410</v>
      </c>
      <c r="E13" s="598">
        <f t="shared" si="13"/>
        <v>339</v>
      </c>
      <c r="F13" s="608">
        <f t="shared" si="13"/>
        <v>415</v>
      </c>
      <c r="G13" s="649">
        <f t="shared" si="13"/>
        <v>418</v>
      </c>
      <c r="H13" s="649">
        <f t="shared" si="13"/>
        <v>406</v>
      </c>
      <c r="I13" s="650">
        <f t="shared" si="13"/>
        <v>400</v>
      </c>
      <c r="J13" s="651">
        <f t="shared" si="13"/>
        <v>481</v>
      </c>
      <c r="K13" s="653">
        <f t="shared" si="13"/>
        <v>521</v>
      </c>
      <c r="L13" s="684">
        <f>L6*L14</f>
        <v>455.56820099999999</v>
      </c>
      <c r="M13" s="691">
        <f>M6*M14</f>
        <v>463.31286041699991</v>
      </c>
      <c r="N13" s="689">
        <f>N6*N14</f>
        <v>527.34125737576778</v>
      </c>
      <c r="O13" s="650">
        <f t="shared" ref="O13:Q13" si="14">O6*O14</f>
        <v>541.57947132491358</v>
      </c>
      <c r="P13" s="690">
        <f t="shared" si="14"/>
        <v>492.13777875520998</v>
      </c>
      <c r="Q13" s="688">
        <f t="shared" si="14"/>
        <v>500.50412099404849</v>
      </c>
      <c r="R13" s="650">
        <f>SUM(B13:E13)</f>
        <v>1665</v>
      </c>
      <c r="S13" s="652">
        <f>SUM(F13:I13)</f>
        <v>1639</v>
      </c>
      <c r="T13" s="650">
        <f>SUM(J13:M13)</f>
        <v>1920.881061417</v>
      </c>
      <c r="U13" s="651">
        <f>SUM(N13:Q13)</f>
        <v>2061.5626284499399</v>
      </c>
      <c r="V13" s="275" t="e">
        <f>SUM(#REF!)</f>
        <v>#REF!</v>
      </c>
      <c r="W13" s="694"/>
      <c r="Y13" s="146" t="s">
        <v>62</v>
      </c>
      <c r="Z13" s="47">
        <f>J3/Z8</f>
        <v>0.99125632765761629</v>
      </c>
      <c r="AA13" s="47">
        <f>J3/AA8</f>
        <v>0.92944983818770222</v>
      </c>
      <c r="AB13" s="47">
        <f>J3/AB8</f>
        <v>0.84489468306003024</v>
      </c>
      <c r="AC13" s="47">
        <f>J3/AC8</f>
        <v>0.77094454946261337</v>
      </c>
      <c r="AD13" s="118"/>
    </row>
    <row r="14" spans="1:30" ht="18" outlineLevel="1" thickBot="1" x14ac:dyDescent="0.45">
      <c r="A14" s="484" t="s">
        <v>18</v>
      </c>
      <c r="B14" s="580">
        <f t="shared" ref="B14:U17" si="15">B13/B6</f>
        <v>0.20850840336134455</v>
      </c>
      <c r="C14" s="565">
        <f t="shared" si="15"/>
        <v>0.23752860411899313</v>
      </c>
      <c r="D14" s="551">
        <f t="shared" si="15"/>
        <v>0.19673704414587331</v>
      </c>
      <c r="E14" s="109">
        <f t="shared" si="15"/>
        <v>0.17199391171993911</v>
      </c>
      <c r="F14" s="609">
        <f t="shared" si="15"/>
        <v>0.19714964370546317</v>
      </c>
      <c r="G14" s="642">
        <f t="shared" si="15"/>
        <v>0.21100454316002018</v>
      </c>
      <c r="H14" s="643">
        <f t="shared" si="15"/>
        <v>0.20799180327868852</v>
      </c>
      <c r="I14" s="90">
        <f t="shared" si="15"/>
        <v>0.19627085377821393</v>
      </c>
      <c r="J14" s="644">
        <f t="shared" si="15"/>
        <v>0.21617977528089888</v>
      </c>
      <c r="K14" s="645">
        <f t="shared" si="15"/>
        <v>0.22447221025420078</v>
      </c>
      <c r="L14" s="646">
        <v>0.193</v>
      </c>
      <c r="M14" s="692">
        <v>0.193</v>
      </c>
      <c r="N14" s="646">
        <v>0.216</v>
      </c>
      <c r="O14" s="642">
        <v>0.216</v>
      </c>
      <c r="P14" s="643">
        <v>0.193</v>
      </c>
      <c r="Q14" s="647">
        <v>0.193</v>
      </c>
      <c r="R14" s="90">
        <f t="shared" si="15"/>
        <v>0.20444499017681728</v>
      </c>
      <c r="S14" s="648">
        <f t="shared" si="15"/>
        <v>0.2029470034670629</v>
      </c>
      <c r="T14" s="90">
        <f t="shared" si="15"/>
        <v>0.20639007636294193</v>
      </c>
      <c r="U14" s="648">
        <f t="shared" si="15"/>
        <v>0.20427834517715571</v>
      </c>
      <c r="V14" s="418" t="e">
        <f>V13/#REF!-1</f>
        <v>#REF!</v>
      </c>
      <c r="Y14" s="147" t="s">
        <v>63</v>
      </c>
      <c r="Z14" s="48">
        <f>J3/Z10</f>
        <v>12.30857142857143</v>
      </c>
      <c r="AA14" s="48">
        <f>J3/AA10</f>
        <v>15.062937062937062</v>
      </c>
      <c r="AB14" s="48">
        <f>J3/AB10</f>
        <v>9.287277934385779</v>
      </c>
      <c r="AC14" s="48">
        <f>J3/AC10</f>
        <v>8.8081916703640211</v>
      </c>
      <c r="AD14" s="118"/>
    </row>
    <row r="15" spans="1:30" outlineLevel="1" x14ac:dyDescent="0.4">
      <c r="A15" s="496" t="s">
        <v>19</v>
      </c>
      <c r="B15" s="581">
        <v>259</v>
      </c>
      <c r="C15" s="594">
        <v>286</v>
      </c>
      <c r="D15" s="601">
        <v>270</v>
      </c>
      <c r="E15" s="405">
        <v>257</v>
      </c>
      <c r="F15" s="610">
        <v>234</v>
      </c>
      <c r="G15" s="601">
        <v>256</v>
      </c>
      <c r="H15" s="594">
        <v>248</v>
      </c>
      <c r="I15" s="438">
        <v>220</v>
      </c>
      <c r="J15" s="625">
        <v>308</v>
      </c>
      <c r="K15" s="406">
        <v>304</v>
      </c>
      <c r="L15" s="532">
        <f>AVERAGE(B15:K15)</f>
        <v>264.2</v>
      </c>
      <c r="M15" s="406">
        <f>AVERAGE(B15:K15)</f>
        <v>264.2</v>
      </c>
      <c r="N15" s="532">
        <f>AVERAGE(B15:K15)</f>
        <v>264.2</v>
      </c>
      <c r="O15" s="552">
        <f>AVERAGE(B15:K15)</f>
        <v>264.2</v>
      </c>
      <c r="P15" s="566">
        <f>AVERAGE(B15:K15)</f>
        <v>264.2</v>
      </c>
      <c r="Q15" s="406">
        <f>AVERAGE(B15:K15)</f>
        <v>264.2</v>
      </c>
      <c r="R15" s="476">
        <f>SUM(B15:E15)</f>
        <v>1072</v>
      </c>
      <c r="S15" s="407">
        <f>SUM(F15:I15)</f>
        <v>958</v>
      </c>
      <c r="T15" s="453">
        <f>SUM(J15:M15)</f>
        <v>1140.4000000000001</v>
      </c>
      <c r="U15" s="407">
        <f>SUM(N15:Q15)</f>
        <v>1056.8</v>
      </c>
      <c r="V15" s="282"/>
    </row>
    <row r="16" spans="1:30" x14ac:dyDescent="0.4">
      <c r="A16" s="486" t="s">
        <v>16</v>
      </c>
      <c r="B16" s="582">
        <f t="shared" ref="B16:J16" si="16">B15/B6</f>
        <v>0.13602941176470587</v>
      </c>
      <c r="C16" s="567">
        <f t="shared" si="16"/>
        <v>0.1308924485125858</v>
      </c>
      <c r="D16" s="553">
        <f t="shared" si="16"/>
        <v>0.12955854126679461</v>
      </c>
      <c r="E16" s="409">
        <f t="shared" si="16"/>
        <v>0.13039066463723997</v>
      </c>
      <c r="F16" s="611">
        <f t="shared" si="16"/>
        <v>0.11116389548693587</v>
      </c>
      <c r="G16" s="553">
        <f t="shared" si="16"/>
        <v>0.12922766279656739</v>
      </c>
      <c r="H16" s="567">
        <f t="shared" si="16"/>
        <v>0.12704918032786885</v>
      </c>
      <c r="I16" s="409">
        <f t="shared" si="16"/>
        <v>0.10794896957801767</v>
      </c>
      <c r="J16" s="611">
        <f t="shared" si="16"/>
        <v>0.13842696629213483</v>
      </c>
      <c r="K16" s="410">
        <f>G16</f>
        <v>0.12922766279656739</v>
      </c>
      <c r="L16" s="533">
        <f>L15/L6</f>
        <v>0.11192747845014758</v>
      </c>
      <c r="M16" s="411">
        <f>M15/M6</f>
        <v>0.11005651765009596</v>
      </c>
      <c r="N16" s="533">
        <f>N15/N6</f>
        <v>0.10821683151435199</v>
      </c>
      <c r="O16" s="553">
        <f>K16</f>
        <v>0.12922766279656739</v>
      </c>
      <c r="P16" s="567">
        <f t="shared" ref="P16:U16" si="17">P15/P6</f>
        <v>0.1036104160281562</v>
      </c>
      <c r="Q16" s="411">
        <f t="shared" si="17"/>
        <v>0.10187848183692844</v>
      </c>
      <c r="R16" s="412">
        <f t="shared" si="17"/>
        <v>0.13163064833005894</v>
      </c>
      <c r="S16" s="413">
        <f t="shared" si="17"/>
        <v>0.11862308073303615</v>
      </c>
      <c r="T16" s="454">
        <f t="shared" si="17"/>
        <v>0.12253087804961373</v>
      </c>
      <c r="U16" s="413">
        <f t="shared" si="17"/>
        <v>0.10471734023697177</v>
      </c>
      <c r="V16" s="273" t="e">
        <f>V6-V21</f>
        <v>#REF!</v>
      </c>
      <c r="X16" s="4"/>
      <c r="Y16" s="79"/>
      <c r="Z16" s="80"/>
      <c r="AA16" s="80"/>
      <c r="AB16" s="138"/>
      <c r="AC16" s="138"/>
      <c r="AD16" s="138"/>
    </row>
    <row r="17" spans="1:46" s="2" customFormat="1" x14ac:dyDescent="0.4">
      <c r="A17" s="493" t="s">
        <v>20</v>
      </c>
      <c r="B17" s="583">
        <f t="shared" ref="B17:I17" si="18">B13-B15</f>
        <v>138</v>
      </c>
      <c r="C17" s="568">
        <f t="shared" si="18"/>
        <v>233</v>
      </c>
      <c r="D17" s="554">
        <f t="shared" si="18"/>
        <v>140</v>
      </c>
      <c r="E17" s="308">
        <f t="shared" si="18"/>
        <v>82</v>
      </c>
      <c r="F17" s="612">
        <f t="shared" si="18"/>
        <v>181</v>
      </c>
      <c r="G17" s="554">
        <f t="shared" si="18"/>
        <v>162</v>
      </c>
      <c r="H17" s="568">
        <f t="shared" si="18"/>
        <v>158</v>
      </c>
      <c r="I17" s="308">
        <f t="shared" si="18"/>
        <v>180</v>
      </c>
      <c r="J17" s="612">
        <f>J13-J15</f>
        <v>173</v>
      </c>
      <c r="K17" s="480">
        <f>K13-K15</f>
        <v>217</v>
      </c>
      <c r="L17" s="534">
        <f>L6*L19</f>
        <v>187.93274701690802</v>
      </c>
      <c r="M17" s="480">
        <f>M6*M19</f>
        <v>191.12760371619544</v>
      </c>
      <c r="N17" s="534">
        <f>N6*N19</f>
        <v>194.37677297937074</v>
      </c>
      <c r="O17" s="554">
        <f>O6*O19</f>
        <v>199.62494584981374</v>
      </c>
      <c r="P17" s="568">
        <f>P6*P19</f>
        <v>203.01856992926059</v>
      </c>
      <c r="Q17" s="110">
        <f>Q6*Q19</f>
        <v>206.46988561805799</v>
      </c>
      <c r="R17" s="455">
        <f>SUM(B17:E17)</f>
        <v>593</v>
      </c>
      <c r="S17" s="294">
        <f>SUM(F17:I17)</f>
        <v>681</v>
      </c>
      <c r="T17" s="455">
        <f>SUM(J17:M17)</f>
        <v>769.06035073310341</v>
      </c>
      <c r="U17" s="477">
        <f>SUM(N17:Q17)</f>
        <v>803.49017437650309</v>
      </c>
      <c r="V17" s="390" t="e">
        <f>#REF!*1.3</f>
        <v>#REF!</v>
      </c>
      <c r="W17" s="3"/>
      <c r="AC17" s="80"/>
      <c r="AD17" s="3"/>
    </row>
    <row r="18" spans="1:46" s="2" customFormat="1" x14ac:dyDescent="0.4">
      <c r="A18" s="497" t="s">
        <v>14</v>
      </c>
      <c r="B18" s="521"/>
      <c r="C18" s="576"/>
      <c r="D18" s="525"/>
      <c r="E18" s="309"/>
      <c r="F18" s="508"/>
      <c r="G18" s="512"/>
      <c r="H18" s="516"/>
      <c r="I18" s="436"/>
      <c r="J18" s="520"/>
      <c r="K18" s="481"/>
      <c r="L18" s="535"/>
      <c r="M18" s="468"/>
      <c r="N18" s="535"/>
      <c r="O18" s="555"/>
      <c r="P18" s="569"/>
      <c r="Q18" s="424"/>
      <c r="R18" s="469"/>
      <c r="S18" s="295"/>
      <c r="T18" s="449"/>
      <c r="U18" s="478"/>
      <c r="V18" s="390" t="e">
        <f t="shared" ref="V18" si="19">V16-V17</f>
        <v>#REF!</v>
      </c>
      <c r="Z18" s="2" t="s">
        <v>173</v>
      </c>
      <c r="AD18" s="80"/>
      <c r="AE18" s="3"/>
    </row>
    <row r="19" spans="1:46" s="2" customFormat="1" x14ac:dyDescent="0.4">
      <c r="A19" s="484" t="s">
        <v>21</v>
      </c>
      <c r="B19" s="584">
        <f t="shared" ref="B19:U19" si="20">B17/B6</f>
        <v>7.2478991596638662E-2</v>
      </c>
      <c r="C19" s="570">
        <f t="shared" si="20"/>
        <v>0.10663615560640732</v>
      </c>
      <c r="D19" s="556">
        <f t="shared" si="20"/>
        <v>6.71785028790787E-2</v>
      </c>
      <c r="E19" s="314">
        <f t="shared" si="20"/>
        <v>4.1603247082699135E-2</v>
      </c>
      <c r="F19" s="613">
        <f t="shared" si="20"/>
        <v>8.5985748218527322E-2</v>
      </c>
      <c r="G19" s="556">
        <f t="shared" si="20"/>
        <v>8.1776880363452806E-2</v>
      </c>
      <c r="H19" s="570">
        <f t="shared" si="20"/>
        <v>8.0942622950819679E-2</v>
      </c>
      <c r="I19" s="314">
        <f t="shared" si="20"/>
        <v>8.8321884200196266E-2</v>
      </c>
      <c r="J19" s="613">
        <f t="shared" si="20"/>
        <v>7.7752808988764049E-2</v>
      </c>
      <c r="K19" s="271">
        <f t="shared" si="20"/>
        <v>9.3494183541576903E-2</v>
      </c>
      <c r="L19" s="536">
        <f>AVERAGE(B19:K19)</f>
        <v>7.9617102542816093E-2</v>
      </c>
      <c r="M19" s="284">
        <f>AVERAGE(B19:K19)</f>
        <v>7.9617102542816093E-2</v>
      </c>
      <c r="N19" s="536">
        <f>AVERAGE(B19:K19)</f>
        <v>7.9617102542816093E-2</v>
      </c>
      <c r="O19" s="556">
        <f>AVERAGE(B19:K19)</f>
        <v>7.9617102542816093E-2</v>
      </c>
      <c r="P19" s="570">
        <f>AVERAGE(B19:K19)</f>
        <v>7.9617102542816093E-2</v>
      </c>
      <c r="Q19" s="284">
        <f>AVERAGE(B19:K19)</f>
        <v>7.9617102542816093E-2</v>
      </c>
      <c r="R19" s="307">
        <f t="shared" si="20"/>
        <v>7.2814341846758349E-2</v>
      </c>
      <c r="S19" s="293">
        <f t="shared" si="20"/>
        <v>8.4323922734026752E-2</v>
      </c>
      <c r="T19" s="452">
        <f t="shared" si="20"/>
        <v>8.263209404460807E-2</v>
      </c>
      <c r="U19" s="293">
        <f t="shared" si="20"/>
        <v>7.9617102542816093E-2</v>
      </c>
      <c r="V19" s="272" t="e">
        <f>V16/U10-1</f>
        <v>#REF!</v>
      </c>
      <c r="W19" s="186"/>
      <c r="X19" s="186"/>
      <c r="Z19" s="2" t="s">
        <v>174</v>
      </c>
      <c r="AD19" s="80"/>
    </row>
    <row r="20" spans="1:46" x14ac:dyDescent="0.4">
      <c r="A20" s="485" t="s">
        <v>11</v>
      </c>
      <c r="B20" s="585"/>
      <c r="C20" s="571"/>
      <c r="D20" s="557"/>
      <c r="E20" s="310"/>
      <c r="F20" s="614">
        <f t="shared" ref="F20:M20" si="21">F17/B17-1</f>
        <v>0.31159420289855078</v>
      </c>
      <c r="G20" s="557">
        <f t="shared" si="21"/>
        <v>-0.30472103004291851</v>
      </c>
      <c r="H20" s="571">
        <f t="shared" si="21"/>
        <v>0.12857142857142856</v>
      </c>
      <c r="I20" s="310">
        <f t="shared" si="21"/>
        <v>1.1951219512195124</v>
      </c>
      <c r="J20" s="614">
        <f t="shared" si="21"/>
        <v>-4.4198895027624308E-2</v>
      </c>
      <c r="K20" s="107">
        <f t="shared" si="21"/>
        <v>0.33950617283950613</v>
      </c>
      <c r="L20" s="537">
        <f>L17/H17-1</f>
        <v>0.18944776592979773</v>
      </c>
      <c r="M20" s="274">
        <f t="shared" si="21"/>
        <v>6.182002064553016E-2</v>
      </c>
      <c r="N20" s="537">
        <f t="shared" ref="N20" si="22">N17/J17-1</f>
        <v>0.12356516173046672</v>
      </c>
      <c r="O20" s="557">
        <f t="shared" ref="O20" si="23">O17/K17-1</f>
        <v>-8.0069373963991941E-2</v>
      </c>
      <c r="P20" s="571">
        <f>P17/L17-1</f>
        <v>8.0272454650999858E-2</v>
      </c>
      <c r="Q20" s="274">
        <f t="shared" ref="Q20" si="24">Q17/M17-1</f>
        <v>8.0272454650999636E-2</v>
      </c>
      <c r="R20" s="419"/>
      <c r="S20" s="433">
        <f>S17/R17-1</f>
        <v>0.14839797639123109</v>
      </c>
      <c r="T20" s="456">
        <f>T17/S17-1</f>
        <v>0.12931035349941755</v>
      </c>
      <c r="U20" s="473">
        <f>U17/T17-1</f>
        <v>4.4768688972951942E-2</v>
      </c>
      <c r="V20" s="282"/>
      <c r="Z20" t="s">
        <v>175</v>
      </c>
    </row>
    <row r="21" spans="1:46" x14ac:dyDescent="0.4">
      <c r="A21" s="486" t="s">
        <v>12</v>
      </c>
      <c r="B21" s="585"/>
      <c r="C21" s="571">
        <f t="shared" ref="C21:M21" si="25">C17/B17-1</f>
        <v>0.68840579710144922</v>
      </c>
      <c r="D21" s="557">
        <f t="shared" si="25"/>
        <v>-0.39914163090128751</v>
      </c>
      <c r="E21" s="310">
        <f t="shared" si="25"/>
        <v>-0.41428571428571426</v>
      </c>
      <c r="F21" s="614">
        <f t="shared" si="25"/>
        <v>1.2073170731707319</v>
      </c>
      <c r="G21" s="557">
        <f t="shared" si="25"/>
        <v>-0.10497237569060769</v>
      </c>
      <c r="H21" s="571">
        <f t="shared" si="25"/>
        <v>-2.4691358024691357E-2</v>
      </c>
      <c r="I21" s="439">
        <f t="shared" si="25"/>
        <v>0.139240506329114</v>
      </c>
      <c r="J21" s="614">
        <f t="shared" si="25"/>
        <v>-3.8888888888888862E-2</v>
      </c>
      <c r="K21" s="274">
        <f t="shared" si="25"/>
        <v>0.25433526011560703</v>
      </c>
      <c r="L21" s="537">
        <f t="shared" si="25"/>
        <v>-0.1339504745764607</v>
      </c>
      <c r="M21" s="274">
        <f t="shared" si="25"/>
        <v>1.6999999999999904E-2</v>
      </c>
      <c r="N21" s="537">
        <f t="shared" ref="N21" si="26">N17/M17-1</f>
        <v>1.6999999999999904E-2</v>
      </c>
      <c r="O21" s="557">
        <f t="shared" ref="O21" si="27">O17/N17-1</f>
        <v>2.6999999999999913E-2</v>
      </c>
      <c r="P21" s="571">
        <f t="shared" ref="P21" si="28">P17/O17-1</f>
        <v>1.7000000000000126E-2</v>
      </c>
      <c r="Q21" s="274">
        <f t="shared" ref="Q21" si="29">Q17/P17-1</f>
        <v>1.6999999999999904E-2</v>
      </c>
      <c r="R21" s="470"/>
      <c r="S21" s="296"/>
      <c r="T21" s="445"/>
      <c r="U21" s="296"/>
      <c r="V21" s="283" t="e">
        <f>V6*V22</f>
        <v>#REF!</v>
      </c>
      <c r="Z21" t="s">
        <v>176</v>
      </c>
      <c r="AE21" s="2"/>
    </row>
    <row r="22" spans="1:46" x14ac:dyDescent="0.4">
      <c r="A22" s="487" t="s">
        <v>24</v>
      </c>
      <c r="B22" s="586">
        <v>-29</v>
      </c>
      <c r="C22" s="564">
        <v>-37</v>
      </c>
      <c r="D22" s="550">
        <v>-28</v>
      </c>
      <c r="E22" s="111">
        <v>-20</v>
      </c>
      <c r="F22" s="511">
        <v>-39</v>
      </c>
      <c r="G22" s="550">
        <v>-9</v>
      </c>
      <c r="H22" s="564">
        <v>-31</v>
      </c>
      <c r="I22" s="111">
        <v>-37</v>
      </c>
      <c r="J22" s="511">
        <v>-2</v>
      </c>
      <c r="K22" s="276">
        <v>-11</v>
      </c>
      <c r="L22" s="538">
        <f>AVERAGE(B22:K22)</f>
        <v>-24.3</v>
      </c>
      <c r="M22" s="276">
        <f>AVERAGE(B22:K22)</f>
        <v>-24.3</v>
      </c>
      <c r="N22" s="538">
        <f>AVERAGE(B22:K22)</f>
        <v>-24.3</v>
      </c>
      <c r="O22" s="550">
        <f>AVERAGE(B22:K22)</f>
        <v>-24.3</v>
      </c>
      <c r="P22" s="564">
        <f>AVERAGE(B22:K22)</f>
        <v>-24.3</v>
      </c>
      <c r="Q22" s="276">
        <f>AVERAGE(B22:K22)</f>
        <v>-24.3</v>
      </c>
      <c r="R22" s="417">
        <f>SUM(B22:E22)</f>
        <v>-114</v>
      </c>
      <c r="S22" s="297">
        <f>SUM(F22:I22)</f>
        <v>-116</v>
      </c>
      <c r="T22" s="416">
        <f>SUM(J22:M22)</f>
        <v>-61.599999999999994</v>
      </c>
      <c r="U22" s="297">
        <f>SUM(N22:Q22)</f>
        <v>-97.2</v>
      </c>
      <c r="V22" s="284">
        <v>0.51500000000000001</v>
      </c>
      <c r="X22" s="714"/>
      <c r="Y22" s="474"/>
      <c r="Z22" t="s">
        <v>177</v>
      </c>
    </row>
    <row r="23" spans="1:46" s="2" customFormat="1" x14ac:dyDescent="0.4">
      <c r="A23" s="488" t="s">
        <v>27</v>
      </c>
      <c r="B23" s="587">
        <v>2</v>
      </c>
      <c r="C23" s="573">
        <v>3</v>
      </c>
      <c r="D23" s="559">
        <v>-5</v>
      </c>
      <c r="E23" s="315">
        <v>-5</v>
      </c>
      <c r="F23" s="615">
        <v>4</v>
      </c>
      <c r="G23" s="559">
        <v>-1</v>
      </c>
      <c r="H23" s="573">
        <v>0</v>
      </c>
      <c r="I23" s="315">
        <v>-65</v>
      </c>
      <c r="J23" s="615">
        <v>-41</v>
      </c>
      <c r="K23" s="527">
        <v>3</v>
      </c>
      <c r="L23" s="540">
        <f>AVERAGE(B23:K23)</f>
        <v>-10.5</v>
      </c>
      <c r="M23" s="527">
        <f>AVERAGE(B23:K23)</f>
        <v>-10.5</v>
      </c>
      <c r="N23" s="540">
        <f>AVERAGE(B23:K23)</f>
        <v>-10.5</v>
      </c>
      <c r="O23" s="559">
        <f>AVERAGE(B23:K23)</f>
        <v>-10.5</v>
      </c>
      <c r="P23" s="573">
        <f>AVERAGE(B23:K23)</f>
        <v>-10.5</v>
      </c>
      <c r="Q23" s="527">
        <f>AVERAGE(B23:K23)</f>
        <v>-10.5</v>
      </c>
      <c r="R23" s="417">
        <f>SUM(B23:E23)</f>
        <v>-5</v>
      </c>
      <c r="S23" s="297">
        <f>SUM(F23:I23)</f>
        <v>-62</v>
      </c>
      <c r="T23" s="416">
        <f>SUM(J23:M23)</f>
        <v>-59</v>
      </c>
      <c r="U23" s="297">
        <f>SUM(N23:Q23)</f>
        <v>-42</v>
      </c>
      <c r="V23" s="408">
        <f>U15*1.1</f>
        <v>1162.48</v>
      </c>
      <c r="X23" s="3"/>
      <c r="AE23" s="3"/>
      <c r="AF23" s="203"/>
      <c r="AG23" s="4"/>
      <c r="AH23" s="185"/>
      <c r="AI23" s="185"/>
      <c r="AJ23" s="185"/>
      <c r="AL23"/>
      <c r="AO23"/>
      <c r="AP23"/>
      <c r="AQ23"/>
      <c r="AR23"/>
      <c r="AS23"/>
      <c r="AT23"/>
    </row>
    <row r="24" spans="1:46" s="2" customFormat="1" x14ac:dyDescent="0.4">
      <c r="A24" s="489" t="s">
        <v>29</v>
      </c>
      <c r="B24" s="588">
        <v>2</v>
      </c>
      <c r="C24" s="595">
        <v>3</v>
      </c>
      <c r="D24" s="602">
        <v>2</v>
      </c>
      <c r="E24" s="415">
        <v>3</v>
      </c>
      <c r="F24" s="616">
        <v>2</v>
      </c>
      <c r="G24" s="603">
        <v>3</v>
      </c>
      <c r="H24" s="596">
        <v>3</v>
      </c>
      <c r="I24" s="440">
        <v>3</v>
      </c>
      <c r="J24" s="626">
        <v>2</v>
      </c>
      <c r="K24" s="275">
        <v>3</v>
      </c>
      <c r="L24" s="539">
        <f t="shared" ref="L24" si="30">AVERAGE(B24:K24)</f>
        <v>2.6</v>
      </c>
      <c r="M24" s="288">
        <f>AVERAGE(B24:K24)</f>
        <v>2.6</v>
      </c>
      <c r="N24" s="539">
        <f>AVERAGE(B24:K24)</f>
        <v>2.6</v>
      </c>
      <c r="O24" s="558">
        <f>AVERAGE(B24:K24)</f>
        <v>2.6</v>
      </c>
      <c r="P24" s="572">
        <f>AVERAGE(B24:K24)</f>
        <v>2.6</v>
      </c>
      <c r="Q24" s="275">
        <f>AVERAGE(B24:K24)</f>
        <v>2.6</v>
      </c>
      <c r="R24" s="471">
        <f>SUM(B24:E24)</f>
        <v>10</v>
      </c>
      <c r="S24" s="298">
        <f>SUM(F24:I24)</f>
        <v>11</v>
      </c>
      <c r="T24" s="547">
        <f>SUM(J24:M24)</f>
        <v>10.199999999999999</v>
      </c>
      <c r="U24" s="639">
        <f>SUM(N24:Q24)</f>
        <v>10.4</v>
      </c>
      <c r="V24" s="410" t="e">
        <f t="shared" ref="V24" si="31">V23/V6</f>
        <v>#REF!</v>
      </c>
      <c r="AE24" s="3"/>
      <c r="AF24" s="204"/>
      <c r="AG24" s="185"/>
      <c r="AH24" s="185"/>
      <c r="AI24" s="185"/>
      <c r="AJ24" s="465"/>
      <c r="AK24" s="3"/>
      <c r="AL24"/>
    </row>
    <row r="25" spans="1:46" s="2" customFormat="1" x14ac:dyDescent="0.4">
      <c r="A25" s="488" t="s">
        <v>30</v>
      </c>
      <c r="B25" s="589">
        <f t="shared" ref="B25:Q25" si="32">B17+B22+B23+B24</f>
        <v>113</v>
      </c>
      <c r="C25" s="564">
        <f t="shared" si="32"/>
        <v>202</v>
      </c>
      <c r="D25" s="550">
        <f t="shared" si="32"/>
        <v>109</v>
      </c>
      <c r="E25" s="311">
        <f t="shared" si="32"/>
        <v>60</v>
      </c>
      <c r="F25" s="511">
        <f t="shared" si="32"/>
        <v>148</v>
      </c>
      <c r="G25" s="550">
        <f t="shared" si="32"/>
        <v>155</v>
      </c>
      <c r="H25" s="564">
        <f t="shared" si="32"/>
        <v>130</v>
      </c>
      <c r="I25" s="311">
        <f t="shared" si="32"/>
        <v>81</v>
      </c>
      <c r="J25" s="511">
        <f t="shared" si="32"/>
        <v>132</v>
      </c>
      <c r="K25" s="276">
        <f t="shared" si="32"/>
        <v>212</v>
      </c>
      <c r="L25" s="538">
        <f t="shared" si="32"/>
        <v>155.73274701690801</v>
      </c>
      <c r="M25" s="276">
        <f t="shared" si="32"/>
        <v>158.92760371619542</v>
      </c>
      <c r="N25" s="538">
        <f t="shared" si="32"/>
        <v>162.17677297937072</v>
      </c>
      <c r="O25" s="550">
        <f t="shared" si="32"/>
        <v>167.42494584981372</v>
      </c>
      <c r="P25" s="564">
        <f t="shared" si="32"/>
        <v>170.81856992926058</v>
      </c>
      <c r="Q25" s="276">
        <f t="shared" si="32"/>
        <v>174.26988561805797</v>
      </c>
      <c r="R25" s="394">
        <f>SUM(B25:E25)</f>
        <v>484</v>
      </c>
      <c r="S25" s="299">
        <f>SUM(F25:I25)</f>
        <v>514</v>
      </c>
      <c r="T25" s="531">
        <f>SUM(J25:M25)</f>
        <v>658.66035073310343</v>
      </c>
      <c r="U25" s="86">
        <f>SUM(N25:Q25)</f>
        <v>674.69017437650302</v>
      </c>
      <c r="V25" s="285" t="e">
        <f>V21-V23</f>
        <v>#REF!</v>
      </c>
      <c r="W25" s="693"/>
      <c r="AE25" s="3"/>
      <c r="AF25" s="466"/>
      <c r="AG25" s="185"/>
      <c r="AH25" s="185"/>
      <c r="AI25" s="185"/>
      <c r="AJ25" s="185"/>
      <c r="AK25" s="3"/>
    </row>
    <row r="26" spans="1:46" s="2" customFormat="1" x14ac:dyDescent="0.4">
      <c r="A26" s="488" t="s">
        <v>31</v>
      </c>
      <c r="B26" s="590">
        <v>25</v>
      </c>
      <c r="C26" s="596">
        <v>74</v>
      </c>
      <c r="D26" s="603">
        <v>36</v>
      </c>
      <c r="E26" s="316">
        <v>-1</v>
      </c>
      <c r="F26" s="617">
        <v>35</v>
      </c>
      <c r="G26" s="559">
        <v>101</v>
      </c>
      <c r="H26" s="573">
        <v>42</v>
      </c>
      <c r="I26" s="417">
        <v>50</v>
      </c>
      <c r="J26" s="626">
        <v>41</v>
      </c>
      <c r="K26" s="275">
        <v>61</v>
      </c>
      <c r="L26" s="539">
        <f>AVERAGE(B26:K26)</f>
        <v>46.4</v>
      </c>
      <c r="M26" s="275">
        <f>AVERAGE(B26:K26)</f>
        <v>46.4</v>
      </c>
      <c r="N26" s="539">
        <f>AVERAGE(B26:K26)</f>
        <v>46.4</v>
      </c>
      <c r="O26" s="558">
        <f>AVERAGE(B26:K26)</f>
        <v>46.4</v>
      </c>
      <c r="P26" s="572">
        <f>AVERAGE(B26:K26)</f>
        <v>46.4</v>
      </c>
      <c r="Q26" s="275">
        <f>AVERAGE(B26:K26)</f>
        <v>46.4</v>
      </c>
      <c r="R26" s="384">
        <f>SUM(B26:E26)</f>
        <v>134</v>
      </c>
      <c r="S26" s="297">
        <f>SUM(F26:I26)</f>
        <v>228</v>
      </c>
      <c r="T26" s="531">
        <f>SUM(J26:M26)</f>
        <v>194.8</v>
      </c>
      <c r="U26" s="86">
        <f>SUM(N26:Q26)</f>
        <v>185.6</v>
      </c>
      <c r="V26" s="302">
        <v>248</v>
      </c>
      <c r="W26" s="693"/>
      <c r="X26" s="3"/>
      <c r="AE26" s="3"/>
      <c r="AF26" s="201"/>
      <c r="AG26" s="201"/>
      <c r="AH26" s="185"/>
      <c r="AI26" s="185"/>
      <c r="AJ26" s="185"/>
      <c r="AK26" s="185"/>
    </row>
    <row r="27" spans="1:46" x14ac:dyDescent="0.4">
      <c r="A27" s="486" t="s">
        <v>37</v>
      </c>
      <c r="B27" s="591">
        <f t="shared" ref="B27:D27" si="33">B26/B25</f>
        <v>0.22123893805309736</v>
      </c>
      <c r="C27" s="574">
        <f>C26/C25</f>
        <v>0.36633663366336633</v>
      </c>
      <c r="D27" s="560">
        <f t="shared" si="33"/>
        <v>0.33027522935779818</v>
      </c>
      <c r="E27" s="317">
        <f>E26/E25</f>
        <v>-1.6666666666666666E-2</v>
      </c>
      <c r="F27" s="618">
        <f t="shared" ref="F27:N27" si="34">F26/F25</f>
        <v>0.23648648648648649</v>
      </c>
      <c r="G27" s="560">
        <f t="shared" si="34"/>
        <v>0.65161290322580645</v>
      </c>
      <c r="H27" s="574">
        <f t="shared" si="34"/>
        <v>0.32307692307692309</v>
      </c>
      <c r="I27" s="317">
        <f t="shared" si="34"/>
        <v>0.61728395061728392</v>
      </c>
      <c r="J27" s="618">
        <f t="shared" si="34"/>
        <v>0.31060606060606061</v>
      </c>
      <c r="K27" s="479">
        <f t="shared" si="34"/>
        <v>0.28773584905660377</v>
      </c>
      <c r="L27" s="541">
        <f t="shared" si="34"/>
        <v>0.29794632720992409</v>
      </c>
      <c r="M27" s="479">
        <f t="shared" si="34"/>
        <v>0.29195683389814825</v>
      </c>
      <c r="N27" s="541">
        <f t="shared" si="34"/>
        <v>0.28610755503133728</v>
      </c>
      <c r="O27" s="560">
        <f t="shared" ref="O27" si="35">O26/O25</f>
        <v>0.27713910710547573</v>
      </c>
      <c r="P27" s="574">
        <f t="shared" ref="P27" si="36">P26/P25</f>
        <v>0.27163323062132633</v>
      </c>
      <c r="Q27" s="479">
        <f t="shared" ref="Q27" si="37">Q26/Q25</f>
        <v>0.26625368941650351</v>
      </c>
      <c r="R27" s="636">
        <f t="shared" ref="R27" si="38">R26/R25</f>
        <v>0.27685950413223143</v>
      </c>
      <c r="S27" s="637">
        <f t="shared" ref="S27" si="39">S26/S25</f>
        <v>0.44357976653696496</v>
      </c>
      <c r="T27" s="638">
        <f t="shared" ref="T27" si="40">T26/T25</f>
        <v>0.29575182380901377</v>
      </c>
      <c r="U27" s="638">
        <f t="shared" ref="U27" si="41">U26/U25</f>
        <v>0.27508922917325318</v>
      </c>
      <c r="V27" s="284" t="e">
        <f t="shared" ref="V27" si="42">V25/V6</f>
        <v>#REF!</v>
      </c>
      <c r="W27" s="694"/>
      <c r="X27" s="4"/>
    </row>
    <row r="28" spans="1:46" x14ac:dyDescent="0.4">
      <c r="A28" s="488" t="s">
        <v>33</v>
      </c>
      <c r="B28" s="589">
        <f>B25-B26</f>
        <v>88</v>
      </c>
      <c r="C28" s="564">
        <f t="shared" ref="C28:M28" si="43">C25-C26</f>
        <v>128</v>
      </c>
      <c r="D28" s="550">
        <f t="shared" si="43"/>
        <v>73</v>
      </c>
      <c r="E28" s="311">
        <f>E25-E26</f>
        <v>61</v>
      </c>
      <c r="F28" s="511">
        <f t="shared" si="43"/>
        <v>113</v>
      </c>
      <c r="G28" s="550">
        <f t="shared" si="43"/>
        <v>54</v>
      </c>
      <c r="H28" s="564">
        <f>H25-H26</f>
        <v>88</v>
      </c>
      <c r="I28" s="311">
        <f t="shared" si="43"/>
        <v>31</v>
      </c>
      <c r="J28" s="511">
        <f>J25-J26</f>
        <v>91</v>
      </c>
      <c r="K28" s="276">
        <f t="shared" si="43"/>
        <v>151</v>
      </c>
      <c r="L28" s="538">
        <f t="shared" si="43"/>
        <v>109.332747016908</v>
      </c>
      <c r="M28" s="276">
        <f t="shared" si="43"/>
        <v>112.52760371619542</v>
      </c>
      <c r="N28" s="538">
        <f>N25-N26</f>
        <v>115.77677297937072</v>
      </c>
      <c r="O28" s="550">
        <f t="shared" ref="O28:Q28" si="44">O25-O26</f>
        <v>121.02494584981372</v>
      </c>
      <c r="P28" s="564">
        <f t="shared" si="44"/>
        <v>124.41856992926057</v>
      </c>
      <c r="Q28" s="707">
        <f t="shared" si="44"/>
        <v>127.86988561805796</v>
      </c>
      <c r="R28" s="394">
        <f>SUM(B28:E28)</f>
        <v>350</v>
      </c>
      <c r="S28" s="691">
        <f>SUM(F28:I28)</f>
        <v>286</v>
      </c>
      <c r="T28" s="709">
        <f>SUM(J28:M28)</f>
        <v>463.86035073310342</v>
      </c>
      <c r="U28" s="710">
        <f>SUM(N28:Q28)</f>
        <v>489.090174376503</v>
      </c>
      <c r="V28" s="286" t="e">
        <f>V25/U17-1</f>
        <v>#REF!</v>
      </c>
      <c r="W28" s="694"/>
      <c r="Y28" s="4"/>
      <c r="AH28" s="198"/>
    </row>
    <row r="29" spans="1:46" x14ac:dyDescent="0.4">
      <c r="A29" s="488" t="s">
        <v>34</v>
      </c>
      <c r="B29" s="701"/>
      <c r="C29" s="604"/>
      <c r="D29" s="604"/>
      <c r="E29" s="702"/>
      <c r="F29" s="703"/>
      <c r="G29" s="604"/>
      <c r="H29" s="604"/>
      <c r="I29" s="704"/>
      <c r="J29" s="705"/>
      <c r="K29" s="706"/>
      <c r="L29" s="547"/>
      <c r="M29" s="706"/>
      <c r="N29" s="547"/>
      <c r="O29" s="561"/>
      <c r="P29" s="561"/>
      <c r="Q29" s="275"/>
      <c r="R29" s="708"/>
      <c r="S29" s="297"/>
      <c r="T29" s="416"/>
      <c r="U29" s="711"/>
      <c r="V29" s="287"/>
      <c r="W29" s="694"/>
    </row>
    <row r="30" spans="1:46" s="2" customFormat="1" x14ac:dyDescent="0.4">
      <c r="A30" s="490" t="s">
        <v>35</v>
      </c>
      <c r="B30" s="630">
        <f>B28+B29</f>
        <v>88</v>
      </c>
      <c r="C30" s="605">
        <f t="shared" ref="C30:M30" si="45">C28+C29</f>
        <v>128</v>
      </c>
      <c r="D30" s="605">
        <f>D28+D29</f>
        <v>73</v>
      </c>
      <c r="E30" s="428">
        <f>E28+E29</f>
        <v>61</v>
      </c>
      <c r="F30" s="619">
        <f>F28+F29</f>
        <v>113</v>
      </c>
      <c r="G30" s="575">
        <f>G28+G29</f>
        <v>54</v>
      </c>
      <c r="H30" s="620">
        <f t="shared" si="45"/>
        <v>88</v>
      </c>
      <c r="I30" s="428">
        <f>I28+I29</f>
        <v>31</v>
      </c>
      <c r="J30" s="627">
        <f>J28+J29</f>
        <v>91</v>
      </c>
      <c r="K30" s="427">
        <f t="shared" si="45"/>
        <v>151</v>
      </c>
      <c r="L30" s="542">
        <f t="shared" si="45"/>
        <v>109.332747016908</v>
      </c>
      <c r="M30" s="429">
        <f t="shared" si="45"/>
        <v>112.52760371619542</v>
      </c>
      <c r="N30" s="427">
        <f>N28+N29</f>
        <v>115.77677297937072</v>
      </c>
      <c r="O30" s="427">
        <f t="shared" ref="O30:Q30" si="46">O28+O29</f>
        <v>121.02494584981372</v>
      </c>
      <c r="P30" s="575">
        <f t="shared" si="46"/>
        <v>124.41856992926057</v>
      </c>
      <c r="Q30" s="429">
        <f t="shared" si="46"/>
        <v>127.86988561805796</v>
      </c>
      <c r="R30" s="430">
        <f>SUM(B30:E30)</f>
        <v>350</v>
      </c>
      <c r="S30" s="431">
        <f>SUM(F30:I30)</f>
        <v>286</v>
      </c>
      <c r="T30" s="457">
        <f>SUM(J30:M30)</f>
        <v>463.86035073310342</v>
      </c>
      <c r="U30" s="430">
        <f>SUM(N30:Q30)</f>
        <v>489.090174376503</v>
      </c>
      <c r="V30" s="275">
        <f>U22</f>
        <v>-97.2</v>
      </c>
      <c r="W30" s="693"/>
    </row>
    <row r="31" spans="1:46" ht="18" thickBot="1" x14ac:dyDescent="0.45">
      <c r="A31" s="491" t="s">
        <v>36</v>
      </c>
      <c r="B31" s="660">
        <f t="shared" ref="B31:L31" si="47">B30</f>
        <v>88</v>
      </c>
      <c r="C31" s="632">
        <f t="shared" si="47"/>
        <v>128</v>
      </c>
      <c r="D31" s="632">
        <f t="shared" si="47"/>
        <v>73</v>
      </c>
      <c r="E31" s="312">
        <f t="shared" si="47"/>
        <v>61</v>
      </c>
      <c r="F31" s="628">
        <f t="shared" si="47"/>
        <v>113</v>
      </c>
      <c r="G31" s="112">
        <f t="shared" si="47"/>
        <v>54</v>
      </c>
      <c r="H31" s="621">
        <f t="shared" si="47"/>
        <v>88</v>
      </c>
      <c r="I31" s="312">
        <f t="shared" si="47"/>
        <v>31</v>
      </c>
      <c r="J31" s="628">
        <f t="shared" si="47"/>
        <v>91</v>
      </c>
      <c r="K31" s="112">
        <f t="shared" si="47"/>
        <v>151</v>
      </c>
      <c r="L31" s="543">
        <f t="shared" si="47"/>
        <v>109.332747016908</v>
      </c>
      <c r="M31" s="112">
        <f>M30</f>
        <v>112.52760371619542</v>
      </c>
      <c r="N31" s="442">
        <f>N30</f>
        <v>115.77677297937072</v>
      </c>
      <c r="O31" s="112">
        <f>O30</f>
        <v>121.02494584981372</v>
      </c>
      <c r="P31" s="112">
        <f>P30</f>
        <v>124.41856992926057</v>
      </c>
      <c r="Q31" s="112">
        <f>Q30</f>
        <v>127.86988561805796</v>
      </c>
      <c r="R31" s="425">
        <f>SUM(B31:E31)</f>
        <v>350</v>
      </c>
      <c r="S31" s="301">
        <f>SUM(F31:I31)</f>
        <v>286</v>
      </c>
      <c r="T31" s="458">
        <f>SUM(J31:M31)</f>
        <v>463.86035073310342</v>
      </c>
      <c r="U31" s="461">
        <f>SUM(N31:Q31)</f>
        <v>489.090174376503</v>
      </c>
      <c r="V31" s="275"/>
      <c r="W31" s="694"/>
      <c r="AL31" s="2"/>
      <c r="AM31" s="2"/>
      <c r="AN31" s="2"/>
    </row>
    <row r="32" spans="1:46" x14ac:dyDescent="0.4">
      <c r="A32" s="712" t="s">
        <v>14</v>
      </c>
      <c r="B32" s="521"/>
      <c r="C32" s="525"/>
      <c r="D32" s="525"/>
      <c r="E32" s="309"/>
      <c r="F32" s="508"/>
      <c r="G32" s="113"/>
      <c r="H32" s="622"/>
      <c r="I32" s="441"/>
      <c r="J32" s="520"/>
      <c r="K32" s="435"/>
      <c r="L32" s="535"/>
      <c r="M32" s="424"/>
      <c r="N32" s="426"/>
      <c r="O32" s="426"/>
      <c r="P32" s="426"/>
      <c r="Q32" s="424"/>
      <c r="R32" s="385"/>
      <c r="S32" s="300"/>
      <c r="T32" s="459"/>
      <c r="U32" s="462"/>
      <c r="V32" s="275"/>
      <c r="W32" s="694"/>
    </row>
    <row r="33" spans="1:23" ht="18" thickBot="1" x14ac:dyDescent="0.45">
      <c r="A33" s="492" t="s">
        <v>38</v>
      </c>
      <c r="B33" s="631">
        <f t="shared" ref="B33:U33" si="48">B31/B6</f>
        <v>4.6218487394957986E-2</v>
      </c>
      <c r="C33" s="633">
        <f t="shared" si="48"/>
        <v>5.8581235697940506E-2</v>
      </c>
      <c r="D33" s="633">
        <f t="shared" si="48"/>
        <v>3.5028790786948177E-2</v>
      </c>
      <c r="E33" s="313">
        <f t="shared" si="48"/>
        <v>3.0948756976154235E-2</v>
      </c>
      <c r="F33" s="629">
        <f t="shared" si="48"/>
        <v>5.3681710213776719E-2</v>
      </c>
      <c r="G33" s="114">
        <f t="shared" si="48"/>
        <v>2.7258960121150935E-2</v>
      </c>
      <c r="H33" s="623">
        <f t="shared" si="48"/>
        <v>4.5081967213114756E-2</v>
      </c>
      <c r="I33" s="114">
        <f t="shared" si="48"/>
        <v>1.5210991167811581E-2</v>
      </c>
      <c r="J33" s="629">
        <f t="shared" si="48"/>
        <v>4.0898876404494383E-2</v>
      </c>
      <c r="K33" s="114">
        <f t="shared" si="48"/>
        <v>6.5058164584230929E-2</v>
      </c>
      <c r="L33" s="544">
        <f t="shared" si="48"/>
        <v>4.6318465880508738E-2</v>
      </c>
      <c r="M33" s="278">
        <f t="shared" si="48"/>
        <v>4.6875080259328031E-2</v>
      </c>
      <c r="N33" s="277">
        <f t="shared" si="48"/>
        <v>4.7422390366328317E-2</v>
      </c>
      <c r="O33" s="277">
        <f t="shared" si="48"/>
        <v>4.826879467866052E-2</v>
      </c>
      <c r="P33" s="277">
        <f t="shared" si="48"/>
        <v>4.8792807691139035E-2</v>
      </c>
      <c r="Q33" s="278">
        <f t="shared" si="48"/>
        <v>4.9308061390724585E-2</v>
      </c>
      <c r="R33" s="271">
        <f t="shared" si="48"/>
        <v>4.2976424361493126E-2</v>
      </c>
      <c r="S33" s="293">
        <f t="shared" si="48"/>
        <v>3.5413571074789499E-2</v>
      </c>
      <c r="T33" s="460">
        <f t="shared" si="48"/>
        <v>4.9839719456093425E-2</v>
      </c>
      <c r="U33" s="463">
        <f t="shared" si="48"/>
        <v>4.846349564415605E-2</v>
      </c>
      <c r="V33" s="275">
        <f>U23</f>
        <v>-42</v>
      </c>
      <c r="W33" s="694"/>
    </row>
    <row r="34" spans="1:23" ht="18" thickTop="1" x14ac:dyDescent="0.4">
      <c r="R34" s="4"/>
      <c r="V34" s="275"/>
    </row>
    <row r="35" spans="1:23" x14ac:dyDescent="0.4">
      <c r="B35" s="683"/>
      <c r="I35" s="683"/>
      <c r="M35" s="4"/>
      <c r="V35" s="275"/>
    </row>
    <row r="36" spans="1:23" x14ac:dyDescent="0.4">
      <c r="V36" s="288">
        <f>U24</f>
        <v>10.4</v>
      </c>
    </row>
    <row r="37" spans="1:23" x14ac:dyDescent="0.4">
      <c r="A37" s="348" t="s">
        <v>88</v>
      </c>
      <c r="B37" s="347" t="s">
        <v>182</v>
      </c>
      <c r="C37" s="347"/>
      <c r="D37" s="347"/>
      <c r="E37" s="347"/>
      <c r="F37" s="347"/>
      <c r="G37" s="347"/>
      <c r="H37" s="347"/>
      <c r="I37" s="347"/>
      <c r="J37" s="347"/>
      <c r="K37" s="347"/>
    </row>
    <row r="38" spans="1:23" x14ac:dyDescent="0.4">
      <c r="B38" t="s">
        <v>183</v>
      </c>
    </row>
    <row r="40" spans="1:23" ht="15" customHeight="1" x14ac:dyDescent="0.4">
      <c r="Q40" s="2"/>
      <c r="V40" t="s">
        <v>10</v>
      </c>
    </row>
    <row r="41" spans="1:23" x14ac:dyDescent="0.4">
      <c r="A41" s="348" t="s">
        <v>88</v>
      </c>
      <c r="B41" s="347" t="s">
        <v>186</v>
      </c>
      <c r="C41" s="347"/>
      <c r="D41" s="347"/>
      <c r="E41" s="347"/>
      <c r="F41" s="347"/>
      <c r="G41" s="347"/>
      <c r="H41" s="347"/>
      <c r="I41" s="347"/>
      <c r="J41" s="347"/>
      <c r="K41" s="347"/>
      <c r="Q41" s="2"/>
      <c r="V41" t="s">
        <v>15</v>
      </c>
    </row>
    <row r="42" spans="1:23" x14ac:dyDescent="0.4">
      <c r="A42" s="173"/>
      <c r="B42" s="2" t="s">
        <v>187</v>
      </c>
      <c r="C42" s="2"/>
      <c r="D42" s="2"/>
      <c r="E42" s="2"/>
      <c r="F42" s="2"/>
      <c r="G42" s="2"/>
      <c r="H42" s="2"/>
      <c r="I42" s="2"/>
      <c r="Q42" s="2"/>
      <c r="V42" t="s">
        <v>17</v>
      </c>
    </row>
    <row r="43" spans="1:23" ht="15.75" customHeight="1" x14ac:dyDescent="0.4">
      <c r="Q43" s="2"/>
      <c r="V43" t="s">
        <v>163</v>
      </c>
    </row>
    <row r="44" spans="1:23" x14ac:dyDescent="0.4">
      <c r="Q44" s="2"/>
      <c r="V44" t="s">
        <v>20</v>
      </c>
      <c r="W44" s="432"/>
    </row>
    <row r="45" spans="1:23" x14ac:dyDescent="0.4">
      <c r="A45" s="348" t="s">
        <v>88</v>
      </c>
      <c r="B45" s="347" t="s">
        <v>185</v>
      </c>
      <c r="C45" s="347"/>
      <c r="D45" s="347"/>
      <c r="E45" s="347"/>
      <c r="F45" s="347"/>
      <c r="G45" s="347"/>
      <c r="H45" s="347"/>
      <c r="I45" s="347"/>
      <c r="J45" s="347"/>
      <c r="K45" s="347"/>
      <c r="V45" t="s">
        <v>21</v>
      </c>
    </row>
    <row r="46" spans="1:23" x14ac:dyDescent="0.4">
      <c r="B46" t="s">
        <v>184</v>
      </c>
    </row>
    <row r="49" spans="1:10" x14ac:dyDescent="0.4">
      <c r="A49" s="2"/>
      <c r="B49" s="2"/>
      <c r="C49" s="2"/>
    </row>
    <row r="50" spans="1:10" x14ac:dyDescent="0.4">
      <c r="I50" s="2"/>
    </row>
    <row r="51" spans="1:10" x14ac:dyDescent="0.4">
      <c r="I51" s="2"/>
    </row>
    <row r="52" spans="1:10" x14ac:dyDescent="0.4">
      <c r="H52" s="2"/>
    </row>
    <row r="57" spans="1:10" x14ac:dyDescent="0.4">
      <c r="J57" s="2"/>
    </row>
    <row r="58" spans="1:10" x14ac:dyDescent="0.4">
      <c r="A58" s="2"/>
    </row>
    <row r="59" spans="1:10" x14ac:dyDescent="0.4">
      <c r="J59" s="2"/>
    </row>
    <row r="60" spans="1:10" x14ac:dyDescent="0.4">
      <c r="J60" s="2"/>
    </row>
    <row r="61" spans="1:10" x14ac:dyDescent="0.4">
      <c r="J61" s="2"/>
    </row>
    <row r="62" spans="1:10" x14ac:dyDescent="0.4">
      <c r="J62" s="2"/>
    </row>
    <row r="63" spans="1:10" x14ac:dyDescent="0.4">
      <c r="J63" s="2"/>
    </row>
    <row r="64" spans="1:10" x14ac:dyDescent="0.4">
      <c r="J64" s="2"/>
    </row>
    <row r="65" spans="10:24" x14ac:dyDescent="0.4">
      <c r="J65" s="2"/>
    </row>
    <row r="66" spans="10:24" x14ac:dyDescent="0.4">
      <c r="J66" s="2"/>
      <c r="O66" s="62"/>
    </row>
    <row r="67" spans="10:24" x14ac:dyDescent="0.4">
      <c r="X67" s="2"/>
    </row>
    <row r="68" spans="10:24" x14ac:dyDescent="0.4">
      <c r="X68" s="2"/>
    </row>
    <row r="79" spans="10:24" x14ac:dyDescent="0.4">
      <c r="X79" s="2"/>
    </row>
    <row r="80" spans="10:24" x14ac:dyDescent="0.4">
      <c r="X80" s="2"/>
    </row>
    <row r="81" spans="24:24" x14ac:dyDescent="0.4">
      <c r="X81" s="2"/>
    </row>
  </sheetData>
  <mergeCells count="3">
    <mergeCell ref="R2:S2"/>
    <mergeCell ref="R3:S3"/>
    <mergeCell ref="R4:S4"/>
  </mergeCells>
  <phoneticPr fontId="19" type="noConversion"/>
  <pageMargins left="0.7" right="0.7" top="0.75" bottom="0.75" header="0.3" footer="0.3"/>
  <pageSetup paperSize="9" scale="2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31"/>
  <sheetViews>
    <sheetView zoomScale="80" zoomScaleNormal="80" workbookViewId="0">
      <selection activeCell="O16" sqref="O16"/>
    </sheetView>
  </sheetViews>
  <sheetFormatPr defaultRowHeight="17.399999999999999" x14ac:dyDescent="0.4"/>
  <cols>
    <col min="1" max="1" width="16.5" bestFit="1" customWidth="1"/>
    <col min="2" max="2" width="14" bestFit="1" customWidth="1"/>
    <col min="3" max="3" width="14.59765625" bestFit="1" customWidth="1"/>
    <col min="4" max="4" width="12.19921875" bestFit="1" customWidth="1"/>
    <col min="6" max="6" width="8.8984375" customWidth="1"/>
    <col min="7" max="7" width="8.5" customWidth="1"/>
    <col min="19" max="19" width="16.19921875" bestFit="1" customWidth="1"/>
    <col min="20" max="20" width="17.09765625" bestFit="1" customWidth="1"/>
    <col min="21" max="21" width="17.59765625" bestFit="1" customWidth="1"/>
    <col min="22" max="22" width="21.5" bestFit="1" customWidth="1"/>
    <col min="23" max="23" width="19" bestFit="1" customWidth="1"/>
    <col min="24" max="24" width="18.09765625" bestFit="1" customWidth="1"/>
    <col min="25" max="25" width="16.19921875" bestFit="1" customWidth="1"/>
  </cols>
  <sheetData>
    <row r="1" spans="1:26" s="62" customFormat="1" ht="18" thickBot="1" x14ac:dyDescent="0.45">
      <c r="A1" s="63" t="s">
        <v>1</v>
      </c>
      <c r="B1" s="63" t="s">
        <v>82</v>
      </c>
      <c r="C1" s="321" t="s">
        <v>70</v>
      </c>
      <c r="D1" s="63" t="s">
        <v>71</v>
      </c>
      <c r="E1" s="63" t="s">
        <v>72</v>
      </c>
      <c r="F1" s="322" t="s">
        <v>73</v>
      </c>
      <c r="G1" s="321" t="s">
        <v>74</v>
      </c>
      <c r="H1" s="63" t="s">
        <v>75</v>
      </c>
      <c r="I1" s="63" t="s">
        <v>76</v>
      </c>
      <c r="J1" s="322" t="s">
        <v>77</v>
      </c>
      <c r="K1" s="321" t="s">
        <v>78</v>
      </c>
      <c r="L1" s="63" t="s">
        <v>79</v>
      </c>
      <c r="M1" s="63" t="s">
        <v>80</v>
      </c>
      <c r="N1" s="322" t="s">
        <v>81</v>
      </c>
    </row>
    <row r="2" spans="1:26" ht="18.600000000000001" thickTop="1" thickBot="1" x14ac:dyDescent="0.45">
      <c r="A2" s="323" t="s">
        <v>180</v>
      </c>
      <c r="B2" s="199">
        <v>4747</v>
      </c>
      <c r="C2" s="324">
        <v>800</v>
      </c>
      <c r="D2" s="325">
        <v>800</v>
      </c>
      <c r="E2" s="326">
        <v>800</v>
      </c>
      <c r="F2" s="327">
        <v>800</v>
      </c>
      <c r="G2" s="328">
        <v>800</v>
      </c>
      <c r="H2" s="325">
        <f>B2-C2-D2-E2-F2-G2</f>
        <v>747</v>
      </c>
      <c r="I2" s="65"/>
      <c r="J2" s="66"/>
      <c r="K2" s="64"/>
      <c r="L2" s="65"/>
      <c r="M2" s="65"/>
      <c r="N2" s="66"/>
      <c r="P2" s="347" t="s">
        <v>146</v>
      </c>
      <c r="Q2" s="347" t="s">
        <v>147</v>
      </c>
      <c r="R2" s="347" t="s">
        <v>148</v>
      </c>
      <c r="S2" s="347" t="s">
        <v>158</v>
      </c>
      <c r="T2" s="347" t="s">
        <v>149</v>
      </c>
      <c r="U2" s="347" t="s">
        <v>150</v>
      </c>
    </row>
    <row r="3" spans="1:26" x14ac:dyDescent="0.4">
      <c r="A3" s="329" t="s">
        <v>129</v>
      </c>
      <c r="B3" s="176">
        <f>V26</f>
        <v>4239</v>
      </c>
      <c r="C3" s="68"/>
      <c r="D3" s="69"/>
      <c r="E3" s="330"/>
      <c r="F3" s="331"/>
      <c r="G3" s="380">
        <f>800-G2</f>
        <v>0</v>
      </c>
      <c r="H3" s="335">
        <f>800-H2</f>
        <v>53</v>
      </c>
      <c r="I3" s="332">
        <v>800</v>
      </c>
      <c r="J3" s="333">
        <v>800</v>
      </c>
      <c r="K3" s="334">
        <v>800</v>
      </c>
      <c r="L3" s="335">
        <v>800</v>
      </c>
      <c r="M3" s="335">
        <v>800</v>
      </c>
      <c r="N3" s="338">
        <f>B3-M3-L3-K3-J3-I3-H3</f>
        <v>186</v>
      </c>
      <c r="O3" s="668">
        <v>2020</v>
      </c>
      <c r="P3" s="667" t="s">
        <v>151</v>
      </c>
      <c r="Q3" s="667">
        <v>16</v>
      </c>
      <c r="R3" s="179" t="s">
        <v>133</v>
      </c>
      <c r="S3" s="116">
        <v>8</v>
      </c>
      <c r="T3" s="116" t="s">
        <v>152</v>
      </c>
      <c r="U3" s="117">
        <v>2020</v>
      </c>
    </row>
    <row r="4" spans="1:26" x14ac:dyDescent="0.4">
      <c r="A4" s="329" t="s">
        <v>181</v>
      </c>
      <c r="B4" s="176">
        <f>V31</f>
        <v>3454</v>
      </c>
      <c r="C4" s="336"/>
      <c r="D4" s="69"/>
      <c r="E4" s="69"/>
      <c r="F4" s="67"/>
      <c r="G4" s="68"/>
      <c r="H4" s="69"/>
      <c r="I4" s="330"/>
      <c r="J4" s="337"/>
      <c r="K4" s="68"/>
      <c r="L4" s="381"/>
      <c r="M4" s="175"/>
      <c r="N4" s="338">
        <f>800-N3</f>
        <v>614</v>
      </c>
      <c r="O4" s="668"/>
      <c r="P4" s="667"/>
      <c r="Q4" s="667"/>
      <c r="R4" s="118" t="s">
        <v>135</v>
      </c>
      <c r="S4">
        <v>8</v>
      </c>
      <c r="T4" t="s">
        <v>152</v>
      </c>
      <c r="U4" s="122">
        <v>2020</v>
      </c>
    </row>
    <row r="5" spans="1:26" ht="18" thickBot="1" x14ac:dyDescent="0.45">
      <c r="A5" s="357"/>
      <c r="B5" s="358"/>
      <c r="C5" s="68"/>
      <c r="D5" s="330"/>
      <c r="E5" s="69"/>
      <c r="F5" s="67"/>
      <c r="G5" s="68"/>
      <c r="H5" s="69"/>
      <c r="I5" s="69"/>
      <c r="J5" s="67"/>
      <c r="K5" s="68"/>
      <c r="L5" s="69"/>
      <c r="M5" s="69"/>
      <c r="N5" s="331"/>
      <c r="O5" s="668"/>
      <c r="P5" s="341" t="s">
        <v>153</v>
      </c>
      <c r="Q5" s="341">
        <v>8</v>
      </c>
      <c r="R5" s="349" t="s">
        <v>135</v>
      </c>
      <c r="S5" s="15">
        <v>8</v>
      </c>
      <c r="T5" s="15" t="s">
        <v>152</v>
      </c>
      <c r="U5" s="350">
        <v>2020</v>
      </c>
    </row>
    <row r="6" spans="1:26" x14ac:dyDescent="0.4">
      <c r="A6" s="357"/>
      <c r="B6" s="358"/>
      <c r="C6" s="68"/>
      <c r="D6" s="69"/>
      <c r="E6" s="69"/>
      <c r="F6" s="67"/>
      <c r="G6" s="68"/>
      <c r="H6" s="339"/>
      <c r="I6" s="69"/>
      <c r="J6" s="331"/>
      <c r="K6" s="184"/>
      <c r="L6" s="69"/>
      <c r="M6" s="69"/>
      <c r="N6" s="331"/>
      <c r="O6" s="668"/>
      <c r="P6" s="341"/>
      <c r="Q6" s="341"/>
      <c r="R6" s="359" t="s">
        <v>160</v>
      </c>
      <c r="S6" s="359">
        <v>24</v>
      </c>
    </row>
    <row r="7" spans="1:26" x14ac:dyDescent="0.4">
      <c r="A7" s="3"/>
      <c r="B7" s="171"/>
      <c r="C7" s="355"/>
      <c r="D7" s="355"/>
      <c r="E7" s="355"/>
      <c r="F7" s="355"/>
      <c r="G7" s="355"/>
      <c r="H7" s="356"/>
      <c r="I7" s="355"/>
      <c r="J7" s="356"/>
      <c r="K7" s="355"/>
      <c r="L7" s="355"/>
      <c r="M7" s="355"/>
      <c r="N7" s="356"/>
      <c r="O7" s="4"/>
      <c r="P7" s="4"/>
      <c r="Q7" s="4"/>
      <c r="R7" s="4"/>
      <c r="S7" s="303"/>
      <c r="T7" s="341"/>
      <c r="U7" s="341"/>
      <c r="W7" s="3"/>
    </row>
    <row r="8" spans="1:26" ht="18" thickBot="1" x14ac:dyDescent="0.45">
      <c r="C8" s="341"/>
      <c r="D8" s="341"/>
      <c r="E8" s="341"/>
      <c r="F8" s="341"/>
      <c r="G8" s="340"/>
      <c r="H8" s="340"/>
      <c r="I8" s="340"/>
      <c r="J8" s="340"/>
      <c r="K8" s="340"/>
      <c r="L8" s="340"/>
      <c r="M8" s="340"/>
      <c r="N8" s="340"/>
      <c r="S8" s="669">
        <v>2021</v>
      </c>
      <c r="T8" s="667" t="s">
        <v>138</v>
      </c>
      <c r="U8" s="667">
        <v>56</v>
      </c>
      <c r="V8" t="s">
        <v>154</v>
      </c>
      <c r="W8">
        <v>16</v>
      </c>
      <c r="X8" t="s">
        <v>155</v>
      </c>
      <c r="Y8">
        <v>2021</v>
      </c>
    </row>
    <row r="9" spans="1:26" x14ac:dyDescent="0.4">
      <c r="C9" s="341"/>
      <c r="D9" s="341"/>
      <c r="E9" s="341"/>
      <c r="F9" s="341"/>
      <c r="G9" s="340"/>
      <c r="H9" s="340"/>
      <c r="I9" s="340"/>
      <c r="J9" s="340"/>
      <c r="K9" s="340"/>
      <c r="L9" s="340"/>
      <c r="M9" s="340"/>
      <c r="N9" s="340"/>
      <c r="S9" s="669"/>
      <c r="T9" s="667"/>
      <c r="U9" s="667"/>
      <c r="V9" s="179" t="s">
        <v>135</v>
      </c>
      <c r="W9" s="116">
        <v>13</v>
      </c>
      <c r="X9" s="116" t="s">
        <v>156</v>
      </c>
      <c r="Y9" s="117">
        <v>2021</v>
      </c>
    </row>
    <row r="10" spans="1:26" ht="18" thickBot="1" x14ac:dyDescent="0.45">
      <c r="C10" s="341"/>
      <c r="D10" s="341"/>
      <c r="E10" s="341"/>
      <c r="F10" s="341"/>
      <c r="G10" s="340"/>
      <c r="I10" s="340"/>
      <c r="J10" s="340"/>
      <c r="K10" s="340"/>
      <c r="L10" s="340"/>
      <c r="M10" s="340"/>
      <c r="N10" s="340"/>
      <c r="S10" s="669"/>
      <c r="T10" s="667"/>
      <c r="U10" s="667"/>
      <c r="V10" s="349" t="s">
        <v>133</v>
      </c>
      <c r="W10" s="15">
        <v>13</v>
      </c>
      <c r="X10" s="15" t="s">
        <v>156</v>
      </c>
      <c r="Y10" s="350">
        <v>2021</v>
      </c>
    </row>
    <row r="11" spans="1:26" ht="18" thickBot="1" x14ac:dyDescent="0.45">
      <c r="C11" s="341"/>
      <c r="D11" s="341"/>
      <c r="E11" s="341"/>
      <c r="F11" s="341"/>
      <c r="G11" s="340"/>
      <c r="H11" s="340"/>
      <c r="I11" s="340"/>
      <c r="J11" s="340"/>
      <c r="K11" s="340"/>
      <c r="L11" s="340"/>
      <c r="M11" s="340"/>
      <c r="N11" s="340"/>
      <c r="S11" s="669"/>
      <c r="T11" s="667"/>
      <c r="U11" s="667"/>
      <c r="V11" t="s">
        <v>157</v>
      </c>
      <c r="W11">
        <v>13</v>
      </c>
      <c r="X11" t="s">
        <v>156</v>
      </c>
      <c r="Y11">
        <v>2021</v>
      </c>
    </row>
    <row r="12" spans="1:26" x14ac:dyDescent="0.4">
      <c r="G12" s="342"/>
      <c r="H12" s="342"/>
      <c r="I12" s="342"/>
      <c r="J12" s="342"/>
      <c r="K12" s="342"/>
      <c r="L12" s="342"/>
      <c r="M12" s="342"/>
      <c r="N12" s="342"/>
      <c r="S12" s="669"/>
      <c r="T12" s="667" t="s">
        <v>141</v>
      </c>
      <c r="U12" s="667">
        <v>20</v>
      </c>
      <c r="V12" s="179" t="s">
        <v>135</v>
      </c>
      <c r="W12" s="116">
        <v>6</v>
      </c>
      <c r="X12" s="116"/>
      <c r="Y12" s="117">
        <v>2021</v>
      </c>
      <c r="Z12" s="354" t="s">
        <v>159</v>
      </c>
    </row>
    <row r="13" spans="1:26" ht="18" thickBot="1" x14ac:dyDescent="0.45">
      <c r="S13" s="669"/>
      <c r="T13" s="667"/>
      <c r="U13" s="667"/>
      <c r="V13" s="349" t="s">
        <v>133</v>
      </c>
      <c r="W13" s="15">
        <v>6</v>
      </c>
      <c r="X13" s="15"/>
      <c r="Y13" s="350">
        <v>2021</v>
      </c>
      <c r="Z13" s="354"/>
    </row>
    <row r="14" spans="1:26" ht="18" thickBot="1" x14ac:dyDescent="0.45">
      <c r="C14" s="281"/>
      <c r="D14" s="343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669"/>
      <c r="T14" s="667"/>
      <c r="U14" s="667"/>
      <c r="V14" t="s">
        <v>157</v>
      </c>
      <c r="W14">
        <v>8</v>
      </c>
      <c r="Z14" s="354"/>
    </row>
    <row r="15" spans="1:26" ht="18.600000000000001" thickTop="1" thickBot="1" x14ac:dyDescent="0.45">
      <c r="C15" s="670">
        <v>2020</v>
      </c>
      <c r="D15" s="671"/>
      <c r="E15" s="671"/>
      <c r="F15" s="672"/>
      <c r="G15" s="671">
        <v>2021</v>
      </c>
      <c r="H15" s="671"/>
      <c r="I15" s="671"/>
      <c r="J15" s="671"/>
      <c r="K15" s="670">
        <v>2022</v>
      </c>
      <c r="L15" s="671"/>
      <c r="M15" s="671"/>
      <c r="N15" s="672"/>
      <c r="O15" s="673">
        <v>2023</v>
      </c>
      <c r="P15" s="674"/>
      <c r="Q15" s="674"/>
      <c r="R15" s="675"/>
      <c r="S15" s="669"/>
      <c r="T15" s="341" t="s">
        <v>143</v>
      </c>
      <c r="U15" s="341">
        <v>20</v>
      </c>
      <c r="V15" s="351" t="s">
        <v>133</v>
      </c>
      <c r="W15" s="352">
        <v>6</v>
      </c>
      <c r="X15" s="352"/>
      <c r="Y15" s="353">
        <v>2021</v>
      </c>
    </row>
    <row r="16" spans="1:26" x14ac:dyDescent="0.4">
      <c r="A16" s="665" t="s">
        <v>83</v>
      </c>
      <c r="B16" s="666"/>
      <c r="C16" s="13">
        <f t="shared" ref="C16:N16" si="0">SUM(C2:C6)</f>
        <v>800</v>
      </c>
      <c r="D16" s="13">
        <f t="shared" si="0"/>
        <v>800</v>
      </c>
      <c r="E16" s="13">
        <f t="shared" si="0"/>
        <v>800</v>
      </c>
      <c r="F16" s="183">
        <f t="shared" si="0"/>
        <v>800</v>
      </c>
      <c r="G16" s="13">
        <f t="shared" si="0"/>
        <v>800</v>
      </c>
      <c r="H16" s="13">
        <f t="shared" si="0"/>
        <v>800</v>
      </c>
      <c r="I16" s="13">
        <f t="shared" si="0"/>
        <v>800</v>
      </c>
      <c r="J16" s="13">
        <f t="shared" si="0"/>
        <v>800</v>
      </c>
      <c r="K16" s="344">
        <f t="shared" si="0"/>
        <v>800</v>
      </c>
      <c r="L16" s="345">
        <f t="shared" si="0"/>
        <v>800</v>
      </c>
      <c r="M16" s="345">
        <f t="shared" si="0"/>
        <v>800</v>
      </c>
      <c r="N16" s="183">
        <f t="shared" si="0"/>
        <v>800</v>
      </c>
      <c r="O16" s="13" t="e">
        <f>SUM(#REF!)</f>
        <v>#REF!</v>
      </c>
      <c r="P16" s="345" t="e">
        <f>SUM(#REF!)</f>
        <v>#REF!</v>
      </c>
      <c r="Q16" s="345" t="e">
        <f>SUM(#REF!)</f>
        <v>#REF!</v>
      </c>
      <c r="R16" s="183" t="e">
        <f>SUM(#REF!)</f>
        <v>#REF!</v>
      </c>
      <c r="V16" s="359" t="s">
        <v>160</v>
      </c>
      <c r="W16" s="360">
        <f>SUM(W9,W10,W12,W13,W15)</f>
        <v>44</v>
      </c>
    </row>
    <row r="17" spans="2:24" ht="18" thickBot="1" x14ac:dyDescent="0.45">
      <c r="B17" s="177"/>
      <c r="C17" s="281"/>
      <c r="D17" s="281"/>
      <c r="E17" s="281"/>
      <c r="F17" s="182">
        <f>SUM(C16:F16)</f>
        <v>3200</v>
      </c>
      <c r="G17" s="281"/>
      <c r="H17" s="281"/>
      <c r="I17" s="281"/>
      <c r="J17" s="182">
        <f>SUM(G16:J16)</f>
        <v>3200</v>
      </c>
      <c r="K17" s="281"/>
      <c r="L17" s="281"/>
      <c r="M17" s="281"/>
      <c r="N17" s="182">
        <f>SUM(K16:N16)</f>
        <v>3200</v>
      </c>
      <c r="O17" s="346"/>
      <c r="P17" s="281"/>
      <c r="Q17" s="281"/>
      <c r="R17" s="182" t="e">
        <f>SUM(O16:R16)</f>
        <v>#REF!</v>
      </c>
    </row>
    <row r="18" spans="2:24" ht="18" thickTop="1" x14ac:dyDescent="0.4"/>
    <row r="20" spans="2:24" ht="15.75" customHeight="1" x14ac:dyDescent="0.4">
      <c r="U20" t="s">
        <v>126</v>
      </c>
      <c r="V20">
        <v>4747</v>
      </c>
      <c r="X20" t="s">
        <v>127</v>
      </c>
    </row>
    <row r="21" spans="2:24" x14ac:dyDescent="0.4">
      <c r="U21" t="s">
        <v>128</v>
      </c>
    </row>
    <row r="22" spans="2:24" x14ac:dyDescent="0.4">
      <c r="U22" t="s">
        <v>130</v>
      </c>
      <c r="V22">
        <f>15*157</f>
        <v>2355</v>
      </c>
      <c r="W22" t="s">
        <v>131</v>
      </c>
    </row>
    <row r="23" spans="2:24" x14ac:dyDescent="0.4">
      <c r="T23" t="s">
        <v>132</v>
      </c>
      <c r="U23" t="s">
        <v>133</v>
      </c>
      <c r="V23">
        <f>4*157</f>
        <v>628</v>
      </c>
      <c r="W23" t="s">
        <v>134</v>
      </c>
    </row>
    <row r="24" spans="2:24" x14ac:dyDescent="0.4">
      <c r="J24" s="4"/>
      <c r="U24" t="s">
        <v>135</v>
      </c>
      <c r="V24">
        <f>4*157</f>
        <v>628</v>
      </c>
      <c r="W24" t="s">
        <v>134</v>
      </c>
    </row>
    <row r="25" spans="2:24" x14ac:dyDescent="0.4">
      <c r="S25" s="4"/>
      <c r="T25" s="4" t="s">
        <v>136</v>
      </c>
      <c r="U25" t="s">
        <v>135</v>
      </c>
      <c r="V25">
        <f>4*157</f>
        <v>628</v>
      </c>
      <c r="W25" t="s">
        <v>137</v>
      </c>
    </row>
    <row r="26" spans="2:24" x14ac:dyDescent="0.4">
      <c r="S26" s="4"/>
      <c r="T26" s="4"/>
      <c r="V26">
        <f>SUM(V22:V25)</f>
        <v>4239</v>
      </c>
    </row>
    <row r="27" spans="2:24" x14ac:dyDescent="0.4">
      <c r="U27" t="s">
        <v>129</v>
      </c>
    </row>
    <row r="28" spans="2:24" x14ac:dyDescent="0.4">
      <c r="T28" t="s">
        <v>138</v>
      </c>
      <c r="U28" t="s">
        <v>139</v>
      </c>
      <c r="V28">
        <f>13*157</f>
        <v>2041</v>
      </c>
      <c r="W28" t="s">
        <v>140</v>
      </c>
    </row>
    <row r="29" spans="2:24" x14ac:dyDescent="0.4">
      <c r="T29" t="s">
        <v>141</v>
      </c>
      <c r="U29" t="s">
        <v>139</v>
      </c>
      <c r="V29">
        <f>6*157</f>
        <v>942</v>
      </c>
      <c r="W29" t="s">
        <v>142</v>
      </c>
    </row>
    <row r="30" spans="2:24" x14ac:dyDescent="0.4">
      <c r="T30" t="s">
        <v>143</v>
      </c>
      <c r="U30" t="s">
        <v>133</v>
      </c>
      <c r="V30">
        <f>3*157</f>
        <v>471</v>
      </c>
      <c r="W30" t="s">
        <v>144</v>
      </c>
      <c r="X30" t="s">
        <v>145</v>
      </c>
    </row>
    <row r="31" spans="2:24" x14ac:dyDescent="0.4">
      <c r="V31">
        <f>SUM(V28:V30)</f>
        <v>3454</v>
      </c>
    </row>
  </sheetData>
  <mergeCells count="13">
    <mergeCell ref="A16:B16"/>
    <mergeCell ref="Q3:Q4"/>
    <mergeCell ref="T8:T11"/>
    <mergeCell ref="U8:U11"/>
    <mergeCell ref="T12:T14"/>
    <mergeCell ref="U12:U14"/>
    <mergeCell ref="P3:P4"/>
    <mergeCell ref="O3:O6"/>
    <mergeCell ref="S8:S15"/>
    <mergeCell ref="C15:F15"/>
    <mergeCell ref="G15:J15"/>
    <mergeCell ref="K15:N15"/>
    <mergeCell ref="O15:R15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workbookViewId="0">
      <selection activeCell="B16" sqref="B16"/>
    </sheetView>
  </sheetViews>
  <sheetFormatPr defaultRowHeight="17.399999999999999" x14ac:dyDescent="0.4"/>
  <cols>
    <col min="1" max="1" width="11" bestFit="1" customWidth="1"/>
    <col min="2" max="2" width="40.69921875" bestFit="1" customWidth="1"/>
    <col min="3" max="3" width="20" bestFit="1" customWidth="1"/>
    <col min="4" max="5" width="11.09765625" bestFit="1" customWidth="1"/>
    <col min="6" max="6" width="13" bestFit="1" customWidth="1"/>
    <col min="7" max="7" width="15.09765625" bestFit="1" customWidth="1"/>
    <col min="8" max="8" width="24.8984375" bestFit="1" customWidth="1"/>
    <col min="9" max="9" width="38.09765625" bestFit="1" customWidth="1"/>
  </cols>
  <sheetData>
    <row r="1" spans="1:12" ht="18" thickBot="1" x14ac:dyDescent="0.45">
      <c r="A1" s="16" t="s">
        <v>125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45</v>
      </c>
      <c r="G1" s="1" t="s">
        <v>2</v>
      </c>
      <c r="H1" s="305" t="s">
        <v>5</v>
      </c>
      <c r="I1" s="3"/>
      <c r="J1" s="3"/>
      <c r="K1" s="3"/>
    </row>
    <row r="2" spans="1:12" ht="0.75" customHeight="1" x14ac:dyDescent="0.4">
      <c r="A2" s="676">
        <v>2018</v>
      </c>
      <c r="B2" s="116" t="s">
        <v>133</v>
      </c>
      <c r="C2" s="679" t="s">
        <v>161</v>
      </c>
      <c r="D2" s="361">
        <v>43342</v>
      </c>
      <c r="E2" s="361">
        <v>44195</v>
      </c>
      <c r="F2" s="116">
        <v>28</v>
      </c>
      <c r="G2" s="362">
        <v>938</v>
      </c>
      <c r="H2" s="116"/>
      <c r="I2" s="4"/>
    </row>
    <row r="3" spans="1:12" x14ac:dyDescent="0.4">
      <c r="A3" s="677"/>
      <c r="B3" t="s">
        <v>162</v>
      </c>
      <c r="C3" s="667"/>
      <c r="D3" s="363">
        <v>43406</v>
      </c>
      <c r="E3" s="376">
        <v>44057</v>
      </c>
      <c r="F3">
        <v>21</v>
      </c>
      <c r="G3" s="13">
        <v>288.8</v>
      </c>
      <c r="I3" s="303"/>
    </row>
    <row r="4" spans="1:12" x14ac:dyDescent="0.4">
      <c r="A4" s="678"/>
      <c r="B4" s="180" t="s">
        <v>135</v>
      </c>
      <c r="C4" s="667"/>
      <c r="D4" s="364">
        <v>43406</v>
      </c>
      <c r="E4" s="377">
        <v>43980</v>
      </c>
      <c r="F4" s="180">
        <v>18</v>
      </c>
      <c r="G4" s="365">
        <v>477.11</v>
      </c>
      <c r="H4" s="180"/>
      <c r="I4" s="320"/>
    </row>
    <row r="5" spans="1:12" x14ac:dyDescent="0.4">
      <c r="A5" s="680">
        <v>2019</v>
      </c>
      <c r="B5" s="366" t="s">
        <v>135</v>
      </c>
      <c r="C5" s="681" t="s">
        <v>161</v>
      </c>
      <c r="D5" s="367">
        <v>43475</v>
      </c>
      <c r="E5" s="378">
        <v>44063</v>
      </c>
      <c r="F5" s="366">
        <v>20</v>
      </c>
      <c r="G5" s="368">
        <v>421.9</v>
      </c>
      <c r="H5" s="369"/>
      <c r="I5" s="320"/>
    </row>
    <row r="6" spans="1:12" x14ac:dyDescent="0.4">
      <c r="A6" s="677"/>
      <c r="B6" t="s">
        <v>162</v>
      </c>
      <c r="C6" s="667"/>
      <c r="D6" s="370">
        <v>43475</v>
      </c>
      <c r="E6" s="379">
        <v>44127</v>
      </c>
      <c r="F6">
        <v>22</v>
      </c>
      <c r="G6" s="13">
        <v>307.79000000000002</v>
      </c>
      <c r="H6" s="371"/>
      <c r="I6" s="303"/>
    </row>
    <row r="7" spans="1:12" x14ac:dyDescent="0.4">
      <c r="A7" s="677"/>
      <c r="B7" t="s">
        <v>133</v>
      </c>
      <c r="C7" s="667"/>
      <c r="D7" s="370">
        <v>43664</v>
      </c>
      <c r="E7" s="370">
        <v>44561</v>
      </c>
      <c r="F7">
        <v>29</v>
      </c>
      <c r="G7" s="13">
        <v>562.48</v>
      </c>
      <c r="H7" s="371"/>
      <c r="I7" s="303"/>
    </row>
    <row r="8" spans="1:12" x14ac:dyDescent="0.4">
      <c r="A8" s="677"/>
      <c r="B8" t="s">
        <v>162</v>
      </c>
      <c r="C8" s="667"/>
      <c r="D8" s="370">
        <v>43766</v>
      </c>
      <c r="E8" s="370">
        <v>44281</v>
      </c>
      <c r="F8">
        <v>17</v>
      </c>
      <c r="G8" s="13">
        <v>322.89999999999998</v>
      </c>
      <c r="H8" s="371"/>
      <c r="I8" s="303"/>
    </row>
    <row r="9" spans="1:12" x14ac:dyDescent="0.4">
      <c r="A9" s="678"/>
      <c r="B9" s="180" t="s">
        <v>135</v>
      </c>
      <c r="C9" s="682"/>
      <c r="D9" s="372">
        <v>43766</v>
      </c>
      <c r="E9" s="372">
        <v>44385</v>
      </c>
      <c r="F9" s="180">
        <v>21</v>
      </c>
      <c r="G9" s="365">
        <v>382.78</v>
      </c>
      <c r="H9" s="373"/>
      <c r="I9" s="303"/>
    </row>
    <row r="10" spans="1:12" x14ac:dyDescent="0.4">
      <c r="A10" s="174"/>
      <c r="B10" s="320"/>
      <c r="C10" s="320"/>
      <c r="D10" s="303"/>
      <c r="E10" s="303"/>
      <c r="F10" s="178"/>
      <c r="G10" s="171"/>
      <c r="H10" s="181"/>
      <c r="I10" s="303"/>
    </row>
    <row r="11" spans="1:12" x14ac:dyDescent="0.4">
      <c r="A11" s="304"/>
      <c r="B11" s="320"/>
      <c r="C11" s="320"/>
      <c r="D11" s="303"/>
      <c r="E11" s="303"/>
      <c r="F11" s="178"/>
      <c r="G11" s="171"/>
      <c r="H11" s="181"/>
      <c r="I11" s="303"/>
    </row>
    <row r="13" spans="1:12" x14ac:dyDescent="0.4">
      <c r="J13" s="3"/>
      <c r="K13" s="3"/>
      <c r="L13" s="3"/>
    </row>
    <row r="14" spans="1:12" x14ac:dyDescent="0.4">
      <c r="A14" s="3"/>
      <c r="B14" s="3"/>
      <c r="C14" s="3"/>
      <c r="D14" s="3"/>
      <c r="E14" s="3"/>
      <c r="F14" s="3"/>
      <c r="G14" s="3"/>
      <c r="H14" s="3"/>
      <c r="I14" s="3"/>
    </row>
    <row r="15" spans="1:12" x14ac:dyDescent="0.4">
      <c r="A15" s="304"/>
      <c r="B15" s="319"/>
      <c r="C15" s="3"/>
      <c r="D15" s="318"/>
      <c r="E15" s="318"/>
      <c r="F15" s="3"/>
      <c r="G15" s="171"/>
      <c r="H15" s="171"/>
      <c r="I15" s="3"/>
    </row>
    <row r="16" spans="1:12" x14ac:dyDescent="0.4">
      <c r="A16" s="174"/>
      <c r="B16" s="304"/>
      <c r="C16" s="3"/>
      <c r="D16" s="318"/>
      <c r="E16" s="318"/>
      <c r="F16" s="3"/>
      <c r="G16" s="3"/>
      <c r="H16" s="171"/>
      <c r="I16" s="3"/>
    </row>
    <row r="17" spans="1:10" x14ac:dyDescent="0.4">
      <c r="A17" s="174"/>
      <c r="B17" s="304"/>
      <c r="C17" s="3"/>
      <c r="D17" s="318"/>
      <c r="E17" s="318"/>
      <c r="F17" s="3"/>
      <c r="G17" s="171"/>
      <c r="H17" s="171"/>
      <c r="I17" s="3"/>
    </row>
    <row r="18" spans="1:10" x14ac:dyDescent="0.4">
      <c r="A18" s="174"/>
      <c r="B18" s="304"/>
      <c r="C18" s="3"/>
      <c r="D18" s="318"/>
      <c r="E18" s="318"/>
      <c r="F18" s="3"/>
      <c r="G18" s="171"/>
      <c r="H18" s="171"/>
      <c r="I18" s="3"/>
      <c r="J18" s="2"/>
    </row>
    <row r="19" spans="1:10" x14ac:dyDescent="0.4">
      <c r="A19" s="174"/>
      <c r="B19" s="174"/>
      <c r="C19" s="3"/>
      <c r="D19" s="200"/>
      <c r="E19" s="200"/>
      <c r="F19" s="3"/>
      <c r="G19" s="171"/>
      <c r="H19" s="171"/>
      <c r="I19" s="3"/>
      <c r="J19" s="2"/>
    </row>
    <row r="20" spans="1:10" x14ac:dyDescent="0.4">
      <c r="A20" s="174"/>
      <c r="B20" s="174"/>
      <c r="C20" s="3"/>
      <c r="D20" s="200"/>
      <c r="E20" s="200"/>
      <c r="F20" s="3"/>
      <c r="G20" s="171"/>
      <c r="H20" s="171"/>
      <c r="I20" s="3"/>
      <c r="J20" s="2"/>
    </row>
    <row r="21" spans="1:10" x14ac:dyDescent="0.4">
      <c r="A21" s="174"/>
      <c r="B21" s="174"/>
      <c r="C21" s="3"/>
      <c r="D21" s="201"/>
      <c r="E21" s="201"/>
      <c r="F21" s="3"/>
      <c r="G21" s="171"/>
      <c r="H21" s="202"/>
      <c r="I21" s="3"/>
      <c r="J21" s="2"/>
    </row>
    <row r="22" spans="1:10" x14ac:dyDescent="0.4">
      <c r="A22" s="174"/>
      <c r="B22" s="174"/>
      <c r="C22" s="3"/>
      <c r="D22" s="201"/>
      <c r="E22" s="201"/>
      <c r="F22" s="3"/>
      <c r="G22" s="171"/>
      <c r="H22" s="201"/>
      <c r="I22" s="3"/>
      <c r="J22" s="2"/>
    </row>
    <row r="23" spans="1:10" s="2" customFormat="1" x14ac:dyDescent="0.4">
      <c r="A23" s="172"/>
      <c r="D23" s="173"/>
      <c r="G23" s="3"/>
      <c r="H23" s="172"/>
    </row>
    <row r="24" spans="1:10" s="2" customFormat="1" x14ac:dyDescent="0.4">
      <c r="A24" s="172"/>
      <c r="D24" s="172"/>
      <c r="E24" s="172"/>
      <c r="G24" s="3"/>
      <c r="H24" s="3"/>
      <c r="I24" s="374"/>
    </row>
    <row r="25" spans="1:10" s="2" customFormat="1" x14ac:dyDescent="0.4">
      <c r="A25" s="172"/>
      <c r="E25" s="172"/>
      <c r="G25" s="3"/>
      <c r="H25" s="3"/>
      <c r="I25" s="171"/>
    </row>
    <row r="26" spans="1:10" s="2" customFormat="1" x14ac:dyDescent="0.4">
      <c r="G26" s="3"/>
      <c r="H26" s="3"/>
      <c r="I26" s="3"/>
    </row>
    <row r="27" spans="1:10" s="2" customFormat="1" x14ac:dyDescent="0.4">
      <c r="A27" s="172"/>
      <c r="G27" s="3"/>
      <c r="H27" s="375"/>
      <c r="I27" s="171"/>
    </row>
    <row r="28" spans="1:10" s="2" customFormat="1" x14ac:dyDescent="0.4">
      <c r="A28" s="172"/>
      <c r="G28" s="3"/>
      <c r="H28" s="172"/>
    </row>
    <row r="29" spans="1:10" s="2" customFormat="1" x14ac:dyDescent="0.4">
      <c r="A29" s="172"/>
      <c r="G29" s="3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</row>
  </sheetData>
  <mergeCells count="4">
    <mergeCell ref="A2:A4"/>
    <mergeCell ref="C2:C4"/>
    <mergeCell ref="A5:A9"/>
    <mergeCell ref="C5:C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3:U94"/>
  <sheetViews>
    <sheetView workbookViewId="0">
      <selection activeCell="C5" sqref="C5"/>
    </sheetView>
  </sheetViews>
  <sheetFormatPr defaultRowHeight="17.399999999999999" x14ac:dyDescent="0.4"/>
  <sheetData>
    <row r="43" spans="1:3" x14ac:dyDescent="0.4">
      <c r="A43" s="12" t="s">
        <v>66</v>
      </c>
      <c r="B43" s="12"/>
      <c r="C43" s="12"/>
    </row>
    <row r="69" spans="2:14" x14ac:dyDescent="0.4">
      <c r="K69" s="12" t="s">
        <v>39</v>
      </c>
      <c r="L69" s="12"/>
      <c r="M69" s="12"/>
      <c r="N69" s="12"/>
    </row>
    <row r="77" spans="2:14" x14ac:dyDescent="0.4">
      <c r="K77" s="12" t="s">
        <v>40</v>
      </c>
      <c r="L77" s="12"/>
      <c r="M77" s="12"/>
      <c r="N77" s="12"/>
    </row>
    <row r="78" spans="2:14" x14ac:dyDescent="0.4">
      <c r="B78" s="2"/>
      <c r="C78" s="2"/>
      <c r="D78" s="2"/>
    </row>
    <row r="87" spans="2:21" x14ac:dyDescent="0.4">
      <c r="B87" s="14"/>
    </row>
    <row r="92" spans="2:21" x14ac:dyDescent="0.4">
      <c r="K92" s="12" t="s">
        <v>41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4" spans="2:21" x14ac:dyDescent="0.4">
      <c r="K94" t="s">
        <v>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4"/>
  <sheetViews>
    <sheetView zoomScaleNormal="100" workbookViewId="0">
      <pane xSplit="1" topLeftCell="B1" activePane="topRight" state="frozen"/>
      <selection activeCell="A7" sqref="A7"/>
      <selection pane="topRight"/>
    </sheetView>
  </sheetViews>
  <sheetFormatPr defaultRowHeight="17.399999999999999" outlineLevelRow="1" x14ac:dyDescent="0.4"/>
  <cols>
    <col min="1" max="1" width="20" bestFit="1" customWidth="1"/>
    <col min="2" max="2" width="9" customWidth="1"/>
    <col min="9" max="9" width="11" bestFit="1" customWidth="1"/>
    <col min="14" max="14" width="10.8984375" bestFit="1" customWidth="1"/>
    <col min="15" max="15" width="8.5" customWidth="1"/>
    <col min="16" max="17" width="6.69921875" bestFit="1" customWidth="1"/>
    <col min="19" max="19" width="15.8984375" bestFit="1" customWidth="1"/>
  </cols>
  <sheetData>
    <row r="1" spans="1:26" ht="18" thickBot="1" x14ac:dyDescent="0.45">
      <c r="A1" s="30" t="s">
        <v>90</v>
      </c>
    </row>
    <row r="2" spans="1:26" ht="18" thickBot="1" x14ac:dyDescent="0.45">
      <c r="A2" s="31" t="s">
        <v>91</v>
      </c>
      <c r="E2" s="17" t="s">
        <v>46</v>
      </c>
      <c r="F2" s="17" t="s">
        <v>47</v>
      </c>
      <c r="G2" s="17" t="s">
        <v>48</v>
      </c>
      <c r="H2" s="17" t="s">
        <v>49</v>
      </c>
      <c r="I2" s="18" t="s">
        <v>50</v>
      </c>
      <c r="J2" s="19" t="s">
        <v>51</v>
      </c>
      <c r="K2" s="19" t="s">
        <v>52</v>
      </c>
      <c r="L2" s="19" t="s">
        <v>53</v>
      </c>
      <c r="M2" s="19" t="s">
        <v>54</v>
      </c>
      <c r="N2" s="19" t="s">
        <v>55</v>
      </c>
      <c r="O2" s="20" t="s">
        <v>56</v>
      </c>
    </row>
    <row r="3" spans="1:26" ht="18.600000000000001" thickTop="1" thickBot="1" x14ac:dyDescent="0.45">
      <c r="A3" s="32" t="s">
        <v>92</v>
      </c>
      <c r="E3" s="21">
        <v>11000</v>
      </c>
      <c r="F3" s="22">
        <v>1.34</v>
      </c>
      <c r="G3" s="45">
        <v>3.27E-2</v>
      </c>
      <c r="H3" s="269">
        <v>42.96</v>
      </c>
      <c r="I3" s="23">
        <f>7425062-163161</f>
        <v>7261901</v>
      </c>
      <c r="J3" s="24">
        <f>O11</f>
        <v>6387.5884666164329</v>
      </c>
      <c r="K3" s="25">
        <v>10</v>
      </c>
      <c r="L3" s="25">
        <f>M3/O9</f>
        <v>5.0269867397103996</v>
      </c>
      <c r="M3" s="26">
        <f>J3*K3</f>
        <v>63875.884666164333</v>
      </c>
      <c r="N3" s="27">
        <f>M3/E3-1</f>
        <v>4.806898606014939</v>
      </c>
      <c r="O3" s="28" t="s">
        <v>65</v>
      </c>
    </row>
    <row r="4" spans="1:26" ht="18" thickBot="1" x14ac:dyDescent="0.45">
      <c r="A4" s="29"/>
      <c r="K4" s="15"/>
      <c r="L4" s="15"/>
      <c r="M4" s="15"/>
      <c r="N4" s="15"/>
      <c r="O4" s="15"/>
      <c r="P4" s="15"/>
      <c r="Q4" s="15"/>
    </row>
    <row r="5" spans="1:26" x14ac:dyDescent="0.4">
      <c r="A5" s="214" t="s">
        <v>6</v>
      </c>
      <c r="B5" s="215">
        <v>2017</v>
      </c>
      <c r="C5" s="215">
        <v>2018</v>
      </c>
      <c r="D5" s="215">
        <v>2019</v>
      </c>
      <c r="E5" s="215" t="s">
        <v>9</v>
      </c>
      <c r="F5" s="215" t="s">
        <v>43</v>
      </c>
      <c r="G5" s="216" t="s">
        <v>44</v>
      </c>
      <c r="K5" s="142"/>
      <c r="L5" s="140">
        <v>2017</v>
      </c>
      <c r="M5" s="140">
        <v>2018</v>
      </c>
      <c r="N5" s="148">
        <v>2019</v>
      </c>
      <c r="O5" s="149" t="s">
        <v>9</v>
      </c>
      <c r="P5" s="155" t="s">
        <v>43</v>
      </c>
      <c r="Q5" s="149" t="s">
        <v>44</v>
      </c>
      <c r="X5" s="4"/>
    </row>
    <row r="6" spans="1:26" ht="18" thickBot="1" x14ac:dyDescent="0.45">
      <c r="A6" s="217" t="s">
        <v>10</v>
      </c>
      <c r="B6" s="189" t="e">
        <f>value!#REF!</f>
        <v>#REF!</v>
      </c>
      <c r="C6" s="189">
        <f>value!R6</f>
        <v>8144</v>
      </c>
      <c r="D6" s="189">
        <f>value!S6</f>
        <v>8076</v>
      </c>
      <c r="E6" s="189">
        <f>value!T6</f>
        <v>9307.0417689999995</v>
      </c>
      <c r="F6" s="189">
        <f>value!U6</f>
        <v>10091.929355811537</v>
      </c>
      <c r="G6" s="218" t="e">
        <f>value!#REF!</f>
        <v>#REF!</v>
      </c>
      <c r="K6" s="143" t="s">
        <v>57</v>
      </c>
      <c r="L6" s="141">
        <v>381.9</v>
      </c>
      <c r="M6" s="141">
        <v>424.22</v>
      </c>
      <c r="N6" s="141">
        <v>458.88</v>
      </c>
      <c r="O6" s="150">
        <f>N6+O8</f>
        <v>922.74035073310347</v>
      </c>
      <c r="P6" s="51">
        <f>O6+P8</f>
        <v>1411.8305251096065</v>
      </c>
      <c r="Q6" s="150" t="e">
        <f>P6+Q8</f>
        <v>#REF!</v>
      </c>
      <c r="S6" t="s">
        <v>93</v>
      </c>
    </row>
    <row r="7" spans="1:26" collapsed="1" x14ac:dyDescent="0.4">
      <c r="A7" s="219" t="s">
        <v>14</v>
      </c>
      <c r="B7" s="84"/>
      <c r="C7" s="84"/>
      <c r="D7" s="84"/>
      <c r="E7" s="209">
        <v>1262</v>
      </c>
      <c r="F7" s="209"/>
      <c r="G7" s="220"/>
      <c r="K7" s="144" t="s">
        <v>64</v>
      </c>
      <c r="L7" s="42"/>
      <c r="M7" s="42"/>
      <c r="N7" s="42"/>
      <c r="O7" s="151"/>
      <c r="P7" s="46"/>
      <c r="Q7" s="151"/>
      <c r="S7" s="115" t="s">
        <v>94</v>
      </c>
      <c r="T7" s="194"/>
      <c r="U7" s="116"/>
      <c r="V7" s="116"/>
      <c r="W7" s="116"/>
      <c r="X7" s="116"/>
      <c r="Y7" s="116"/>
      <c r="Z7" s="117"/>
    </row>
    <row r="8" spans="1:26" x14ac:dyDescent="0.4">
      <c r="A8" s="221" t="s">
        <v>22</v>
      </c>
      <c r="B8" s="95" t="e">
        <f>value!#REF!</f>
        <v>#REF!</v>
      </c>
      <c r="C8" s="95" t="e">
        <f>value!#REF!</f>
        <v>#REF!</v>
      </c>
      <c r="D8" s="95" t="e">
        <f>value!#REF!</f>
        <v>#REF!</v>
      </c>
      <c r="E8" s="95">
        <f>'수주 스케쥴'!L17</f>
        <v>0</v>
      </c>
      <c r="F8" s="95" t="e">
        <f>value!#REF!</f>
        <v>#REF!</v>
      </c>
      <c r="G8" s="222" t="e">
        <f>value!#REF!</f>
        <v>#REF!</v>
      </c>
      <c r="H8" s="59"/>
      <c r="K8" s="145" t="s">
        <v>58</v>
      </c>
      <c r="L8" s="36" t="e">
        <f>B52</f>
        <v>#REF!</v>
      </c>
      <c r="M8" s="37">
        <f>C52</f>
        <v>350</v>
      </c>
      <c r="N8" s="37">
        <f>D52</f>
        <v>286</v>
      </c>
      <c r="O8" s="152">
        <f>E52</f>
        <v>463.86035073310342</v>
      </c>
      <c r="P8" s="37">
        <f>F54</f>
        <v>489.090174376503</v>
      </c>
      <c r="Q8" s="152" t="e">
        <f>G54</f>
        <v>#REF!</v>
      </c>
      <c r="S8" s="118"/>
      <c r="T8" s="119">
        <v>16</v>
      </c>
      <c r="U8" s="195">
        <v>17</v>
      </c>
      <c r="V8" s="195">
        <v>18</v>
      </c>
      <c r="W8" s="279">
        <v>19</v>
      </c>
      <c r="X8" s="191" t="s">
        <v>84</v>
      </c>
      <c r="Y8" s="191" t="s">
        <v>101</v>
      </c>
      <c r="Z8" s="120" t="s">
        <v>102</v>
      </c>
    </row>
    <row r="9" spans="1:26" x14ac:dyDescent="0.4">
      <c r="A9" s="223" t="s">
        <v>11</v>
      </c>
      <c r="B9" s="97"/>
      <c r="C9" s="60" t="e">
        <f>C8/B8-1</f>
        <v>#REF!</v>
      </c>
      <c r="D9" s="60" t="e">
        <f>D8/C8-1</f>
        <v>#REF!</v>
      </c>
      <c r="E9" s="60" t="e">
        <f>E8/D8-1</f>
        <v>#REF!</v>
      </c>
      <c r="F9" s="60" t="e">
        <f>F8/E8-1</f>
        <v>#REF!</v>
      </c>
      <c r="G9" s="224" t="e">
        <f>G8/F8-1</f>
        <v>#REF!</v>
      </c>
      <c r="K9" s="146" t="s">
        <v>59</v>
      </c>
      <c r="L9" s="35">
        <f>L6*100000000/I3</f>
        <v>5258.9535439824913</v>
      </c>
      <c r="M9" s="35">
        <f>M6*100000000/I3</f>
        <v>5841.721058989926</v>
      </c>
      <c r="N9" s="35">
        <f>N6*100000000/I3</f>
        <v>6319.0065521410988</v>
      </c>
      <c r="O9" s="153">
        <f>O6*100000000/I3</f>
        <v>12706.595018757533</v>
      </c>
      <c r="P9" s="49">
        <f>P6*100000000/I3</f>
        <v>19441.610745032278</v>
      </c>
      <c r="Q9" s="153" t="e">
        <f>Q6*100000000/I3</f>
        <v>#REF!</v>
      </c>
      <c r="S9" s="118" t="s">
        <v>95</v>
      </c>
      <c r="T9" s="205">
        <f>63.34+9.86-T16</f>
        <v>49.220000000000006</v>
      </c>
      <c r="U9" s="178">
        <f>82.94+13.1-U16</f>
        <v>70.699999999999989</v>
      </c>
      <c r="V9" s="178">
        <f>74.7+10.84-V16</f>
        <v>66.02000000000001</v>
      </c>
      <c r="W9" s="121">
        <f>89.33+13.51-W16</f>
        <v>79.140000000000015</v>
      </c>
      <c r="X9" s="178">
        <f>W9*1.05</f>
        <v>83.097000000000023</v>
      </c>
      <c r="Y9" s="178">
        <f t="shared" ref="Y9:Z9" si="0">X9*1.05</f>
        <v>87.251850000000033</v>
      </c>
      <c r="Z9" s="121">
        <f t="shared" si="0"/>
        <v>91.614442500000038</v>
      </c>
    </row>
    <row r="10" spans="1:26" x14ac:dyDescent="0.4">
      <c r="A10" s="223" t="s">
        <v>12</v>
      </c>
      <c r="B10" s="97"/>
      <c r="C10" s="97"/>
      <c r="D10" s="97"/>
      <c r="E10" s="97"/>
      <c r="F10" s="97"/>
      <c r="G10" s="225"/>
      <c r="K10" s="168" t="s">
        <v>99</v>
      </c>
      <c r="L10" s="39"/>
      <c r="M10" s="165">
        <f>(M9-L9)/L9</f>
        <v>0.11081434930610121</v>
      </c>
      <c r="N10" s="165">
        <f>(N9-M9)/M9</f>
        <v>8.1702890009900414E-2</v>
      </c>
      <c r="O10" s="166">
        <f>(O9-N9)/N9</f>
        <v>1.0108532747844829</v>
      </c>
      <c r="P10" s="167">
        <f>(P9-O9)/O9</f>
        <v>0.53004095246070915</v>
      </c>
      <c r="Q10" s="166" t="e">
        <f>(Q9-P9)/P9</f>
        <v>#REF!</v>
      </c>
      <c r="S10" s="118" t="s">
        <v>96</v>
      </c>
      <c r="T10" s="205">
        <f>8.9-T17-T18</f>
        <v>6.8500000000000005</v>
      </c>
      <c r="U10" s="178">
        <f>11.78-U17-U18</f>
        <v>10.65</v>
      </c>
      <c r="V10" s="178">
        <f t="shared" ref="V10:W10" si="1">11.78-V17-V18</f>
        <v>9.75</v>
      </c>
      <c r="W10" s="121">
        <f t="shared" si="1"/>
        <v>9.44</v>
      </c>
      <c r="X10" s="178">
        <f>11.78-X17-Y18</f>
        <v>9.44</v>
      </c>
      <c r="Y10" s="3">
        <v>9</v>
      </c>
      <c r="Z10" s="122">
        <v>8</v>
      </c>
    </row>
    <row r="11" spans="1:26" x14ac:dyDescent="0.4">
      <c r="A11" s="226" t="s">
        <v>13</v>
      </c>
      <c r="B11" s="98" t="e">
        <f t="shared" ref="B11:G11" si="2">B8/B6</f>
        <v>#REF!</v>
      </c>
      <c r="C11" s="98" t="e">
        <f t="shared" si="2"/>
        <v>#REF!</v>
      </c>
      <c r="D11" s="98" t="e">
        <f t="shared" si="2"/>
        <v>#REF!</v>
      </c>
      <c r="E11" s="98">
        <f t="shared" si="2"/>
        <v>0</v>
      </c>
      <c r="F11" s="98" t="e">
        <f t="shared" si="2"/>
        <v>#REF!</v>
      </c>
      <c r="G11" s="227" t="e">
        <f t="shared" si="2"/>
        <v>#REF!</v>
      </c>
      <c r="K11" s="146" t="s">
        <v>60</v>
      </c>
      <c r="L11" s="34" t="e">
        <f>L8*100000000/I3</f>
        <v>#REF!</v>
      </c>
      <c r="M11" s="35">
        <f>M8*100000000/I3</f>
        <v>4819.6746278970204</v>
      </c>
      <c r="N11" s="35">
        <f>N8*100000000/I3</f>
        <v>3938.3626959387079</v>
      </c>
      <c r="O11" s="150">
        <f>O8*100000000/I3</f>
        <v>6387.5884666164329</v>
      </c>
      <c r="P11" s="51">
        <f>P8*100000000/I3</f>
        <v>6735.0157262747452</v>
      </c>
      <c r="Q11" s="150" t="e">
        <f>Q8*100000000/I3</f>
        <v>#REF!</v>
      </c>
      <c r="S11" s="118"/>
      <c r="T11" s="4"/>
      <c r="U11" s="178"/>
      <c r="V11" s="178"/>
      <c r="W11" s="121"/>
      <c r="X11" s="4"/>
      <c r="Y11" s="4"/>
      <c r="Z11" s="122"/>
    </row>
    <row r="12" spans="1:26" ht="18" thickBot="1" x14ac:dyDescent="0.45">
      <c r="A12" s="228" t="s">
        <v>15</v>
      </c>
      <c r="B12" s="61" t="e">
        <f>value!#REF!</f>
        <v>#REF!</v>
      </c>
      <c r="C12" s="61" t="e">
        <f>value!#REF!</f>
        <v>#REF!</v>
      </c>
      <c r="D12" s="61" t="e">
        <f>value!#REF!</f>
        <v>#REF!</v>
      </c>
      <c r="E12" s="61" t="e">
        <f>value!#REF!</f>
        <v>#REF!</v>
      </c>
      <c r="F12" s="61" t="e">
        <f>value!#REF!</f>
        <v>#REF!</v>
      </c>
      <c r="G12" s="102" t="e">
        <f>value!#REF!</f>
        <v>#REF!</v>
      </c>
      <c r="K12" s="168" t="s">
        <v>99</v>
      </c>
      <c r="L12" s="38"/>
      <c r="M12" s="164" t="e">
        <f>(M11-L11)/L11</f>
        <v>#REF!</v>
      </c>
      <c r="N12" s="130">
        <f>(N11-M11)/M11</f>
        <v>-0.18285714285714288</v>
      </c>
      <c r="O12" s="154">
        <f>(O11-N11)/N11</f>
        <v>0.62188933822763437</v>
      </c>
      <c r="P12" s="154">
        <f t="shared" ref="P12:Q12" si="3">(P11-O11)/O11</f>
        <v>5.4390989882031004E-2</v>
      </c>
      <c r="Q12" s="154" t="e">
        <f t="shared" si="3"/>
        <v>#REF!</v>
      </c>
      <c r="S12" s="123" t="s">
        <v>68</v>
      </c>
      <c r="T12" s="124">
        <f>SUM(T9:T11)</f>
        <v>56.070000000000007</v>
      </c>
      <c r="U12" s="124">
        <f>SUM(U9:U11)</f>
        <v>81.349999999999994</v>
      </c>
      <c r="V12" s="124">
        <f>SUM(V9:V11)</f>
        <v>75.77000000000001</v>
      </c>
      <c r="W12" s="125">
        <f t="shared" ref="W12" si="4">SUM(W9:W11)</f>
        <v>88.580000000000013</v>
      </c>
      <c r="X12" s="124">
        <f>SUM(X9:X11)</f>
        <v>92.53700000000002</v>
      </c>
      <c r="Y12" s="124">
        <f t="shared" ref="Y12:Z12" si="5">SUM(Y9:Y11)</f>
        <v>96.251850000000033</v>
      </c>
      <c r="Z12" s="125">
        <f t="shared" si="5"/>
        <v>99.614442500000038</v>
      </c>
    </row>
    <row r="13" spans="1:26" ht="18" outlineLevel="1" thickBot="1" x14ac:dyDescent="0.45">
      <c r="A13" s="105" t="s">
        <v>85</v>
      </c>
      <c r="B13" s="83" t="e">
        <f>B12/B8</f>
        <v>#REF!</v>
      </c>
      <c r="C13" s="83" t="e">
        <f t="shared" ref="C13:G13" si="6">C12/C8</f>
        <v>#REF!</v>
      </c>
      <c r="D13" s="83" t="e">
        <f t="shared" si="6"/>
        <v>#REF!</v>
      </c>
      <c r="E13" s="83" t="e">
        <f t="shared" si="6"/>
        <v>#REF!</v>
      </c>
      <c r="F13" s="83" t="e">
        <f t="shared" si="6"/>
        <v>#REF!</v>
      </c>
      <c r="G13" s="229" t="e">
        <f t="shared" si="6"/>
        <v>#REF!</v>
      </c>
      <c r="K13" s="143" t="s">
        <v>61</v>
      </c>
      <c r="L13" s="156" t="e">
        <f t="shared" ref="L13:P13" si="7">L8/L6</f>
        <v>#REF!</v>
      </c>
      <c r="M13" s="157">
        <f>M8/M6</f>
        <v>0.82504360944792787</v>
      </c>
      <c r="N13" s="157">
        <f>N8/N6</f>
        <v>0.62325662482566246</v>
      </c>
      <c r="O13" s="158">
        <f t="shared" si="7"/>
        <v>0.50269867397103996</v>
      </c>
      <c r="P13" s="156">
        <f t="shared" si="7"/>
        <v>0.34642272261292328</v>
      </c>
      <c r="Q13" s="158" t="e">
        <f>Q8/Q6</f>
        <v>#REF!</v>
      </c>
      <c r="R13" s="118" t="s">
        <v>100</v>
      </c>
      <c r="S13" s="75"/>
      <c r="T13" s="75"/>
      <c r="U13" s="75"/>
      <c r="V13" s="75"/>
      <c r="W13" s="75"/>
      <c r="X13" s="75"/>
      <c r="Z13" s="2"/>
    </row>
    <row r="14" spans="1:26" outlineLevel="1" x14ac:dyDescent="0.4">
      <c r="A14" s="228" t="s">
        <v>68</v>
      </c>
      <c r="B14" s="61" t="e">
        <f>value!#REF!</f>
        <v>#REF!</v>
      </c>
      <c r="C14" s="61" t="e">
        <f>value!#REF!</f>
        <v>#REF!</v>
      </c>
      <c r="D14" s="61" t="e">
        <f t="shared" ref="D14" si="8">C14</f>
        <v>#REF!</v>
      </c>
      <c r="E14" s="61" t="e">
        <f>value!#REF!</f>
        <v>#REF!</v>
      </c>
      <c r="F14" s="61" t="e">
        <f>value!#REF!</f>
        <v>#REF!</v>
      </c>
      <c r="G14" s="102" t="e">
        <f>value!#REF!</f>
        <v>#REF!</v>
      </c>
      <c r="K14" s="146" t="s">
        <v>62</v>
      </c>
      <c r="L14" s="126">
        <v>7.4</v>
      </c>
      <c r="M14" s="160">
        <v>4.8</v>
      </c>
      <c r="N14" s="160" t="e">
        <f>#REF!/N9</f>
        <v>#REF!</v>
      </c>
      <c r="O14" s="161" t="e">
        <f>#REF!/O9</f>
        <v>#REF!</v>
      </c>
      <c r="P14" s="160" t="e">
        <f>#REF!/P9</f>
        <v>#REF!</v>
      </c>
      <c r="Q14" s="161" t="e">
        <f>#REF!/Q9</f>
        <v>#REF!</v>
      </c>
      <c r="S14" s="127" t="s">
        <v>98</v>
      </c>
      <c r="T14" s="194"/>
      <c r="U14" s="116"/>
      <c r="V14" s="116"/>
      <c r="W14" s="116"/>
      <c r="X14" s="116"/>
      <c r="Y14" s="194"/>
      <c r="Z14" s="117"/>
    </row>
    <row r="15" spans="1:26" ht="18" outlineLevel="1" thickBot="1" x14ac:dyDescent="0.45">
      <c r="A15" s="105" t="s">
        <v>86</v>
      </c>
      <c r="B15" s="82" t="e">
        <f t="shared" ref="B15:G15" si="9">B14/B12</f>
        <v>#REF!</v>
      </c>
      <c r="C15" s="82" t="e">
        <f t="shared" si="9"/>
        <v>#REF!</v>
      </c>
      <c r="D15" s="82" t="e">
        <f t="shared" si="9"/>
        <v>#REF!</v>
      </c>
      <c r="E15" s="82" t="e">
        <f t="shared" si="9"/>
        <v>#REF!</v>
      </c>
      <c r="F15" s="82" t="e">
        <f t="shared" si="9"/>
        <v>#REF!</v>
      </c>
      <c r="G15" s="230" t="e">
        <f t="shared" si="9"/>
        <v>#REF!</v>
      </c>
      <c r="I15" s="3"/>
      <c r="J15" s="3"/>
      <c r="K15" s="147" t="s">
        <v>63</v>
      </c>
      <c r="L15" s="53" t="e">
        <f>#REF!/L11</f>
        <v>#REF!</v>
      </c>
      <c r="M15" s="53" t="e">
        <f>#REF!/M11</f>
        <v>#REF!</v>
      </c>
      <c r="N15" s="53" t="e">
        <f>#REF!/N11</f>
        <v>#REF!</v>
      </c>
      <c r="O15" s="162" t="e">
        <f>#REF!/O11</f>
        <v>#REF!</v>
      </c>
      <c r="P15" s="163" t="e">
        <f>#REF!/P11</f>
        <v>#REF!</v>
      </c>
      <c r="Q15" s="163" t="e">
        <f>#REF!/Q11</f>
        <v>#REF!</v>
      </c>
      <c r="S15" s="118"/>
      <c r="T15" s="193">
        <v>16</v>
      </c>
      <c r="U15" s="193">
        <v>17</v>
      </c>
      <c r="V15" s="193">
        <v>18</v>
      </c>
      <c r="W15" s="280">
        <v>19</v>
      </c>
      <c r="X15" s="192" t="s">
        <v>84</v>
      </c>
      <c r="Y15" s="192" t="s">
        <v>101</v>
      </c>
      <c r="Z15" s="129" t="s">
        <v>102</v>
      </c>
    </row>
    <row r="16" spans="1:26" outlineLevel="1" x14ac:dyDescent="0.4">
      <c r="A16" s="228" t="s">
        <v>69</v>
      </c>
      <c r="B16" s="61" t="e">
        <f>value!#REF!</f>
        <v>#REF!</v>
      </c>
      <c r="C16" s="61" t="e">
        <f>value!#REF!</f>
        <v>#REF!</v>
      </c>
      <c r="D16" s="61" t="e">
        <f>value!#REF!</f>
        <v>#REF!</v>
      </c>
      <c r="E16" s="61" t="e">
        <f>value!#REF!</f>
        <v>#REF!</v>
      </c>
      <c r="F16" s="61" t="e">
        <f>value!#REF!</f>
        <v>#REF!</v>
      </c>
      <c r="G16" s="102" t="e">
        <f>value!#REF!</f>
        <v>#REF!</v>
      </c>
      <c r="H16" s="100"/>
      <c r="I16" s="3"/>
      <c r="J16" s="81"/>
      <c r="K16" s="79"/>
      <c r="L16" s="80"/>
      <c r="M16" s="51"/>
      <c r="N16" s="51"/>
      <c r="O16" s="51"/>
      <c r="S16" s="118" t="s">
        <v>95</v>
      </c>
      <c r="T16" s="178">
        <f>12.15+3.16+2.09+3.5+3.08</f>
        <v>23.979999999999997</v>
      </c>
      <c r="U16" s="178">
        <f>15.32+3.3+1+3.13+2.59</f>
        <v>25.34</v>
      </c>
      <c r="V16" s="178">
        <f>14.9+1.43+3.19</f>
        <v>19.520000000000003</v>
      </c>
      <c r="W16" s="121">
        <f>14.54+1.35+1.82+3.86+2.13</f>
        <v>23.699999999999996</v>
      </c>
      <c r="X16" s="178">
        <f t="shared" ref="X16:Z17" si="10">W16</f>
        <v>23.699999999999996</v>
      </c>
      <c r="Y16" s="178">
        <f t="shared" si="10"/>
        <v>23.699999999999996</v>
      </c>
      <c r="Z16" s="121">
        <f t="shared" si="10"/>
        <v>23.699999999999996</v>
      </c>
    </row>
    <row r="17" spans="1:26" outlineLevel="1" x14ac:dyDescent="0.4">
      <c r="A17" s="105" t="s">
        <v>87</v>
      </c>
      <c r="B17" s="82" t="e">
        <f>B16/B12</f>
        <v>#REF!</v>
      </c>
      <c r="C17" s="82" t="e">
        <f t="shared" ref="C17:G17" si="11">C16/C12</f>
        <v>#REF!</v>
      </c>
      <c r="D17" s="82" t="e">
        <f t="shared" si="11"/>
        <v>#REF!</v>
      </c>
      <c r="E17" s="82" t="e">
        <f t="shared" si="11"/>
        <v>#REF!</v>
      </c>
      <c r="F17" s="82" t="e">
        <f t="shared" si="11"/>
        <v>#REF!</v>
      </c>
      <c r="G17" s="230" t="e">
        <f t="shared" si="11"/>
        <v>#REF!</v>
      </c>
      <c r="I17" s="3"/>
      <c r="J17" s="81"/>
      <c r="K17" s="79"/>
      <c r="L17" s="80"/>
      <c r="M17" s="51"/>
      <c r="N17" s="51"/>
      <c r="O17" s="51"/>
      <c r="S17" s="118" t="s">
        <v>96</v>
      </c>
      <c r="T17" s="178">
        <v>1.35</v>
      </c>
      <c r="U17" s="178">
        <v>0.94</v>
      </c>
      <c r="V17" s="178">
        <v>1.87</v>
      </c>
      <c r="W17" s="121">
        <v>2.1800000000000002</v>
      </c>
      <c r="X17" s="178">
        <f t="shared" si="10"/>
        <v>2.1800000000000002</v>
      </c>
      <c r="Y17" s="178">
        <f t="shared" si="10"/>
        <v>2.1800000000000002</v>
      </c>
      <c r="Z17" s="121">
        <f t="shared" si="10"/>
        <v>2.1800000000000002</v>
      </c>
    </row>
    <row r="18" spans="1:26" x14ac:dyDescent="0.4">
      <c r="A18" s="231" t="s">
        <v>17</v>
      </c>
      <c r="B18" s="207" t="e">
        <f t="shared" ref="B18:G18" si="12">B8-B12</f>
        <v>#REF!</v>
      </c>
      <c r="C18" s="207" t="e">
        <f t="shared" si="12"/>
        <v>#REF!</v>
      </c>
      <c r="D18" s="208" t="e">
        <f t="shared" si="12"/>
        <v>#REF!</v>
      </c>
      <c r="E18" s="207" t="e">
        <f t="shared" si="12"/>
        <v>#REF!</v>
      </c>
      <c r="F18" s="207" t="e">
        <f t="shared" si="12"/>
        <v>#REF!</v>
      </c>
      <c r="G18" s="232" t="e">
        <f t="shared" si="12"/>
        <v>#REF!</v>
      </c>
      <c r="I18" s="3"/>
      <c r="J18" s="3"/>
      <c r="K18" s="3"/>
      <c r="L18" s="3"/>
      <c r="S18" s="118" t="s">
        <v>97</v>
      </c>
      <c r="T18" s="178">
        <v>0.7</v>
      </c>
      <c r="U18" s="178">
        <v>0.19</v>
      </c>
      <c r="V18" s="178">
        <v>0.16</v>
      </c>
      <c r="W18" s="121">
        <v>0.16</v>
      </c>
      <c r="X18" s="196">
        <f>W18</f>
        <v>0.16</v>
      </c>
      <c r="Y18" s="178">
        <v>0.16</v>
      </c>
      <c r="Z18" s="197">
        <f>Y18</f>
        <v>0.16</v>
      </c>
    </row>
    <row r="19" spans="1:26" ht="18" thickBot="1" x14ac:dyDescent="0.45">
      <c r="A19" s="233" t="s">
        <v>18</v>
      </c>
      <c r="B19" s="93" t="e">
        <f>B18/B8</f>
        <v>#REF!</v>
      </c>
      <c r="C19" s="93" t="e">
        <f t="shared" ref="C19:G19" si="13">C18/C8</f>
        <v>#REF!</v>
      </c>
      <c r="D19" s="93" t="e">
        <f t="shared" si="13"/>
        <v>#REF!</v>
      </c>
      <c r="E19" s="93" t="e">
        <f t="shared" si="13"/>
        <v>#REF!</v>
      </c>
      <c r="F19" s="93" t="e">
        <f t="shared" si="13"/>
        <v>#REF!</v>
      </c>
      <c r="G19" s="234" t="e">
        <f t="shared" si="13"/>
        <v>#REF!</v>
      </c>
      <c r="S19" s="123" t="s">
        <v>68</v>
      </c>
      <c r="T19" s="124">
        <f>SUM(T16:T18)</f>
        <v>26.029999999999998</v>
      </c>
      <c r="U19" s="124">
        <f>SUM(U16:U18)</f>
        <v>26.470000000000002</v>
      </c>
      <c r="V19" s="124">
        <f t="shared" ref="V19:Z19" si="14">SUM(V16:V18)</f>
        <v>21.550000000000004</v>
      </c>
      <c r="W19" s="125">
        <f t="shared" si="14"/>
        <v>26.039999999999996</v>
      </c>
      <c r="X19" s="124">
        <f t="shared" si="14"/>
        <v>26.039999999999996</v>
      </c>
      <c r="Y19" s="124">
        <f t="shared" si="14"/>
        <v>26.039999999999996</v>
      </c>
      <c r="Z19" s="125">
        <f t="shared" si="14"/>
        <v>26.039999999999996</v>
      </c>
    </row>
    <row r="20" spans="1:26" s="2" customFormat="1" x14ac:dyDescent="0.4">
      <c r="A20" s="221" t="s">
        <v>23</v>
      </c>
      <c r="B20" s="96" t="e">
        <f>value!#REF!</f>
        <v>#REF!</v>
      </c>
      <c r="C20" s="96" t="e">
        <f>value!#REF!</f>
        <v>#REF!</v>
      </c>
      <c r="D20" s="96" t="e">
        <f>value!#REF!</f>
        <v>#REF!</v>
      </c>
      <c r="E20" s="96" t="e">
        <f>value!#REF!</f>
        <v>#REF!</v>
      </c>
      <c r="F20" s="96" t="e">
        <f>value!#REF!</f>
        <v>#REF!</v>
      </c>
      <c r="G20" s="235" t="e">
        <f>value!#REF!</f>
        <v>#REF!</v>
      </c>
      <c r="K20" s="79"/>
      <c r="L20" s="79"/>
      <c r="M20" s="131"/>
      <c r="N20" s="57"/>
      <c r="O20" s="57"/>
      <c r="P20" s="57"/>
      <c r="Q20" s="57"/>
      <c r="R20" s="3"/>
      <c r="S20" s="3"/>
      <c r="T20" s="3"/>
      <c r="U20" s="3"/>
      <c r="V20" s="3"/>
      <c r="W20" s="3"/>
      <c r="X20" s="3"/>
      <c r="Y20" s="3"/>
    </row>
    <row r="21" spans="1:26" hidden="1" x14ac:dyDescent="0.4">
      <c r="A21" s="103" t="s">
        <v>11</v>
      </c>
      <c r="B21" s="70"/>
      <c r="C21" s="72" t="e">
        <f>C20/B20-1</f>
        <v>#REF!</v>
      </c>
      <c r="D21" s="72" t="e">
        <f>D20/C20-1</f>
        <v>#REF!</v>
      </c>
      <c r="E21" s="72" t="e">
        <f>E20/D20-1</f>
        <v>#REF!</v>
      </c>
      <c r="F21" s="72" t="e">
        <f>F20/E20-1</f>
        <v>#REF!</v>
      </c>
      <c r="G21" s="236" t="e">
        <f>G20/F20-1</f>
        <v>#REF!</v>
      </c>
      <c r="K21" s="132"/>
      <c r="L21" s="133"/>
      <c r="M21" s="133"/>
      <c r="N21" s="133"/>
      <c r="O21" s="133"/>
      <c r="P21" s="133"/>
      <c r="Q21" s="133"/>
      <c r="S21" s="3"/>
      <c r="T21" s="3"/>
      <c r="U21" s="3"/>
      <c r="V21" s="3"/>
      <c r="W21" s="3"/>
      <c r="X21" s="3"/>
    </row>
    <row r="22" spans="1:26" hidden="1" x14ac:dyDescent="0.4">
      <c r="A22" s="103" t="s">
        <v>12</v>
      </c>
      <c r="B22" s="70"/>
      <c r="C22" s="70"/>
      <c r="D22" s="70"/>
      <c r="E22" s="70"/>
      <c r="F22" s="70"/>
      <c r="G22" s="237"/>
      <c r="K22" s="132"/>
      <c r="L22" s="54"/>
      <c r="M22" s="134"/>
      <c r="N22" s="134"/>
      <c r="O22" s="134"/>
      <c r="P22" s="134"/>
      <c r="Q22" s="134"/>
      <c r="S22" s="3"/>
      <c r="T22" s="3"/>
      <c r="U22" s="3"/>
      <c r="V22" s="3"/>
      <c r="W22" s="3"/>
      <c r="X22" s="3"/>
    </row>
    <row r="23" spans="1:26" hidden="1" x14ac:dyDescent="0.4">
      <c r="A23" s="103" t="s">
        <v>13</v>
      </c>
      <c r="B23" s="73" t="e">
        <f t="shared" ref="B23:G23" si="15">B20/B6</f>
        <v>#REF!</v>
      </c>
      <c r="C23" s="73" t="e">
        <f t="shared" si="15"/>
        <v>#REF!</v>
      </c>
      <c r="D23" s="73" t="e">
        <f t="shared" si="15"/>
        <v>#REF!</v>
      </c>
      <c r="E23" s="73" t="e">
        <f t="shared" si="15"/>
        <v>#REF!</v>
      </c>
      <c r="F23" s="73" t="e">
        <f t="shared" si="15"/>
        <v>#REF!</v>
      </c>
      <c r="G23" s="238" t="e">
        <f t="shared" si="15"/>
        <v>#REF!</v>
      </c>
      <c r="K23" s="58"/>
      <c r="L23" s="135"/>
      <c r="M23" s="136"/>
      <c r="N23" s="137"/>
      <c r="O23" s="137"/>
      <c r="P23" s="137"/>
      <c r="Q23" s="137"/>
      <c r="S23" s="3"/>
      <c r="T23" s="3"/>
      <c r="U23" s="3"/>
      <c r="V23" s="3"/>
      <c r="W23" s="3"/>
      <c r="X23" s="3"/>
    </row>
    <row r="24" spans="1:26" s="2" customFormat="1" x14ac:dyDescent="0.4">
      <c r="A24" s="228" t="s">
        <v>15</v>
      </c>
      <c r="B24" s="78" t="e">
        <f>value!#REF!</f>
        <v>#REF!</v>
      </c>
      <c r="C24" s="78" t="e">
        <f>value!#REF!</f>
        <v>#REF!</v>
      </c>
      <c r="D24" s="78" t="e">
        <f>value!#REF!</f>
        <v>#REF!</v>
      </c>
      <c r="E24" s="78" t="e">
        <f>value!#REF!</f>
        <v>#REF!</v>
      </c>
      <c r="F24" s="78" t="e">
        <f>value!#REF!</f>
        <v>#REF!</v>
      </c>
      <c r="G24" s="239" t="e">
        <f>value!#REF!</f>
        <v>#REF!</v>
      </c>
      <c r="S24" s="3"/>
      <c r="T24" s="3"/>
      <c r="U24" s="3"/>
      <c r="V24" s="3"/>
      <c r="W24" s="3"/>
      <c r="X24" s="3"/>
    </row>
    <row r="25" spans="1:26" outlineLevel="1" x14ac:dyDescent="0.4">
      <c r="A25" s="104" t="s">
        <v>11</v>
      </c>
      <c r="B25" s="72"/>
      <c r="C25" s="72" t="e">
        <f>(C24-B24)/B24</f>
        <v>#REF!</v>
      </c>
      <c r="D25" s="72" t="e">
        <f>(D24-C24)/C24</f>
        <v>#REF!</v>
      </c>
      <c r="E25" s="72" t="e">
        <f>(E24-D24)/D24</f>
        <v>#REF!</v>
      </c>
      <c r="F25" s="72" t="e">
        <f>(F24-E24)/E24</f>
        <v>#REF!</v>
      </c>
      <c r="G25" s="236" t="e">
        <f>(G24-F24)/F24</f>
        <v>#REF!</v>
      </c>
    </row>
    <row r="26" spans="1:26" outlineLevel="1" x14ac:dyDescent="0.4">
      <c r="A26" s="240" t="s">
        <v>16</v>
      </c>
      <c r="B26" s="74" t="e">
        <f t="shared" ref="B26:G26" si="16">B24/B20</f>
        <v>#REF!</v>
      </c>
      <c r="C26" s="74" t="e">
        <f t="shared" si="16"/>
        <v>#REF!</v>
      </c>
      <c r="D26" s="74" t="e">
        <f t="shared" si="16"/>
        <v>#REF!</v>
      </c>
      <c r="E26" s="74" t="e">
        <f t="shared" si="16"/>
        <v>#REF!</v>
      </c>
      <c r="F26" s="74" t="e">
        <f t="shared" si="16"/>
        <v>#REF!</v>
      </c>
      <c r="G26" s="241" t="e">
        <f t="shared" si="16"/>
        <v>#REF!</v>
      </c>
    </row>
    <row r="27" spans="1:26" s="2" customFormat="1" outlineLevel="1" x14ac:dyDescent="0.4">
      <c r="A27" s="228" t="s">
        <v>68</v>
      </c>
      <c r="B27" s="77" t="e">
        <f>value!#REF!</f>
        <v>#REF!</v>
      </c>
      <c r="C27" s="77" t="e">
        <f>value!#REF!</f>
        <v>#REF!</v>
      </c>
      <c r="D27" s="77" t="e">
        <f>value!#REF!</f>
        <v>#REF!</v>
      </c>
      <c r="E27" s="77" t="e">
        <f>value!#REF!</f>
        <v>#REF!</v>
      </c>
      <c r="F27" s="77" t="e">
        <f>value!#REF!</f>
        <v>#REF!</v>
      </c>
      <c r="G27" s="242" t="e">
        <f>value!#REF!</f>
        <v>#REF!</v>
      </c>
      <c r="S27" s="3"/>
      <c r="T27" s="3"/>
      <c r="U27" s="3"/>
      <c r="V27" s="3"/>
      <c r="W27" s="3"/>
      <c r="X27" s="3"/>
    </row>
    <row r="28" spans="1:26" s="2" customFormat="1" outlineLevel="1" x14ac:dyDescent="0.4">
      <c r="A28" s="105" t="s">
        <v>86</v>
      </c>
      <c r="B28" s="82" t="e">
        <f>B27/B24</f>
        <v>#REF!</v>
      </c>
      <c r="C28" s="82" t="s">
        <v>100</v>
      </c>
      <c r="D28" s="82" t="e">
        <f>D27/D24</f>
        <v>#REF!</v>
      </c>
      <c r="E28" s="82" t="e">
        <f>E27/E24</f>
        <v>#REF!</v>
      </c>
      <c r="F28" s="82" t="e">
        <f>F27/F24</f>
        <v>#REF!</v>
      </c>
      <c r="G28" s="230" t="e">
        <f>G27/G24</f>
        <v>#REF!</v>
      </c>
    </row>
    <row r="29" spans="1:26" s="2" customFormat="1" outlineLevel="1" x14ac:dyDescent="0.4">
      <c r="A29" s="228" t="s">
        <v>69</v>
      </c>
      <c r="B29" s="77" t="e">
        <f>value!#REF!</f>
        <v>#REF!</v>
      </c>
      <c r="C29" s="77" t="e">
        <f>value!#REF!</f>
        <v>#REF!</v>
      </c>
      <c r="D29" s="77" t="e">
        <f>value!#REF!</f>
        <v>#REF!</v>
      </c>
      <c r="E29" s="77" t="e">
        <f>value!#REF!</f>
        <v>#REF!</v>
      </c>
      <c r="F29" s="77" t="e">
        <f>value!#REF!</f>
        <v>#REF!</v>
      </c>
      <c r="G29" s="242" t="e">
        <f>value!#REF!</f>
        <v>#REF!</v>
      </c>
    </row>
    <row r="30" spans="1:26" s="2" customFormat="1" outlineLevel="1" x14ac:dyDescent="0.4">
      <c r="A30" s="105" t="s">
        <v>86</v>
      </c>
      <c r="B30" s="82" t="e">
        <f t="shared" ref="B30:G30" si="17">B29/B24</f>
        <v>#REF!</v>
      </c>
      <c r="C30" s="82" t="e">
        <f t="shared" si="17"/>
        <v>#REF!</v>
      </c>
      <c r="D30" s="82" t="e">
        <f t="shared" si="17"/>
        <v>#REF!</v>
      </c>
      <c r="E30" s="82" t="e">
        <f t="shared" si="17"/>
        <v>#REF!</v>
      </c>
      <c r="F30" s="82" t="e">
        <f t="shared" si="17"/>
        <v>#REF!</v>
      </c>
      <c r="G30" s="230" t="e">
        <f t="shared" si="17"/>
        <v>#REF!</v>
      </c>
    </row>
    <row r="31" spans="1:26" x14ac:dyDescent="0.4">
      <c r="A31" s="231" t="s">
        <v>17</v>
      </c>
      <c r="B31" s="159" t="e">
        <f t="shared" ref="B31:G31" si="18">B20-B24</f>
        <v>#REF!</v>
      </c>
      <c r="C31" s="159" t="e">
        <f t="shared" si="18"/>
        <v>#REF!</v>
      </c>
      <c r="D31" s="159" t="e">
        <f t="shared" si="18"/>
        <v>#REF!</v>
      </c>
      <c r="E31" s="159" t="e">
        <f t="shared" si="18"/>
        <v>#REF!</v>
      </c>
      <c r="F31" s="159" t="e">
        <f t="shared" si="18"/>
        <v>#REF!</v>
      </c>
      <c r="G31" s="243" t="e">
        <f t="shared" si="18"/>
        <v>#REF!</v>
      </c>
    </row>
    <row r="32" spans="1:26" x14ac:dyDescent="0.4">
      <c r="A32" s="233" t="s">
        <v>18</v>
      </c>
      <c r="B32" s="93" t="e">
        <f>B31/B20</f>
        <v>#REF!</v>
      </c>
      <c r="C32" s="93" t="e">
        <f t="shared" ref="C32:G32" si="19">C31/C20</f>
        <v>#REF!</v>
      </c>
      <c r="D32" s="93" t="e">
        <f t="shared" si="19"/>
        <v>#REF!</v>
      </c>
      <c r="E32" s="93" t="e">
        <f t="shared" si="19"/>
        <v>#REF!</v>
      </c>
      <c r="F32" s="93" t="e">
        <f t="shared" si="19"/>
        <v>#REF!</v>
      </c>
      <c r="G32" s="234" t="e">
        <f t="shared" si="19"/>
        <v>#REF!</v>
      </c>
    </row>
    <row r="33" spans="1:8" x14ac:dyDescent="0.4">
      <c r="A33" s="244" t="s">
        <v>15</v>
      </c>
      <c r="B33" s="188" t="e">
        <f>value!#REF!</f>
        <v>#REF!</v>
      </c>
      <c r="C33" s="188">
        <f>value!R10</f>
        <v>6479</v>
      </c>
      <c r="D33" s="188">
        <f>value!S10</f>
        <v>6437</v>
      </c>
      <c r="E33" s="188">
        <f>value!T10</f>
        <v>7386.1607075829997</v>
      </c>
      <c r="F33" s="188">
        <f>value!U10</f>
        <v>8030.3667273615965</v>
      </c>
      <c r="G33" s="245" t="e">
        <f>value!#REF!</f>
        <v>#REF!</v>
      </c>
    </row>
    <row r="34" spans="1:8" x14ac:dyDescent="0.4">
      <c r="A34" s="246" t="s">
        <v>17</v>
      </c>
      <c r="B34" s="187" t="e">
        <f t="shared" ref="B34:G34" si="20">B6-B33</f>
        <v>#REF!</v>
      </c>
      <c r="C34" s="187">
        <f t="shared" si="20"/>
        <v>1665</v>
      </c>
      <c r="D34" s="187">
        <f t="shared" si="20"/>
        <v>1639</v>
      </c>
      <c r="E34" s="187">
        <f t="shared" si="20"/>
        <v>1920.8810614169997</v>
      </c>
      <c r="F34" s="187">
        <f t="shared" si="20"/>
        <v>2061.5626284499403</v>
      </c>
      <c r="G34" s="247" t="e">
        <f t="shared" si="20"/>
        <v>#REF!</v>
      </c>
    </row>
    <row r="35" spans="1:8" x14ac:dyDescent="0.4">
      <c r="A35" s="248" t="s">
        <v>19</v>
      </c>
      <c r="B35" s="94" t="e">
        <f>value!#REF!</f>
        <v>#REF!</v>
      </c>
      <c r="C35" s="94">
        <f>value!R15</f>
        <v>1072</v>
      </c>
      <c r="D35" s="94">
        <f>value!S15</f>
        <v>958</v>
      </c>
      <c r="E35" s="94">
        <f>value!T15</f>
        <v>1140.4000000000001</v>
      </c>
      <c r="F35" s="94">
        <f>value!U15</f>
        <v>1056.8</v>
      </c>
      <c r="G35" s="249" t="e">
        <f>value!#REF!</f>
        <v>#REF!</v>
      </c>
    </row>
    <row r="36" spans="1:8" x14ac:dyDescent="0.4">
      <c r="A36" s="250" t="s">
        <v>16</v>
      </c>
      <c r="B36" s="99" t="e">
        <f t="shared" ref="B36:G36" si="21">B35/B6</f>
        <v>#REF!</v>
      </c>
      <c r="C36" s="99">
        <f t="shared" si="21"/>
        <v>0.13163064833005894</v>
      </c>
      <c r="D36" s="99">
        <f t="shared" si="21"/>
        <v>0.11862308073303615</v>
      </c>
      <c r="E36" s="99">
        <f t="shared" si="21"/>
        <v>0.12253087804961373</v>
      </c>
      <c r="F36" s="99">
        <f t="shared" si="21"/>
        <v>0.10471734023697177</v>
      </c>
      <c r="G36" s="251" t="e">
        <f t="shared" si="21"/>
        <v>#REF!</v>
      </c>
    </row>
    <row r="37" spans="1:8" x14ac:dyDescent="0.4">
      <c r="A37" s="252" t="s">
        <v>20</v>
      </c>
      <c r="B37" s="190" t="e">
        <f>B34-B35</f>
        <v>#REF!</v>
      </c>
      <c r="C37" s="190">
        <f t="shared" ref="C37:G37" si="22">C34-C35</f>
        <v>593</v>
      </c>
      <c r="D37" s="190">
        <f t="shared" si="22"/>
        <v>681</v>
      </c>
      <c r="E37" s="190">
        <f t="shared" si="22"/>
        <v>780.48106141699964</v>
      </c>
      <c r="F37" s="190">
        <f>F34-F35</f>
        <v>1004.7626284499404</v>
      </c>
      <c r="G37" s="253" t="e">
        <f t="shared" si="22"/>
        <v>#REF!</v>
      </c>
    </row>
    <row r="38" spans="1:8" x14ac:dyDescent="0.4">
      <c r="A38" s="254" t="s">
        <v>14</v>
      </c>
      <c r="B38" s="210"/>
      <c r="C38" s="210"/>
      <c r="D38" s="210"/>
      <c r="E38" s="270">
        <v>165</v>
      </c>
      <c r="F38" s="211"/>
      <c r="G38" s="255"/>
    </row>
    <row r="39" spans="1:8" x14ac:dyDescent="0.4">
      <c r="A39" s="256" t="s">
        <v>21</v>
      </c>
      <c r="B39" s="90" t="e">
        <f t="shared" ref="B39:G39" si="23">B37/B6</f>
        <v>#REF!</v>
      </c>
      <c r="C39" s="90">
        <f t="shared" si="23"/>
        <v>7.2814341846758349E-2</v>
      </c>
      <c r="D39" s="90">
        <f t="shared" si="23"/>
        <v>8.4323922734026752E-2</v>
      </c>
      <c r="E39" s="90">
        <f t="shared" si="23"/>
        <v>8.3859198313328179E-2</v>
      </c>
      <c r="F39" s="90">
        <f t="shared" si="23"/>
        <v>9.9561004940184009E-2</v>
      </c>
      <c r="G39" s="257" t="e">
        <f t="shared" si="23"/>
        <v>#REF!</v>
      </c>
      <c r="H39" s="213" t="s">
        <v>110</v>
      </c>
    </row>
    <row r="40" spans="1:8" x14ac:dyDescent="0.4">
      <c r="A40" s="250" t="s">
        <v>11</v>
      </c>
      <c r="B40" s="71"/>
      <c r="C40" s="71" t="e">
        <f>C37/B37-1</f>
        <v>#REF!</v>
      </c>
      <c r="D40" s="71">
        <f>D37/C37-1</f>
        <v>0.14839797639123109</v>
      </c>
      <c r="E40" s="71">
        <f>E37/D37-1</f>
        <v>0.14608085376945623</v>
      </c>
      <c r="F40" s="71">
        <f>F37/E37-1</f>
        <v>0.28736324059644347</v>
      </c>
      <c r="G40" s="258" t="e">
        <f>G37/F37-1</f>
        <v>#REF!</v>
      </c>
    </row>
    <row r="41" spans="1:8" hidden="1" outlineLevel="1" x14ac:dyDescent="0.4">
      <c r="A41" s="259" t="s">
        <v>24</v>
      </c>
      <c r="B41" s="76">
        <v>28</v>
      </c>
      <c r="C41" s="76">
        <v>-7</v>
      </c>
      <c r="D41" s="76">
        <v>-13</v>
      </c>
      <c r="E41" s="76">
        <v>3</v>
      </c>
      <c r="F41" s="76">
        <v>-6</v>
      </c>
      <c r="G41" s="106">
        <v>-5</v>
      </c>
    </row>
    <row r="42" spans="1:8" hidden="1" outlineLevel="1" x14ac:dyDescent="0.4">
      <c r="A42" s="9" t="s">
        <v>25</v>
      </c>
      <c r="B42" s="87"/>
      <c r="C42" s="87"/>
      <c r="D42" s="87"/>
      <c r="E42" s="87"/>
      <c r="F42" s="87"/>
      <c r="G42" s="10"/>
    </row>
    <row r="43" spans="1:8" hidden="1" outlineLevel="1" x14ac:dyDescent="0.4">
      <c r="A43" s="9" t="s">
        <v>26</v>
      </c>
      <c r="B43" s="87"/>
      <c r="C43" s="87"/>
      <c r="D43" s="87"/>
      <c r="E43" s="87"/>
      <c r="F43" s="87"/>
      <c r="G43" s="10"/>
    </row>
    <row r="44" spans="1:8" hidden="1" outlineLevel="1" x14ac:dyDescent="0.4">
      <c r="A44" s="11" t="s">
        <v>27</v>
      </c>
      <c r="B44" s="88">
        <v>-32</v>
      </c>
      <c r="C44" s="86">
        <v>5</v>
      </c>
      <c r="D44" s="86">
        <v>-2</v>
      </c>
      <c r="E44" s="86">
        <v>-10</v>
      </c>
      <c r="F44" s="86">
        <v>-2</v>
      </c>
      <c r="G44" s="8">
        <v>-5</v>
      </c>
    </row>
    <row r="45" spans="1:8" ht="0.75" hidden="1" customHeight="1" outlineLevel="1" x14ac:dyDescent="0.4">
      <c r="A45" s="9" t="s">
        <v>28</v>
      </c>
      <c r="B45" s="87"/>
      <c r="C45" s="87"/>
      <c r="D45" s="87"/>
      <c r="E45" s="87"/>
      <c r="F45" s="87"/>
      <c r="G45" s="10"/>
    </row>
    <row r="46" spans="1:8" hidden="1" outlineLevel="1" x14ac:dyDescent="0.4">
      <c r="A46" s="11" t="s">
        <v>29</v>
      </c>
      <c r="B46" s="86">
        <v>0</v>
      </c>
      <c r="C46" s="86">
        <v>0</v>
      </c>
      <c r="D46" s="86">
        <v>0</v>
      </c>
      <c r="E46" s="86">
        <v>0</v>
      </c>
      <c r="F46" s="86">
        <v>0</v>
      </c>
      <c r="G46" s="8">
        <v>0</v>
      </c>
    </row>
    <row r="47" spans="1:8" ht="17.25" hidden="1" customHeight="1" outlineLevel="1" x14ac:dyDescent="0.4">
      <c r="A47" s="11" t="s">
        <v>30</v>
      </c>
      <c r="B47" s="88" t="e">
        <f t="shared" ref="B47:G47" si="24">B37+B41+B44</f>
        <v>#REF!</v>
      </c>
      <c r="C47" s="88">
        <f t="shared" si="24"/>
        <v>591</v>
      </c>
      <c r="D47" s="88">
        <f t="shared" si="24"/>
        <v>666</v>
      </c>
      <c r="E47" s="88">
        <f t="shared" si="24"/>
        <v>773.48106141699964</v>
      </c>
      <c r="F47" s="88">
        <f t="shared" si="24"/>
        <v>996.76262844994039</v>
      </c>
      <c r="G47" s="7" t="e">
        <f t="shared" si="24"/>
        <v>#REF!</v>
      </c>
    </row>
    <row r="48" spans="1:8" hidden="1" outlineLevel="1" x14ac:dyDescent="0.4">
      <c r="A48" s="11" t="s">
        <v>31</v>
      </c>
      <c r="B48" s="86">
        <v>97</v>
      </c>
      <c r="C48" s="86">
        <v>19</v>
      </c>
      <c r="D48" s="86">
        <v>30</v>
      </c>
      <c r="E48" s="86">
        <v>121</v>
      </c>
      <c r="F48" s="86">
        <v>214</v>
      </c>
      <c r="G48" s="8">
        <v>160</v>
      </c>
    </row>
    <row r="49" spans="1:7" hidden="1" outlineLevel="1" x14ac:dyDescent="0.4">
      <c r="A49" s="260" t="s">
        <v>32</v>
      </c>
      <c r="B49" s="91" t="e">
        <f>B48/B47</f>
        <v>#REF!</v>
      </c>
      <c r="C49" s="91">
        <f t="shared" ref="C49" si="25">C48/C47</f>
        <v>3.2148900169204735E-2</v>
      </c>
      <c r="D49" s="91">
        <v>0.22</v>
      </c>
      <c r="E49" s="91">
        <f>22%</f>
        <v>0.22</v>
      </c>
      <c r="F49" s="91">
        <f>22%</f>
        <v>0.22</v>
      </c>
      <c r="G49" s="261">
        <f>22%</f>
        <v>0.22</v>
      </c>
    </row>
    <row r="50" spans="1:7" hidden="1" outlineLevel="1" x14ac:dyDescent="0.4">
      <c r="A50" s="11" t="s">
        <v>33</v>
      </c>
      <c r="B50" s="88">
        <v>379</v>
      </c>
      <c r="C50" s="89">
        <v>81</v>
      </c>
      <c r="D50" s="88">
        <f>D47-D48</f>
        <v>636</v>
      </c>
      <c r="E50" s="88">
        <f>E47-E48</f>
        <v>652.48106141699964</v>
      </c>
      <c r="F50" s="88">
        <f>F47-F48</f>
        <v>782.76262844994039</v>
      </c>
      <c r="G50" s="7" t="e">
        <f>G47-G48</f>
        <v>#REF!</v>
      </c>
    </row>
    <row r="51" spans="1:7" hidden="1" outlineLevel="1" x14ac:dyDescent="0.4">
      <c r="A51" s="11" t="s">
        <v>34</v>
      </c>
      <c r="B51" s="86"/>
      <c r="C51" s="86"/>
      <c r="D51" s="86"/>
      <c r="E51" s="86"/>
      <c r="F51" s="86"/>
      <c r="G51" s="8"/>
    </row>
    <row r="52" spans="1:7" collapsed="1" x14ac:dyDescent="0.4">
      <c r="A52" s="262" t="s">
        <v>35</v>
      </c>
      <c r="B52" s="187" t="e">
        <f>value!#REF!</f>
        <v>#REF!</v>
      </c>
      <c r="C52" s="187">
        <f>value!R30</f>
        <v>350</v>
      </c>
      <c r="D52" s="187">
        <f>value!S30</f>
        <v>286</v>
      </c>
      <c r="E52" s="187">
        <f>value!T30</f>
        <v>463.86035073310342</v>
      </c>
      <c r="F52" s="187">
        <f>value!U30</f>
        <v>489.090174376503</v>
      </c>
      <c r="G52" s="247" t="e">
        <f>value!#REF!</f>
        <v>#REF!</v>
      </c>
    </row>
    <row r="53" spans="1:7" x14ac:dyDescent="0.4">
      <c r="A53" s="6" t="s">
        <v>14</v>
      </c>
      <c r="B53" s="85"/>
      <c r="C53" s="85"/>
      <c r="D53" s="85"/>
      <c r="E53" s="212">
        <v>130</v>
      </c>
      <c r="F53" s="212"/>
      <c r="G53" s="263"/>
    </row>
    <row r="54" spans="1:7" x14ac:dyDescent="0.4">
      <c r="A54" s="264" t="s">
        <v>36</v>
      </c>
      <c r="B54" s="92" t="e">
        <f>B52</f>
        <v>#REF!</v>
      </c>
      <c r="C54" s="92">
        <f t="shared" ref="C54:G54" si="26">C52</f>
        <v>350</v>
      </c>
      <c r="D54" s="92">
        <f t="shared" si="26"/>
        <v>286</v>
      </c>
      <c r="E54" s="92">
        <f t="shared" si="26"/>
        <v>463.86035073310342</v>
      </c>
      <c r="F54" s="92">
        <f t="shared" si="26"/>
        <v>489.090174376503</v>
      </c>
      <c r="G54" s="265" t="e">
        <f t="shared" si="26"/>
        <v>#REF!</v>
      </c>
    </row>
    <row r="55" spans="1:7" ht="18" thickBot="1" x14ac:dyDescent="0.45">
      <c r="A55" s="266" t="s">
        <v>38</v>
      </c>
      <c r="B55" s="267" t="e">
        <f t="shared" ref="B55:G55" si="27">B54/B6</f>
        <v>#REF!</v>
      </c>
      <c r="C55" s="267">
        <f t="shared" si="27"/>
        <v>4.2976424361493126E-2</v>
      </c>
      <c r="D55" s="267">
        <f t="shared" si="27"/>
        <v>3.5413571074789499E-2</v>
      </c>
      <c r="E55" s="267">
        <f t="shared" si="27"/>
        <v>4.9839719456093425E-2</v>
      </c>
      <c r="F55" s="267">
        <f t="shared" si="27"/>
        <v>4.846349564415605E-2</v>
      </c>
      <c r="G55" s="268" t="e">
        <f t="shared" si="27"/>
        <v>#REF!</v>
      </c>
    </row>
    <row r="60" spans="1:7" x14ac:dyDescent="0.4">
      <c r="A60" s="12" t="s">
        <v>88</v>
      </c>
      <c r="B60" s="12" t="s">
        <v>89</v>
      </c>
      <c r="C60" s="12"/>
      <c r="D60" s="12"/>
    </row>
    <row r="61" spans="1:7" x14ac:dyDescent="0.4">
      <c r="B61" t="s">
        <v>103</v>
      </c>
    </row>
    <row r="62" spans="1:7" x14ac:dyDescent="0.4">
      <c r="B62" t="s">
        <v>122</v>
      </c>
    </row>
    <row r="63" spans="1:7" x14ac:dyDescent="0.4">
      <c r="B63" t="s">
        <v>118</v>
      </c>
    </row>
    <row r="64" spans="1:7" x14ac:dyDescent="0.4">
      <c r="B64" t="s">
        <v>124</v>
      </c>
    </row>
    <row r="65" spans="1:8" x14ac:dyDescent="0.4">
      <c r="B65" t="s">
        <v>123</v>
      </c>
    </row>
    <row r="67" spans="1:8" x14ac:dyDescent="0.4">
      <c r="A67" s="12" t="s">
        <v>88</v>
      </c>
      <c r="B67" s="12" t="s">
        <v>106</v>
      </c>
      <c r="C67" s="12"/>
      <c r="D67" s="12"/>
      <c r="E67" s="12"/>
      <c r="F67" s="12"/>
      <c r="G67" s="12"/>
      <c r="H67" s="12"/>
    </row>
    <row r="68" spans="1:8" x14ac:dyDescent="0.4">
      <c r="B68" t="s">
        <v>105</v>
      </c>
    </row>
    <row r="69" spans="1:8" x14ac:dyDescent="0.4">
      <c r="B69" t="s">
        <v>104</v>
      </c>
    </row>
    <row r="70" spans="1:8" x14ac:dyDescent="0.4">
      <c r="B70" t="s">
        <v>121</v>
      </c>
    </row>
    <row r="71" spans="1:8" x14ac:dyDescent="0.4">
      <c r="B71" t="s">
        <v>116</v>
      </c>
    </row>
    <row r="72" spans="1:8" x14ac:dyDescent="0.4">
      <c r="B72" t="s">
        <v>112</v>
      </c>
    </row>
    <row r="73" spans="1:8" x14ac:dyDescent="0.4">
      <c r="B73" t="s">
        <v>111</v>
      </c>
    </row>
    <row r="75" spans="1:8" x14ac:dyDescent="0.4">
      <c r="A75" s="12" t="s">
        <v>88</v>
      </c>
      <c r="B75" s="12" t="s">
        <v>107</v>
      </c>
      <c r="C75" s="12"/>
      <c r="D75" s="12"/>
    </row>
    <row r="76" spans="1:8" x14ac:dyDescent="0.4">
      <c r="B76" t="s">
        <v>108</v>
      </c>
    </row>
    <row r="77" spans="1:8" x14ac:dyDescent="0.4">
      <c r="B77" t="s">
        <v>109</v>
      </c>
    </row>
    <row r="78" spans="1:8" x14ac:dyDescent="0.4">
      <c r="B78" t="s">
        <v>119</v>
      </c>
    </row>
    <row r="79" spans="1:8" x14ac:dyDescent="0.4">
      <c r="B79" t="s">
        <v>113</v>
      </c>
    </row>
    <row r="80" spans="1:8" x14ac:dyDescent="0.4">
      <c r="B80" t="s">
        <v>115</v>
      </c>
    </row>
    <row r="81" spans="2:2" x14ac:dyDescent="0.4">
      <c r="B81" t="s">
        <v>114</v>
      </c>
    </row>
    <row r="82" spans="2:2" x14ac:dyDescent="0.4">
      <c r="B82" t="s">
        <v>120</v>
      </c>
    </row>
    <row r="84" spans="2:2" x14ac:dyDescent="0.4">
      <c r="B84" s="128" t="s">
        <v>117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value</vt:lpstr>
      <vt:lpstr>수주 스케쥴</vt:lpstr>
      <vt:lpstr>장비사업부</vt:lpstr>
      <vt:lpstr>산업 및 기업 분석</vt:lpstr>
      <vt:lpstr>연도별value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ANY</cp:lastModifiedBy>
  <cp:lastPrinted>2021-08-29T02:16:44Z</cp:lastPrinted>
  <dcterms:created xsi:type="dcterms:W3CDTF">2020-03-06T04:11:38Z</dcterms:created>
  <dcterms:modified xsi:type="dcterms:W3CDTF">2021-08-29T02:17:09Z</dcterms:modified>
</cp:coreProperties>
</file>