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xichen/Library/Containers/com.apple.mail/Data/Library/Mail Downloads/804CA8AB-BF93-4D42-B479-21859ECBF454/"/>
    </mc:Choice>
  </mc:AlternateContent>
  <xr:revisionPtr revIDLastSave="0" documentId="13_ncr:1_{09D665BA-8BE6-1149-B2A4-5F488AC367B5}" xr6:coauthVersionLast="47" xr6:coauthVersionMax="47" xr10:uidLastSave="{00000000-0000-0000-0000-000000000000}"/>
  <bookViews>
    <workbookView xWindow="0" yWindow="1180" windowWidth="30720" windowHeight="16340" xr2:uid="{048E66F2-978A-7D48-AFEE-353E81FFFEBF}"/>
  </bookViews>
  <sheets>
    <sheet name="Injury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7" i="1"/>
  <c r="L8" i="1" s="1"/>
  <c r="L10" i="1" s="1"/>
  <c r="L6" i="1"/>
  <c r="L5" i="1"/>
  <c r="L4" i="1"/>
  <c r="L3" i="1"/>
  <c r="K9" i="1"/>
  <c r="K8" i="1"/>
  <c r="K10" i="1" s="1"/>
  <c r="K7" i="1"/>
  <c r="K6" i="1"/>
  <c r="K5" i="1"/>
  <c r="K4" i="1"/>
  <c r="K3" i="1"/>
  <c r="J7" i="1"/>
  <c r="J5" i="1"/>
  <c r="J4" i="1"/>
  <c r="G3" i="1"/>
  <c r="J3" i="1"/>
  <c r="F12" i="1"/>
  <c r="B8" i="1" l="1"/>
  <c r="J8" i="1"/>
  <c r="J10" i="1" s="1"/>
  <c r="G5" i="1"/>
  <c r="G4" i="1"/>
  <c r="G9" i="1"/>
  <c r="J9" i="1"/>
  <c r="C6" i="1" l="1"/>
  <c r="C7" i="1"/>
  <c r="C5" i="1"/>
  <c r="G6" i="1"/>
  <c r="G7" i="1"/>
  <c r="J6" i="1"/>
  <c r="C8" i="1"/>
  <c r="C10" i="1" l="1"/>
  <c r="C11" i="1" s="1"/>
  <c r="G10" i="1"/>
  <c r="G8" i="1"/>
  <c r="G12" i="1" l="1"/>
  <c r="H10" i="1" s="1"/>
  <c r="H9" i="1"/>
  <c r="P9" i="1" s="1"/>
  <c r="H8" i="1"/>
  <c r="H5" i="1"/>
  <c r="H6" i="1"/>
  <c r="H7" i="1"/>
  <c r="H4" i="1" l="1"/>
  <c r="H3" i="1"/>
  <c r="P10" i="1"/>
  <c r="O10" i="1"/>
  <c r="P4" i="1"/>
  <c r="N10" i="1"/>
  <c r="H12" i="1"/>
  <c r="N9" i="1"/>
  <c r="O9" i="1"/>
  <c r="N6" i="1"/>
  <c r="P6" i="1"/>
  <c r="O6" i="1"/>
  <c r="P5" i="1"/>
  <c r="O5" i="1"/>
  <c r="N5" i="1"/>
  <c r="P8" i="1"/>
  <c r="O8" i="1"/>
  <c r="N8" i="1"/>
  <c r="O7" i="1"/>
  <c r="N7" i="1"/>
  <c r="P7" i="1"/>
  <c r="O4" i="1" l="1"/>
  <c r="N4" i="1"/>
  <c r="N3" i="1"/>
  <c r="O3" i="1"/>
  <c r="P3" i="1"/>
  <c r="O12" i="1"/>
  <c r="N12" i="1"/>
  <c r="P12" i="1"/>
  <c r="P13" i="1" l="1"/>
  <c r="P15" i="1" s="1"/>
  <c r="N13" i="1"/>
  <c r="N15" i="1" s="1"/>
  <c r="O13" i="1"/>
  <c r="O15" i="1" s="1"/>
</calcChain>
</file>

<file path=xl/sharedStrings.xml><?xml version="1.0" encoding="utf-8"?>
<sst xmlns="http://schemas.openxmlformats.org/spreadsheetml/2006/main" count="68" uniqueCount="63">
  <si>
    <t>Abdominal/Pelvic</t>
  </si>
  <si>
    <t>Total</t>
  </si>
  <si>
    <t>Total (Mild + Moderate + Severe)</t>
  </si>
  <si>
    <t>N</t>
  </si>
  <si>
    <t>Location</t>
  </si>
  <si>
    <t>Head</t>
  </si>
  <si>
    <t>Thorax</t>
  </si>
  <si>
    <t>Abdomen</t>
  </si>
  <si>
    <t>Upper Extremity</t>
  </si>
  <si>
    <t>Lower Extremity</t>
  </si>
  <si>
    <t>Multiple Extremities</t>
  </si>
  <si>
    <t>Multiple Locations, including Head</t>
  </si>
  <si>
    <t>Multiple Locations, excluding Head</t>
  </si>
  <si>
    <t>Registered Individuals injured</t>
  </si>
  <si>
    <t>Moderate injuries</t>
  </si>
  <si>
    <t>Mild injuries</t>
  </si>
  <si>
    <t>Traumatic Brain Injuries </t>
  </si>
  <si>
    <t>Mild (GCS 14-15)</t>
  </si>
  <si>
    <t>Moderate (GCS 9-13)</t>
  </si>
  <si>
    <t>Severe (GCS &lt;8)</t>
  </si>
  <si>
    <t xml:space="preserve">Spinal Cord Injury </t>
  </si>
  <si>
    <t>Paraplegia</t>
  </si>
  <si>
    <t>Tetraplegia</t>
  </si>
  <si>
    <t>Extremity Injuries</t>
  </si>
  <si>
    <t>Open Fractures (in comparison to closed fractures)</t>
  </si>
  <si>
    <t>Traumatic Amputations</t>
  </si>
  <si>
    <r>
      <t xml:space="preserve">Abdominal/Pelvic Trauma                                             </t>
    </r>
    <r>
      <rPr>
        <sz val="12"/>
        <color rgb="FF000000"/>
        <rFont val="Times New Roman"/>
        <family val="1"/>
      </rPr>
      <t>(e.g. splenic (7-18%), liver (10-15%), pelvic (10-16%)</t>
    </r>
  </si>
  <si>
    <r>
      <t>Thoracic Trauma</t>
    </r>
    <r>
      <rPr>
        <sz val="12"/>
        <color rgb="FF000000"/>
        <rFont val="Times New Roman"/>
        <family val="1"/>
      </rPr>
      <t xml:space="preserve"> (rib (10-22%), pulmonary (10-25%), cardiac (1.4-36.4%), flail chest (10-20%)</t>
    </r>
  </si>
  <si>
    <t>Vascular Trauma</t>
  </si>
  <si>
    <t xml:space="preserve">Peripheral </t>
  </si>
  <si>
    <t>Junctional/Central</t>
  </si>
  <si>
    <r>
      <rPr>
        <b/>
        <sz val="12"/>
        <color rgb="FF000000"/>
        <rFont val="Times New Roman"/>
        <family val="1"/>
      </rPr>
      <t>Crush injuries:</t>
    </r>
    <r>
      <rPr>
        <sz val="12"/>
        <color rgb="FF000000"/>
        <rFont val="Times New Roman"/>
        <family val="1"/>
      </rPr>
      <t xml:space="preserve"> Rhabdomyolysis-induced renal failure</t>
    </r>
  </si>
  <si>
    <t>Burns</t>
  </si>
  <si>
    <t>CFR (sites)</t>
  </si>
  <si>
    <t>CFR (clinical)</t>
  </si>
  <si>
    <t>TBI (average of Moderate and Severe)</t>
  </si>
  <si>
    <t>Thoracic Trauma</t>
  </si>
  <si>
    <t>Extremity (Open Fractures)</t>
  </si>
  <si>
    <t>50% of Extremity (Open Fractures)</t>
  </si>
  <si>
    <t>average of Extremity (Open Fractures), Thoracic Trauma, Abdominal/Pelvic</t>
  </si>
  <si>
    <t>Injured leaving Gaza to Egypt (2023)</t>
  </si>
  <si>
    <t>N After travel</t>
  </si>
  <si>
    <t>N Before travel (est)</t>
  </si>
  <si>
    <t>Ceasefire</t>
  </si>
  <si>
    <t>Status Quo</t>
  </si>
  <si>
    <t>Escalation</t>
  </si>
  <si>
    <t>Expected Mortality (Ceasefire)</t>
  </si>
  <si>
    <t>Expected Mortality (Status Quo)</t>
  </si>
  <si>
    <t>Expected Mortality (Escalation)</t>
  </si>
  <si>
    <t>combinations of CFR (clinical) used to computed CFR (sites)</t>
  </si>
  <si>
    <t>Gaza Injuries 2023 (7/10 - 12/12)</t>
  </si>
  <si>
    <t>pct</t>
  </si>
  <si>
    <t>N Before travel (pct)</t>
  </si>
  <si>
    <t>CFR weighted by the proportion of injuries at each site</t>
  </si>
  <si>
    <t>CFR (severe injuries)</t>
  </si>
  <si>
    <t>CFR (moderate injuries) = 50% (severe)</t>
  </si>
  <si>
    <t>CFR (weighted by proportion of severe)</t>
  </si>
  <si>
    <t>Severe injuries</t>
  </si>
  <si>
    <t>Severe or Moderate</t>
  </si>
  <si>
    <t>Severe as a proportion of Severe or Moderate</t>
  </si>
  <si>
    <t xml:space="preserve">
</t>
  </si>
  <si>
    <t>N after travel = N before travel * (1 - CFR)</t>
  </si>
  <si>
    <t>CFR of the middle scenario is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</si>
</sst>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9" fontId="2" fillId="2" borderId="0" xfId="1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1" applyFont="1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9" fontId="0" fillId="2" borderId="0" xfId="1" applyFont="1" applyFill="1"/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9" fontId="6" fillId="0" borderId="1" xfId="0" applyNumberFormat="1" applyFont="1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vertical="center"/>
    </xf>
    <xf numFmtId="9" fontId="2" fillId="2" borderId="0" xfId="1" applyFont="1" applyFill="1" applyBorder="1" applyAlignment="1">
      <alignment horizontal="center"/>
    </xf>
    <xf numFmtId="49" fontId="3" fillId="0" borderId="0" xfId="0" applyNumberFormat="1" applyFont="1" applyAlignment="1">
      <alignment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0" fillId="0" borderId="0" xfId="1" applyFont="1" applyBorder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9" fontId="2" fillId="2" borderId="0" xfId="0" applyNumberFormat="1" applyFont="1" applyFill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0" borderId="0" xfId="1" applyNumberFormat="1" applyFont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9" fontId="2" fillId="2" borderId="0" xfId="1" applyFont="1" applyFill="1" applyBorder="1" applyAlignment="1">
      <alignment horizontal="center" wrapText="1"/>
    </xf>
    <xf numFmtId="164" fontId="2" fillId="2" borderId="0" xfId="1" applyNumberFormat="1" applyFont="1" applyFill="1"/>
    <xf numFmtId="164" fontId="1" fillId="0" borderId="0" xfId="1" applyNumberFormat="1" applyFont="1"/>
    <xf numFmtId="164" fontId="2" fillId="2" borderId="0" xfId="0" applyNumberFormat="1" applyFont="1" applyFill="1" applyAlignment="1">
      <alignment horizontal="center" vertical="center" wrapText="1"/>
    </xf>
    <xf numFmtId="164" fontId="1" fillId="0" borderId="0" xfId="1" applyNumberFormat="1" applyFont="1" applyBorder="1" applyAlignment="1">
      <alignment horizontal="center" wrapText="1"/>
    </xf>
    <xf numFmtId="164" fontId="0" fillId="0" borderId="0" xfId="1" applyNumberFormat="1" applyFont="1" applyAlignment="1">
      <alignment horizontal="center"/>
    </xf>
    <xf numFmtId="164" fontId="0" fillId="3" borderId="0" xfId="1" applyNumberFormat="1" applyFont="1" applyFill="1" applyAlignment="1">
      <alignment horizontal="center"/>
    </xf>
    <xf numFmtId="0" fontId="0" fillId="2" borderId="0" xfId="0" applyFill="1"/>
    <xf numFmtId="9" fontId="0" fillId="2" borderId="0" xfId="0" applyNumberFormat="1" applyFill="1"/>
    <xf numFmtId="164" fontId="0" fillId="2" borderId="0" xfId="0" applyNumberFormat="1" applyFill="1"/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43AB-07B3-AC4F-90E4-43E9CE5F1066}">
  <dimension ref="A1:U18"/>
  <sheetViews>
    <sheetView tabSelected="1" zoomScale="130" zoomScaleNormal="130" workbookViewId="0">
      <selection activeCell="K7" sqref="K7"/>
    </sheetView>
  </sheetViews>
  <sheetFormatPr baseColWidth="10" defaultRowHeight="16" x14ac:dyDescent="0.2"/>
  <cols>
    <col min="1" max="1" width="40.1640625" customWidth="1"/>
    <col min="2" max="2" width="8.5" customWidth="1"/>
    <col min="3" max="3" width="7.6640625" style="8" customWidth="1"/>
    <col min="4" max="4" width="7.83203125" style="4" customWidth="1"/>
    <col min="5" max="5" width="25.5" customWidth="1"/>
    <col min="6" max="6" width="11.1640625" style="6" customWidth="1"/>
    <col min="7" max="7" width="11.1640625" style="5" customWidth="1"/>
    <col min="8" max="8" width="11.1640625" style="9" customWidth="1"/>
    <col min="9" max="9" width="1.6640625" customWidth="1"/>
    <col min="10" max="12" width="9.5" style="34" customWidth="1"/>
    <col min="13" max="13" width="35.1640625" customWidth="1"/>
    <col min="14" max="16" width="9.6640625" style="18" customWidth="1"/>
    <col min="17" max="17" width="2" customWidth="1"/>
    <col min="18" max="18" width="47.6640625" style="12" customWidth="1"/>
    <col min="19" max="21" width="11.6640625" customWidth="1"/>
  </cols>
  <sheetData>
    <row r="1" spans="1:21" s="1" customFormat="1" ht="50" customHeight="1" x14ac:dyDescent="0.2">
      <c r="A1" s="1" t="s">
        <v>50</v>
      </c>
      <c r="B1" s="1" t="s">
        <v>3</v>
      </c>
      <c r="C1" s="37" t="s">
        <v>51</v>
      </c>
      <c r="D1" s="3"/>
      <c r="E1" s="20" t="s">
        <v>40</v>
      </c>
      <c r="F1" s="52" t="s">
        <v>60</v>
      </c>
      <c r="G1" s="52"/>
      <c r="H1" s="52"/>
      <c r="I1"/>
      <c r="J1" s="51" t="s">
        <v>33</v>
      </c>
      <c r="K1" s="51"/>
      <c r="L1" s="51"/>
      <c r="M1" s="19" t="s">
        <v>34</v>
      </c>
      <c r="N1" s="53" t="s">
        <v>53</v>
      </c>
      <c r="O1" s="53"/>
      <c r="P1" s="53"/>
      <c r="R1" s="46"/>
      <c r="S1" s="47" t="s">
        <v>46</v>
      </c>
      <c r="T1" s="47" t="s">
        <v>47</v>
      </c>
      <c r="U1" s="47" t="s">
        <v>48</v>
      </c>
    </row>
    <row r="2" spans="1:21" ht="41" customHeight="1" x14ac:dyDescent="0.2">
      <c r="A2" t="s">
        <v>13</v>
      </c>
      <c r="B2">
        <v>42804</v>
      </c>
      <c r="E2" s="21" t="s">
        <v>4</v>
      </c>
      <c r="F2" s="24" t="s">
        <v>41</v>
      </c>
      <c r="G2" s="28" t="s">
        <v>42</v>
      </c>
      <c r="H2" s="39" t="s">
        <v>52</v>
      </c>
      <c r="J2" s="22" t="s">
        <v>43</v>
      </c>
      <c r="K2" s="22" t="s">
        <v>44</v>
      </c>
      <c r="L2" s="22" t="s">
        <v>45</v>
      </c>
      <c r="M2" s="36" t="s">
        <v>49</v>
      </c>
      <c r="N2" s="22" t="s">
        <v>43</v>
      </c>
      <c r="O2" s="22" t="s">
        <v>44</v>
      </c>
      <c r="P2" s="22" t="s">
        <v>45</v>
      </c>
      <c r="Q2" s="2"/>
      <c r="R2" s="48" t="s">
        <v>16</v>
      </c>
      <c r="S2" s="15"/>
      <c r="T2" s="15"/>
      <c r="U2" s="15"/>
    </row>
    <row r="3" spans="1:21" ht="17" x14ac:dyDescent="0.2">
      <c r="E3" s="23" t="s">
        <v>5</v>
      </c>
      <c r="F3" s="25">
        <v>36</v>
      </c>
      <c r="G3" s="29">
        <f t="shared" ref="G3:G10" si="0">F3/(1-K3)</f>
        <v>109.09090909090907</v>
      </c>
      <c r="H3" s="30">
        <f t="shared" ref="H3:H10" si="1">G3/G$12</f>
        <v>0.26702518068742248</v>
      </c>
      <c r="J3" s="26">
        <f>(S4+S5)/2</f>
        <v>0.55999999999999994</v>
      </c>
      <c r="K3" s="26">
        <f>(T4+T5)/2</f>
        <v>0.66999999999999993</v>
      </c>
      <c r="L3" s="26">
        <f>(U4+U5)/2</f>
        <v>0.72499999999999998</v>
      </c>
      <c r="M3" t="s">
        <v>35</v>
      </c>
      <c r="N3" s="35">
        <f>$H3*J3</f>
        <v>0.14953410118495658</v>
      </c>
      <c r="O3" s="35">
        <f t="shared" ref="O3:P6" si="2">$H3*K3</f>
        <v>0.17890687106057304</v>
      </c>
      <c r="P3" s="35">
        <f t="shared" si="2"/>
        <v>0.19359325599838129</v>
      </c>
      <c r="Q3" s="6"/>
      <c r="R3" s="13" t="s">
        <v>17</v>
      </c>
      <c r="S3" s="16">
        <v>0.1</v>
      </c>
      <c r="T3" s="16">
        <v>0.15</v>
      </c>
      <c r="U3" s="16">
        <v>0.25</v>
      </c>
    </row>
    <row r="4" spans="1:21" ht="17" x14ac:dyDescent="0.2">
      <c r="E4" s="23" t="s">
        <v>6</v>
      </c>
      <c r="F4" s="25">
        <v>16</v>
      </c>
      <c r="G4" s="29">
        <f t="shared" si="0"/>
        <v>18.181818181818183</v>
      </c>
      <c r="H4" s="30">
        <f t="shared" si="1"/>
        <v>4.4504196781237092E-2</v>
      </c>
      <c r="J4" s="26">
        <f>S13</f>
        <v>0.08</v>
      </c>
      <c r="K4" s="26">
        <f>T13</f>
        <v>0.12</v>
      </c>
      <c r="L4" s="26">
        <f>U13</f>
        <v>0.22</v>
      </c>
      <c r="M4" t="s">
        <v>36</v>
      </c>
      <c r="N4" s="35">
        <f t="shared" ref="N4:N6" si="3">$H4*J4</f>
        <v>3.5603357424989672E-3</v>
      </c>
      <c r="O4" s="35">
        <f t="shared" si="2"/>
        <v>5.3405036137484504E-3</v>
      </c>
      <c r="P4" s="35">
        <f t="shared" si="2"/>
        <v>9.7909232918721601E-3</v>
      </c>
      <c r="Q4" s="6"/>
      <c r="R4" s="13" t="s">
        <v>18</v>
      </c>
      <c r="S4" s="16">
        <v>0.18</v>
      </c>
      <c r="T4" s="16">
        <v>0.35</v>
      </c>
      <c r="U4" s="16">
        <v>0.45</v>
      </c>
    </row>
    <row r="5" spans="1:21" ht="17" x14ac:dyDescent="0.2">
      <c r="A5" t="s">
        <v>57</v>
      </c>
      <c r="B5">
        <v>8254</v>
      </c>
      <c r="C5" s="38">
        <f>B5/B$8</f>
        <v>0.19361043347720022</v>
      </c>
      <c r="E5" s="23" t="s">
        <v>7</v>
      </c>
      <c r="F5" s="25">
        <v>14</v>
      </c>
      <c r="G5" s="29">
        <f t="shared" si="0"/>
        <v>21.538461538461537</v>
      </c>
      <c r="H5" s="30">
        <f t="shared" si="1"/>
        <v>5.2720356187003929E-2</v>
      </c>
      <c r="J5" s="26">
        <f>S12</f>
        <v>0.2</v>
      </c>
      <c r="K5" s="26">
        <f>T12</f>
        <v>0.35</v>
      </c>
      <c r="L5" s="26">
        <f>U12</f>
        <v>0.5</v>
      </c>
      <c r="M5" t="s">
        <v>0</v>
      </c>
      <c r="N5" s="35">
        <f t="shared" si="3"/>
        <v>1.0544071237400787E-2</v>
      </c>
      <c r="O5" s="35">
        <f t="shared" si="2"/>
        <v>1.8452124665451375E-2</v>
      </c>
      <c r="P5" s="35">
        <f t="shared" si="2"/>
        <v>2.6360178093501965E-2</v>
      </c>
      <c r="Q5" s="6"/>
      <c r="R5" s="13" t="s">
        <v>19</v>
      </c>
      <c r="S5" s="16">
        <v>0.94</v>
      </c>
      <c r="T5" s="16">
        <v>0.99</v>
      </c>
      <c r="U5" s="16">
        <v>1</v>
      </c>
    </row>
    <row r="6" spans="1:21" ht="17" x14ac:dyDescent="0.2">
      <c r="A6" t="s">
        <v>14</v>
      </c>
      <c r="B6">
        <v>15597</v>
      </c>
      <c r="C6" s="38">
        <f t="shared" ref="C6:C7" si="4">B6/B$8</f>
        <v>0.36585194220303996</v>
      </c>
      <c r="E6" s="23" t="s">
        <v>8</v>
      </c>
      <c r="F6" s="25">
        <v>16</v>
      </c>
      <c r="G6" s="29">
        <f t="shared" si="0"/>
        <v>19.047619047619047</v>
      </c>
      <c r="H6" s="30">
        <f t="shared" si="1"/>
        <v>4.662344424701028E-2</v>
      </c>
      <c r="J6" s="26">
        <f>J7*0.5</f>
        <v>0.12</v>
      </c>
      <c r="K6" s="26">
        <f>K7*0.5</f>
        <v>0.16</v>
      </c>
      <c r="L6" s="26">
        <f>L7*0.5</f>
        <v>0.19</v>
      </c>
      <c r="M6" t="s">
        <v>38</v>
      </c>
      <c r="N6" s="35">
        <f t="shared" si="3"/>
        <v>5.5948133096412334E-3</v>
      </c>
      <c r="O6" s="35">
        <f t="shared" si="2"/>
        <v>7.4597510795216451E-3</v>
      </c>
      <c r="P6" s="35">
        <f t="shared" si="2"/>
        <v>8.8584544069319534E-3</v>
      </c>
      <c r="Q6" s="6"/>
      <c r="R6" s="48" t="s">
        <v>20</v>
      </c>
      <c r="S6" s="15"/>
      <c r="T6" s="15"/>
      <c r="U6" s="15"/>
    </row>
    <row r="7" spans="1:21" ht="17" x14ac:dyDescent="0.2">
      <c r="A7" t="s">
        <v>15</v>
      </c>
      <c r="B7">
        <v>18781</v>
      </c>
      <c r="C7" s="38">
        <f t="shared" si="4"/>
        <v>0.44053762431975979</v>
      </c>
      <c r="E7" s="23" t="s">
        <v>9</v>
      </c>
      <c r="F7" s="25">
        <v>56</v>
      </c>
      <c r="G7" s="29">
        <f t="shared" si="0"/>
        <v>82.352941176470594</v>
      </c>
      <c r="H7" s="30">
        <f t="shared" si="1"/>
        <v>0.20157783247972094</v>
      </c>
      <c r="J7" s="26">
        <f>S10</f>
        <v>0.24</v>
      </c>
      <c r="K7" s="26">
        <f>T10</f>
        <v>0.32</v>
      </c>
      <c r="L7" s="26">
        <f>U10</f>
        <v>0.38</v>
      </c>
      <c r="M7" t="s">
        <v>37</v>
      </c>
      <c r="N7" s="35">
        <f>$H7*J7</f>
        <v>4.8378679795133023E-2</v>
      </c>
      <c r="O7" s="35">
        <f>$H7*K7</f>
        <v>6.4504906393510697E-2</v>
      </c>
      <c r="P7" s="35">
        <f>$H7*L7</f>
        <v>7.659957634229396E-2</v>
      </c>
      <c r="Q7" s="6"/>
      <c r="R7" s="14" t="s">
        <v>21</v>
      </c>
      <c r="S7" s="16">
        <v>0.12</v>
      </c>
      <c r="T7" s="16">
        <v>0.25</v>
      </c>
      <c r="U7" s="16">
        <v>0.38</v>
      </c>
    </row>
    <row r="8" spans="1:21" ht="17" x14ac:dyDescent="0.2">
      <c r="A8" s="7" t="s">
        <v>2</v>
      </c>
      <c r="B8" s="7">
        <f>SUM(B5:B7)</f>
        <v>42632</v>
      </c>
      <c r="C8" s="38">
        <f t="shared" ref="C8" si="5">B8/B$2</f>
        <v>0.9959816839547706</v>
      </c>
      <c r="E8" s="23" t="s">
        <v>10</v>
      </c>
      <c r="F8" s="25">
        <v>8</v>
      </c>
      <c r="G8" s="29">
        <f t="shared" si="0"/>
        <v>11.764705882352942</v>
      </c>
      <c r="H8" s="30">
        <f t="shared" si="1"/>
        <v>2.8796833211388706E-2</v>
      </c>
      <c r="J8" s="26">
        <f>J7</f>
        <v>0.24</v>
      </c>
      <c r="K8" s="26">
        <f>K7</f>
        <v>0.32</v>
      </c>
      <c r="L8" s="26">
        <f>L7</f>
        <v>0.38</v>
      </c>
      <c r="M8" t="s">
        <v>37</v>
      </c>
      <c r="N8" s="35">
        <f t="shared" ref="N8:P9" si="6">$H8*J8</f>
        <v>6.9112399707332893E-3</v>
      </c>
      <c r="O8" s="35">
        <f t="shared" si="6"/>
        <v>9.2149866276443858E-3</v>
      </c>
      <c r="P8" s="35">
        <f t="shared" si="6"/>
        <v>1.0942796620327709E-2</v>
      </c>
      <c r="Q8" s="6"/>
      <c r="R8" s="14" t="s">
        <v>22</v>
      </c>
      <c r="S8" s="16">
        <v>0.3</v>
      </c>
      <c r="T8" s="16">
        <v>0.35</v>
      </c>
      <c r="U8" s="16">
        <v>0.48</v>
      </c>
    </row>
    <row r="9" spans="1:21" ht="34" x14ac:dyDescent="0.2">
      <c r="A9" s="7"/>
      <c r="B9" s="7"/>
      <c r="E9" s="23" t="s">
        <v>11</v>
      </c>
      <c r="F9" s="25">
        <v>30</v>
      </c>
      <c r="G9" s="29">
        <f t="shared" si="0"/>
        <v>90.909090909090892</v>
      </c>
      <c r="H9" s="30">
        <f t="shared" si="1"/>
        <v>0.22252098390618541</v>
      </c>
      <c r="J9" s="26">
        <f>J3</f>
        <v>0.55999999999999994</v>
      </c>
      <c r="K9" s="26">
        <f>K3</f>
        <v>0.66999999999999993</v>
      </c>
      <c r="L9" s="26">
        <f>L3</f>
        <v>0.72499999999999998</v>
      </c>
      <c r="M9" t="s">
        <v>35</v>
      </c>
      <c r="N9" s="35">
        <f t="shared" si="6"/>
        <v>0.12461175098746381</v>
      </c>
      <c r="O9" s="35">
        <f t="shared" si="6"/>
        <v>0.14908905921714422</v>
      </c>
      <c r="P9" s="35">
        <f t="shared" si="6"/>
        <v>0.16132771333198442</v>
      </c>
      <c r="Q9" s="6"/>
      <c r="R9" s="48" t="s">
        <v>23</v>
      </c>
      <c r="S9" s="15"/>
      <c r="T9" s="15"/>
      <c r="U9" s="15"/>
    </row>
    <row r="10" spans="1:21" ht="34" x14ac:dyDescent="0.2">
      <c r="A10" t="s">
        <v>58</v>
      </c>
      <c r="C10" s="8">
        <f>C5+C6</f>
        <v>0.55946237568024015</v>
      </c>
      <c r="E10" s="23" t="s">
        <v>12</v>
      </c>
      <c r="F10" s="25">
        <v>41</v>
      </c>
      <c r="G10" s="29">
        <f t="shared" si="0"/>
        <v>55.656108597285069</v>
      </c>
      <c r="H10" s="30">
        <f t="shared" si="1"/>
        <v>0.13623117250003117</v>
      </c>
      <c r="J10" s="26">
        <f>AVERAGE(J8,J5,J4)</f>
        <v>0.17333333333333334</v>
      </c>
      <c r="K10" s="26">
        <f>AVERAGE(K8,K5,K4)</f>
        <v>0.26333333333333331</v>
      </c>
      <c r="L10" s="26">
        <f>AVERAGE(L8,L5,L4)</f>
        <v>0.3666666666666667</v>
      </c>
      <c r="M10" s="12" t="s">
        <v>39</v>
      </c>
      <c r="N10" s="35">
        <f>$H10*J10</f>
        <v>2.3613403233338735E-2</v>
      </c>
      <c r="O10" s="35">
        <f>$H10*K10</f>
        <v>3.587420875834154E-2</v>
      </c>
      <c r="P10" s="35">
        <f>$H10*L10</f>
        <v>4.99514299166781E-2</v>
      </c>
      <c r="Q10" s="6"/>
      <c r="R10" s="13" t="s">
        <v>24</v>
      </c>
      <c r="S10" s="16">
        <v>0.24</v>
      </c>
      <c r="T10" s="16">
        <v>0.32</v>
      </c>
      <c r="U10" s="16">
        <v>0.38</v>
      </c>
    </row>
    <row r="11" spans="1:21" ht="17" x14ac:dyDescent="0.2">
      <c r="A11" t="s">
        <v>59</v>
      </c>
      <c r="C11" s="8">
        <f>C5/C10</f>
        <v>0.34606515450085951</v>
      </c>
      <c r="E11" s="23"/>
      <c r="F11" s="31"/>
      <c r="G11" s="29"/>
      <c r="H11" s="30"/>
      <c r="J11" s="26"/>
      <c r="K11" s="26"/>
      <c r="L11" s="26"/>
      <c r="N11" s="35"/>
      <c r="O11" s="35"/>
      <c r="P11" s="35"/>
      <c r="Q11" s="6"/>
      <c r="R11" s="13" t="s">
        <v>25</v>
      </c>
      <c r="S11" s="16">
        <v>0.28000000000000003</v>
      </c>
      <c r="T11" s="16">
        <v>0.4</v>
      </c>
      <c r="U11" s="16">
        <v>0.5</v>
      </c>
    </row>
    <row r="12" spans="1:21" ht="34" x14ac:dyDescent="0.2">
      <c r="A12" s="11"/>
      <c r="E12" s="23" t="s">
        <v>1</v>
      </c>
      <c r="F12" s="27">
        <f>SUM(F3:F10)</f>
        <v>217</v>
      </c>
      <c r="G12" s="32">
        <f t="shared" ref="G12:H12" si="7">SUM(G3:G11)</f>
        <v>408.54165442400733</v>
      </c>
      <c r="H12" s="33">
        <f t="shared" si="7"/>
        <v>1</v>
      </c>
      <c r="J12" s="26"/>
      <c r="K12" s="26"/>
      <c r="L12" s="26"/>
      <c r="M12" t="s">
        <v>54</v>
      </c>
      <c r="N12" s="40">
        <f t="shared" ref="N12:P12" si="8">SUM(N3:N11)</f>
        <v>0.37274839546116639</v>
      </c>
      <c r="O12" s="40">
        <f t="shared" si="8"/>
        <v>0.4688424114159353</v>
      </c>
      <c r="P12" s="40">
        <f t="shared" si="8"/>
        <v>0.5374243280019716</v>
      </c>
      <c r="R12" s="48" t="s">
        <v>26</v>
      </c>
      <c r="S12" s="16">
        <v>0.2</v>
      </c>
      <c r="T12" s="16">
        <v>0.35</v>
      </c>
      <c r="U12" s="16">
        <v>0.5</v>
      </c>
    </row>
    <row r="13" spans="1:21" ht="34" x14ac:dyDescent="0.2">
      <c r="E13" s="43" t="s">
        <v>61</v>
      </c>
      <c r="F13" s="10"/>
      <c r="G13" s="44"/>
      <c r="H13" s="45"/>
      <c r="M13" t="s">
        <v>55</v>
      </c>
      <c r="N13" s="41">
        <f>N12/2</f>
        <v>0.1863741977305832</v>
      </c>
      <c r="O13" s="41">
        <f t="shared" ref="O13:P13" si="9">O12/2</f>
        <v>0.23442120570796765</v>
      </c>
      <c r="P13" s="41">
        <f t="shared" si="9"/>
        <v>0.2687121640009858</v>
      </c>
      <c r="R13" s="49" t="s">
        <v>27</v>
      </c>
      <c r="S13" s="16">
        <v>0.08</v>
      </c>
      <c r="T13" s="16">
        <v>0.12</v>
      </c>
      <c r="U13" s="16">
        <v>0.22</v>
      </c>
    </row>
    <row r="14" spans="1:21" ht="17" x14ac:dyDescent="0.2">
      <c r="E14" s="43" t="s">
        <v>62</v>
      </c>
      <c r="F14" s="10"/>
      <c r="G14" s="44"/>
      <c r="H14" s="45"/>
      <c r="R14" s="48" t="s">
        <v>28</v>
      </c>
      <c r="S14" s="15"/>
      <c r="T14" s="15"/>
      <c r="U14" s="15"/>
    </row>
    <row r="15" spans="1:21" x14ac:dyDescent="0.2">
      <c r="M15" t="s">
        <v>56</v>
      </c>
      <c r="N15" s="42">
        <f>N12*$C11+(1-$C11)*N13</f>
        <v>0.25087181326319119</v>
      </c>
      <c r="O15" s="42">
        <f t="shared" ref="O15:P15" si="10">O12*$C11+(1-$C11)*O13</f>
        <v>0.31554621647957326</v>
      </c>
      <c r="P15" s="42">
        <f t="shared" si="10"/>
        <v>0.36170408055224723</v>
      </c>
      <c r="R15" s="14" t="s">
        <v>29</v>
      </c>
      <c r="S15" s="16">
        <v>0.08</v>
      </c>
      <c r="T15" s="16">
        <v>0.16</v>
      </c>
      <c r="U15" s="16">
        <v>0.25</v>
      </c>
    </row>
    <row r="16" spans="1:21" ht="17" x14ac:dyDescent="0.2">
      <c r="R16" s="13" t="s">
        <v>30</v>
      </c>
      <c r="S16" s="16">
        <v>0.8</v>
      </c>
      <c r="T16" s="16">
        <v>0.95</v>
      </c>
      <c r="U16" s="16">
        <v>1</v>
      </c>
    </row>
    <row r="17" spans="18:21" ht="17" x14ac:dyDescent="0.2">
      <c r="R17" s="50" t="s">
        <v>31</v>
      </c>
      <c r="S17" s="16">
        <v>0.28000000000000003</v>
      </c>
      <c r="T17" s="16">
        <v>0.35</v>
      </c>
      <c r="U17" s="16">
        <v>0.45</v>
      </c>
    </row>
    <row r="18" spans="18:21" ht="17" x14ac:dyDescent="0.2">
      <c r="R18" s="48" t="s">
        <v>32</v>
      </c>
      <c r="S18" s="17">
        <v>0.1</v>
      </c>
      <c r="T18" s="17">
        <v>0.18</v>
      </c>
      <c r="U18" s="16">
        <v>0.23</v>
      </c>
    </row>
  </sheetData>
  <mergeCells count="3">
    <mergeCell ref="J1:L1"/>
    <mergeCell ref="F1:H1"/>
    <mergeCell ref="N1:P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Injury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 Igusa</dc:creator>
  <cp:lastModifiedBy>Zhixi Chen</cp:lastModifiedBy>
  <dcterms:created xsi:type="dcterms:W3CDTF">2024-02-14T22:51:11Z</dcterms:created>
  <dcterms:modified xsi:type="dcterms:W3CDTF">2024-02-17T02:08:10Z</dcterms:modified>
</cp:coreProperties>
</file>