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an\Downloads\"/>
    </mc:Choice>
  </mc:AlternateContent>
  <xr:revisionPtr revIDLastSave="0" documentId="13_ncr:1_{C834C196-75F1-4240-9B09-6260F4FB3E1D}" xr6:coauthVersionLast="47" xr6:coauthVersionMax="47" xr10:uidLastSave="{00000000-0000-0000-0000-000000000000}"/>
  <bookViews>
    <workbookView xWindow="-103" yWindow="-103" windowWidth="22149" windowHeight="11949" tabRatio="863" activeTab="5" xr2:uid="{59EEFD98-EA0A-405B-AF52-D8EC30DB7408}"/>
  </bookViews>
  <sheets>
    <sheet name="DimProject" sheetId="1" r:id="rId1"/>
    <sheet name="DimItems" sheetId="2" r:id="rId2"/>
    <sheet name="FactProgress" sheetId="3" r:id="rId3"/>
    <sheet name="DimPM" sheetId="8" r:id="rId4"/>
    <sheet name="DimOwner" sheetId="7" r:id="rId5"/>
    <sheet name="Overview" sheetId="4" r:id="rId6"/>
    <sheet name="Phase &amp; Line" sheetId="9" r:id="rId7"/>
    <sheet name="Gantt View" sheetId="10" r:id="rId8"/>
    <sheet name="Settings" sheetId="5" r:id="rId9"/>
  </sheets>
  <definedNames>
    <definedName name="SegmentaciónDeDatos_Name_Project">#N/A</definedName>
    <definedName name="SegmentaciónDeDatos_Name_Project1">#N/A</definedName>
    <definedName name="SegmentaciónDeDatos_Name_Project2">#N/A</definedName>
    <definedName name="SegmentaciónDeDatos_Phase">#N/A</definedName>
    <definedName name="SegmentaciónDeDatos_Project_Type">#N/A</definedName>
    <definedName name="SegmentaciónDeDatos_Project_Type1">#N/A</definedName>
  </definedNames>
  <calcPr calcId="191029"/>
  <pivotCaches>
    <pivotCache cacheId="27" r:id="rId10"/>
    <pivotCache cacheId="446" r:id="rId11"/>
    <pivotCache cacheId="482" r:id="rId12"/>
    <pivotCache cacheId="500" r:id="rId13"/>
  </pivotCaches>
  <extLst>
    <ext xmlns:x14="http://schemas.microsoft.com/office/spreadsheetml/2009/9/main" uri="{876F7934-8845-4945-9796-88D515C7AA90}">
      <x14:pivotCaches>
        <pivotCache cacheId="19" r:id="rId14"/>
        <pivotCache cacheId="30" r:id="rId15"/>
        <pivotCache cacheId="34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449" r:id="rId23"/>
        <pivotCache cacheId="488" r:id="rId24"/>
        <pivotCache cacheId="491" r:id="rId25"/>
        <pivotCache cacheId="494" r:id="rId26"/>
        <pivotCache cacheId="503" r:id="rId27"/>
        <pivotCache cacheId="506" r:id="rId28"/>
        <pivotCache cacheId="509" r:id="rId29"/>
      </x15:pivotCaches>
    </ext>
    <ext xmlns:x15="http://schemas.microsoft.com/office/spreadsheetml/2010/11/main" uri="{983426D0-5260-488c-9760-48F4B6AC55F4}">
      <x15:pivotTableReferences>
        <x15:pivotTableReference r:id="rId30"/>
        <x15:pivotTableReference r:id="rId31"/>
        <x15:pivotTableReference r:id="rId32"/>
        <x15:pivotTableReference r:id="rId33"/>
        <x15:pivotTableReference r:id="rId34"/>
        <x15:pivotTableReference r:id="rId35"/>
        <x15:pivotTableReference r:id="rId3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Progress_a16887e0-23e2-42eb-a083-58c62bb7a519" name="FactProgress" connection="Consulta - FactProgress"/>
          <x15:modelTable id="DimCalendar_d2afd234-aa09-4449-89ce-32cb81e01b58" name="DimCalendar" connection="Consulta - DimCalendar"/>
          <x15:modelTable id="DimItems_efc8e664-73f2-4012-ad74-b54a10d2662c" name="DimItems" connection="Consulta - DimItems"/>
          <x15:modelTable id="DimProject_bd3ad8a7-a243-4684-a9a3-398143cc7de2" name="DimProject" connection="Consulta - DimProject"/>
          <x15:modelTable id="DimProjectManagement_79866624-c0a0-4553-8fbe-f35d90842b93" name="DimProjectManagement" connection="Consulta - DimProjectManagement"/>
          <x15:modelTable id="DimOwner_a6bb4ea0-ed60-4608-a608-c52b74e98145" name="DimOwner" connection="Consulta - DimOwner"/>
        </x15:modelTables>
        <x15:modelRelationships>
          <x15:modelRelationship fromTable="FactProgress" fromColumn="ID_Project" toTable="DimProject" toColumn="ID_Project"/>
          <x15:modelRelationship fromTable="FactProgress" fromColumn="ID_Item" toTable="DimItems" toColumn="ID_Item"/>
          <x15:modelRelationship fromTable="FactProgress" fromColumn="Planned_StartDate" toTable="DimCalendar" toColumn="DATE"/>
          <x15:modelRelationship fromTable="FactProgress" fromColumn="Id_PM" toTable="DimProjectManagement" toColumn="Id_PM"/>
          <x15:modelRelationship fromTable="FactProgress" fromColumn="Id_OwnerTask" toTable="DimOwner" toColumn="Id_Own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0" l="1" a="1"/>
  <c r="I15" i="10" s="1"/>
  <c r="J14" i="10" s="1"/>
  <c r="B26" i="5"/>
  <c r="B17" i="5"/>
  <c r="B23" i="5"/>
  <c r="B7" i="5"/>
  <c r="K14" i="10" l="1"/>
  <c r="L14" i="10" s="1"/>
  <c r="M14" i="10" s="1"/>
  <c r="J16" i="10"/>
  <c r="S2" i="3" a="1"/>
  <c r="S2" i="3" s="1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U2" i="3" a="1"/>
  <c r="U2" i="3" s="1"/>
  <c r="V2" i="3" s="1" a="1"/>
  <c r="V2" i="3" s="1"/>
  <c r="P2" i="3" a="1"/>
  <c r="P2" i="3" s="1"/>
  <c r="P3" i="3" a="1"/>
  <c r="P3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16" i="3" a="1"/>
  <c r="P16" i="3" s="1"/>
  <c r="P17" i="3" a="1"/>
  <c r="P17" i="3" s="1"/>
  <c r="P18" i="3" a="1"/>
  <c r="P18" i="3" s="1"/>
  <c r="P19" i="3" a="1"/>
  <c r="P19" i="3" s="1"/>
  <c r="P20" i="3" a="1"/>
  <c r="P20" i="3" s="1"/>
  <c r="P21" i="3" a="1"/>
  <c r="P21" i="3" s="1"/>
  <c r="P22" i="3" a="1"/>
  <c r="P22" i="3" s="1"/>
  <c r="P23" i="3" a="1"/>
  <c r="P23" i="3" s="1"/>
  <c r="P24" i="3" a="1"/>
  <c r="P24" i="3" s="1"/>
  <c r="P25" i="3" a="1"/>
  <c r="P25" i="3" s="1"/>
  <c r="P26" i="3" a="1"/>
  <c r="P26" i="3" s="1"/>
  <c r="P27" i="3" a="1"/>
  <c r="P27" i="3" s="1"/>
  <c r="P28" i="3" a="1"/>
  <c r="P28" i="3" s="1"/>
  <c r="P29" i="3" a="1"/>
  <c r="P29" i="3" s="1"/>
  <c r="P30" i="3" a="1"/>
  <c r="P30" i="3" s="1"/>
  <c r="P31" i="3" a="1"/>
  <c r="P31" i="3" s="1"/>
  <c r="P32" i="3" a="1"/>
  <c r="P32" i="3" s="1"/>
  <c r="P33" i="3" a="1"/>
  <c r="P33" i="3" s="1"/>
  <c r="P34" i="3" a="1"/>
  <c r="P34" i="3" s="1"/>
  <c r="P35" i="3" a="1"/>
  <c r="P35" i="3" s="1"/>
  <c r="P36" i="3" a="1"/>
  <c r="P36" i="3" s="1"/>
  <c r="P37" i="3" a="1"/>
  <c r="P37" i="3" s="1"/>
  <c r="P38" i="3" a="1"/>
  <c r="P38" i="3" s="1"/>
  <c r="P39" i="3" a="1"/>
  <c r="P39" i="3" s="1"/>
  <c r="P40" i="3" a="1"/>
  <c r="P40" i="3" s="1"/>
  <c r="P41" i="3" a="1"/>
  <c r="P41" i="3" s="1"/>
  <c r="P42" i="3" a="1"/>
  <c r="P42" i="3" s="1"/>
  <c r="P43" i="3" a="1"/>
  <c r="P43" i="3" s="1"/>
  <c r="P44" i="3" a="1"/>
  <c r="P44" i="3" s="1"/>
  <c r="P45" i="3" a="1"/>
  <c r="P45" i="3" s="1"/>
  <c r="P46" i="3" a="1"/>
  <c r="P46" i="3" s="1"/>
  <c r="P47" i="3" a="1"/>
  <c r="P47" i="3" s="1"/>
  <c r="P48" i="3" a="1"/>
  <c r="P48" i="3" s="1"/>
  <c r="P49" i="3" a="1"/>
  <c r="P49" i="3" s="1"/>
  <c r="P50" i="3" a="1"/>
  <c r="P50" i="3" s="1"/>
  <c r="P51" i="3" a="1"/>
  <c r="P51" i="3" s="1"/>
  <c r="P52" i="3" a="1"/>
  <c r="P52" i="3" s="1"/>
  <c r="P53" i="3" a="1"/>
  <c r="P53" i="3" s="1"/>
  <c r="P54" i="3" a="1"/>
  <c r="P54" i="3" s="1"/>
  <c r="P55" i="3" a="1"/>
  <c r="P55" i="3" s="1"/>
  <c r="P56" i="3" a="1"/>
  <c r="P56" i="3" s="1"/>
  <c r="P57" i="3" a="1"/>
  <c r="P57" i="3" s="1"/>
  <c r="P58" i="3" a="1"/>
  <c r="P58" i="3" s="1"/>
  <c r="P59" i="3" a="1"/>
  <c r="P59" i="3" s="1"/>
  <c r="P60" i="3" a="1"/>
  <c r="P60" i="3" s="1"/>
  <c r="P61" i="3" a="1"/>
  <c r="P61" i="3" s="1"/>
  <c r="P62" i="3" a="1"/>
  <c r="P62" i="3" s="1"/>
  <c r="P63" i="3" a="1"/>
  <c r="P63" i="3" s="1"/>
  <c r="P64" i="3" a="1"/>
  <c r="P64" i="3" s="1"/>
  <c r="P65" i="3" a="1"/>
  <c r="P65" i="3" s="1"/>
  <c r="P66" i="3" a="1"/>
  <c r="P66" i="3" s="1"/>
  <c r="P67" i="3" a="1"/>
  <c r="P67" i="3" s="1"/>
  <c r="P68" i="3" a="1"/>
  <c r="P68" i="3" s="1"/>
  <c r="P69" i="3" a="1"/>
  <c r="P69" i="3" s="1"/>
  <c r="P70" i="3" a="1"/>
  <c r="P70" i="3" s="1"/>
  <c r="P71" i="3" a="1"/>
  <c r="P71" i="3" s="1"/>
  <c r="P72" i="3" a="1"/>
  <c r="P72" i="3" s="1"/>
  <c r="P73" i="3" a="1"/>
  <c r="P73" i="3" s="1"/>
  <c r="P74" i="3" a="1"/>
  <c r="P74" i="3" s="1"/>
  <c r="P75" i="3" a="1"/>
  <c r="P75" i="3" s="1"/>
  <c r="P76" i="3" a="1"/>
  <c r="P76" i="3" s="1"/>
  <c r="P77" i="3" a="1"/>
  <c r="P77" i="3" s="1"/>
  <c r="P78" i="3" a="1"/>
  <c r="P78" i="3" s="1"/>
  <c r="P79" i="3" a="1"/>
  <c r="P79" i="3" s="1"/>
  <c r="P80" i="3" a="1"/>
  <c r="P80" i="3" s="1"/>
  <c r="P81" i="3" a="1"/>
  <c r="P81" i="3" s="1"/>
  <c r="P82" i="3" a="1"/>
  <c r="P82" i="3" s="1"/>
  <c r="P83" i="3" a="1"/>
  <c r="P83" i="3" s="1"/>
  <c r="P84" i="3" a="1"/>
  <c r="P84" i="3" s="1"/>
  <c r="P85" i="3" a="1"/>
  <c r="P85" i="3" s="1"/>
  <c r="P86" i="3" a="1"/>
  <c r="P86" i="3" s="1"/>
  <c r="P87" i="3" a="1"/>
  <c r="P87" i="3" s="1"/>
  <c r="P88" i="3" a="1"/>
  <c r="P88" i="3" s="1"/>
  <c r="P89" i="3" a="1"/>
  <c r="P89" i="3" s="1"/>
  <c r="P90" i="3" a="1"/>
  <c r="P90" i="3" s="1"/>
  <c r="P91" i="3" a="1"/>
  <c r="P91" i="3" s="1"/>
  <c r="P92" i="3" a="1"/>
  <c r="P92" i="3" s="1"/>
  <c r="P93" i="3" a="1"/>
  <c r="P93" i="3" s="1"/>
  <c r="P94" i="3" a="1"/>
  <c r="P94" i="3" s="1"/>
  <c r="P95" i="3" a="1"/>
  <c r="P95" i="3" s="1"/>
  <c r="P96" i="3" a="1"/>
  <c r="P96" i="3" s="1"/>
  <c r="P97" i="3" a="1"/>
  <c r="P97" i="3" s="1"/>
  <c r="P98" i="3" a="1"/>
  <c r="P98" i="3" s="1"/>
  <c r="P99" i="3" a="1"/>
  <c r="P99" i="3" s="1"/>
  <c r="P100" i="3" a="1"/>
  <c r="P100" i="3" s="1"/>
  <c r="P101" i="3" a="1"/>
  <c r="P101" i="3" s="1"/>
  <c r="P102" i="3" a="1"/>
  <c r="P102" i="3" s="1"/>
  <c r="P103" i="3" a="1"/>
  <c r="P103" i="3" s="1"/>
  <c r="P104" i="3" a="1"/>
  <c r="P104" i="3" s="1"/>
  <c r="P105" i="3" a="1"/>
  <c r="P105" i="3" s="1"/>
  <c r="P106" i="3" a="1"/>
  <c r="P106" i="3" s="1"/>
  <c r="P107" i="3" a="1"/>
  <c r="P107" i="3" s="1"/>
  <c r="P108" i="3" a="1"/>
  <c r="P108" i="3" s="1"/>
  <c r="P109" i="3" a="1"/>
  <c r="P109" i="3" s="1"/>
  <c r="P110" i="3" a="1"/>
  <c r="P110" i="3" s="1"/>
  <c r="P111" i="3" a="1"/>
  <c r="P111" i="3" s="1"/>
  <c r="P112" i="3" a="1"/>
  <c r="P112" i="3" s="1"/>
  <c r="P113" i="3" a="1"/>
  <c r="P113" i="3" s="1"/>
  <c r="P114" i="3" a="1"/>
  <c r="P114" i="3" s="1"/>
  <c r="P115" i="3" a="1"/>
  <c r="P115" i="3" s="1"/>
  <c r="P116" i="3" a="1"/>
  <c r="P116" i="3" s="1"/>
  <c r="P117" i="3" a="1"/>
  <c r="P117" i="3" s="1"/>
  <c r="P118" i="3" a="1"/>
  <c r="P118" i="3" s="1"/>
  <c r="P119" i="3" a="1"/>
  <c r="P119" i="3" s="1"/>
  <c r="P120" i="3" a="1"/>
  <c r="P120" i="3" s="1"/>
  <c r="P121" i="3" a="1"/>
  <c r="P121" i="3" s="1"/>
  <c r="P122" i="3" a="1"/>
  <c r="P122" i="3" s="1"/>
  <c r="P123" i="3" a="1"/>
  <c r="P123" i="3" s="1"/>
  <c r="P124" i="3" a="1"/>
  <c r="P124" i="3" s="1"/>
  <c r="P125" i="3" a="1"/>
  <c r="P125" i="3" s="1"/>
  <c r="P126" i="3" a="1"/>
  <c r="P126" i="3" s="1"/>
  <c r="P127" i="3" a="1"/>
  <c r="P127" i="3" s="1"/>
  <c r="P128" i="3" a="1"/>
  <c r="P128" i="3" s="1"/>
  <c r="P129" i="3" a="1"/>
  <c r="P129" i="3" s="1"/>
  <c r="P130" i="3" a="1"/>
  <c r="P130" i="3" s="1"/>
  <c r="P131" i="3" a="1"/>
  <c r="P131" i="3" s="1"/>
  <c r="P132" i="3" a="1"/>
  <c r="P132" i="3" s="1"/>
  <c r="P133" i="3" a="1"/>
  <c r="P133" i="3" s="1"/>
  <c r="P134" i="3" a="1"/>
  <c r="P134" i="3" s="1"/>
  <c r="P135" i="3" a="1"/>
  <c r="P135" i="3" s="1"/>
  <c r="P136" i="3" a="1"/>
  <c r="P136" i="3" s="1"/>
  <c r="P137" i="3" a="1"/>
  <c r="P137" i="3" s="1"/>
  <c r="P138" i="3" a="1"/>
  <c r="P138" i="3" s="1"/>
  <c r="P139" i="3" a="1"/>
  <c r="P139" i="3" s="1"/>
  <c r="P140" i="3" a="1"/>
  <c r="P140" i="3" s="1"/>
  <c r="P141" i="3" a="1"/>
  <c r="P141" i="3" s="1"/>
  <c r="P142" i="3" a="1"/>
  <c r="P142" i="3" s="1"/>
  <c r="P143" i="3" a="1"/>
  <c r="P143" i="3" s="1"/>
  <c r="P144" i="3" a="1"/>
  <c r="P144" i="3" s="1"/>
  <c r="P145" i="3" a="1"/>
  <c r="P145" i="3" s="1"/>
  <c r="P146" i="3" a="1"/>
  <c r="P146" i="3" s="1"/>
  <c r="P147" i="3" a="1"/>
  <c r="P147" i="3" s="1"/>
  <c r="P148" i="3" a="1"/>
  <c r="P148" i="3" s="1"/>
  <c r="P149" i="3" a="1"/>
  <c r="P149" i="3" s="1"/>
  <c r="P150" i="3" a="1"/>
  <c r="P150" i="3" s="1"/>
  <c r="P151" i="3" a="1"/>
  <c r="P151" i="3" s="1"/>
  <c r="U3" i="3" a="1"/>
  <c r="U3" i="3" s="1"/>
  <c r="V3" i="3" s="1" a="1"/>
  <c r="V3" i="3" s="1"/>
  <c r="U4" i="3" a="1"/>
  <c r="U4" i="3" s="1"/>
  <c r="V4" i="3" s="1" a="1"/>
  <c r="V4" i="3" s="1"/>
  <c r="U5" i="3" a="1"/>
  <c r="U5" i="3" s="1"/>
  <c r="V5" i="3" s="1" a="1"/>
  <c r="V5" i="3" s="1"/>
  <c r="U6" i="3" a="1"/>
  <c r="U6" i="3" s="1"/>
  <c r="V6" i="3" s="1" a="1"/>
  <c r="V6" i="3" s="1"/>
  <c r="U7" i="3" a="1"/>
  <c r="U7" i="3" s="1"/>
  <c r="V7" i="3" s="1" a="1"/>
  <c r="V7" i="3" s="1"/>
  <c r="U8" i="3" a="1"/>
  <c r="U8" i="3" s="1"/>
  <c r="V8" i="3" s="1" a="1"/>
  <c r="V8" i="3" s="1"/>
  <c r="U9" i="3" a="1"/>
  <c r="U9" i="3" s="1"/>
  <c r="V9" i="3" s="1" a="1"/>
  <c r="V9" i="3" s="1"/>
  <c r="U10" i="3" a="1"/>
  <c r="U10" i="3" s="1"/>
  <c r="V10" i="3" s="1" a="1"/>
  <c r="V10" i="3" s="1"/>
  <c r="U11" i="3" a="1"/>
  <c r="U11" i="3" s="1"/>
  <c r="V11" i="3" s="1" a="1"/>
  <c r="V11" i="3" s="1"/>
  <c r="U12" i="3" a="1"/>
  <c r="U12" i="3" s="1"/>
  <c r="V12" i="3" s="1" a="1"/>
  <c r="V12" i="3" s="1"/>
  <c r="U13" i="3" a="1"/>
  <c r="U13" i="3" s="1"/>
  <c r="V13" i="3" s="1" a="1"/>
  <c r="V13" i="3" s="1"/>
  <c r="U14" i="3" a="1"/>
  <c r="U14" i="3" s="1"/>
  <c r="V14" i="3" s="1" a="1"/>
  <c r="V14" i="3" s="1"/>
  <c r="U15" i="3" a="1"/>
  <c r="U15" i="3" s="1"/>
  <c r="V15" i="3" s="1" a="1"/>
  <c r="V15" i="3" s="1"/>
  <c r="U16" i="3" a="1"/>
  <c r="U16" i="3" s="1"/>
  <c r="V16" i="3" s="1" a="1"/>
  <c r="V16" i="3" s="1"/>
  <c r="U17" i="3" a="1"/>
  <c r="U17" i="3" s="1"/>
  <c r="V17" i="3" s="1" a="1"/>
  <c r="V17" i="3" s="1"/>
  <c r="U18" i="3" a="1"/>
  <c r="U18" i="3" s="1"/>
  <c r="V18" i="3" s="1" a="1"/>
  <c r="V18" i="3" s="1"/>
  <c r="U19" i="3" a="1"/>
  <c r="U19" i="3" s="1"/>
  <c r="V19" i="3" s="1" a="1"/>
  <c r="V19" i="3" s="1"/>
  <c r="U20" i="3" a="1"/>
  <c r="U20" i="3" s="1"/>
  <c r="V20" i="3" s="1" a="1"/>
  <c r="V20" i="3" s="1"/>
  <c r="U21" i="3" a="1"/>
  <c r="U21" i="3" s="1"/>
  <c r="V21" i="3" s="1" a="1"/>
  <c r="V21" i="3" s="1"/>
  <c r="U22" i="3" a="1"/>
  <c r="U22" i="3" s="1"/>
  <c r="V22" i="3" s="1" a="1"/>
  <c r="V22" i="3" s="1"/>
  <c r="U23" i="3" a="1"/>
  <c r="U23" i="3" s="1"/>
  <c r="V23" i="3" s="1" a="1"/>
  <c r="V23" i="3" s="1"/>
  <c r="U24" i="3" a="1"/>
  <c r="U24" i="3" s="1"/>
  <c r="V24" i="3" s="1" a="1"/>
  <c r="V24" i="3" s="1"/>
  <c r="U25" i="3" a="1"/>
  <c r="U25" i="3" s="1"/>
  <c r="V25" i="3" s="1" a="1"/>
  <c r="V25" i="3" s="1"/>
  <c r="U26" i="3" a="1"/>
  <c r="U26" i="3" s="1"/>
  <c r="V26" i="3" s="1" a="1"/>
  <c r="V26" i="3" s="1"/>
  <c r="U27" i="3" a="1"/>
  <c r="U27" i="3" s="1"/>
  <c r="V27" i="3" s="1" a="1"/>
  <c r="V27" i="3" s="1"/>
  <c r="U28" i="3" a="1"/>
  <c r="U28" i="3" s="1"/>
  <c r="V28" i="3" s="1" a="1"/>
  <c r="V28" i="3" s="1"/>
  <c r="U29" i="3" a="1"/>
  <c r="U29" i="3" s="1"/>
  <c r="V29" i="3" s="1" a="1"/>
  <c r="V29" i="3" s="1"/>
  <c r="U30" i="3" a="1"/>
  <c r="U30" i="3" s="1"/>
  <c r="V30" i="3" s="1" a="1"/>
  <c r="V30" i="3" s="1"/>
  <c r="U31" i="3" a="1"/>
  <c r="U31" i="3" s="1"/>
  <c r="V31" i="3" s="1" a="1"/>
  <c r="V31" i="3" s="1"/>
  <c r="U32" i="3" a="1"/>
  <c r="U32" i="3" s="1"/>
  <c r="V32" i="3" s="1" a="1"/>
  <c r="V32" i="3" s="1"/>
  <c r="U33" i="3" a="1"/>
  <c r="U33" i="3" s="1"/>
  <c r="V33" i="3" s="1" a="1"/>
  <c r="V33" i="3" s="1"/>
  <c r="U34" i="3" a="1"/>
  <c r="U34" i="3" s="1"/>
  <c r="V34" i="3" s="1" a="1"/>
  <c r="V34" i="3" s="1"/>
  <c r="U35" i="3" a="1"/>
  <c r="U35" i="3" s="1"/>
  <c r="V35" i="3" s="1" a="1"/>
  <c r="V35" i="3" s="1"/>
  <c r="U36" i="3" a="1"/>
  <c r="U36" i="3" s="1"/>
  <c r="V36" i="3" s="1" a="1"/>
  <c r="V36" i="3" s="1"/>
  <c r="U37" i="3" a="1"/>
  <c r="U37" i="3" s="1"/>
  <c r="V37" i="3" s="1" a="1"/>
  <c r="V37" i="3" s="1"/>
  <c r="U38" i="3" a="1"/>
  <c r="U38" i="3" s="1"/>
  <c r="V38" i="3" s="1" a="1"/>
  <c r="V38" i="3" s="1"/>
  <c r="U39" i="3" a="1"/>
  <c r="U39" i="3" s="1"/>
  <c r="V39" i="3" s="1" a="1"/>
  <c r="V39" i="3" s="1"/>
  <c r="U40" i="3" a="1"/>
  <c r="U40" i="3" s="1"/>
  <c r="V40" i="3" s="1" a="1"/>
  <c r="V40" i="3" s="1"/>
  <c r="U41" i="3" a="1"/>
  <c r="U41" i="3" s="1"/>
  <c r="V41" i="3" s="1" a="1"/>
  <c r="V41" i="3" s="1"/>
  <c r="U42" i="3" a="1"/>
  <c r="U42" i="3" s="1"/>
  <c r="V42" i="3" s="1" a="1"/>
  <c r="V42" i="3" s="1"/>
  <c r="U43" i="3" a="1"/>
  <c r="U43" i="3" s="1"/>
  <c r="V43" i="3" s="1" a="1"/>
  <c r="V43" i="3" s="1"/>
  <c r="U44" i="3" a="1"/>
  <c r="U44" i="3" s="1"/>
  <c r="V44" i="3" s="1" a="1"/>
  <c r="V44" i="3" s="1"/>
  <c r="U45" i="3" a="1"/>
  <c r="U45" i="3" s="1"/>
  <c r="V45" i="3" s="1" a="1"/>
  <c r="V45" i="3" s="1"/>
  <c r="U46" i="3" a="1"/>
  <c r="U46" i="3" s="1"/>
  <c r="V46" i="3" s="1" a="1"/>
  <c r="V46" i="3" s="1"/>
  <c r="U47" i="3" a="1"/>
  <c r="U47" i="3" s="1"/>
  <c r="V47" i="3" s="1" a="1"/>
  <c r="V47" i="3" s="1"/>
  <c r="U48" i="3" a="1"/>
  <c r="U48" i="3" s="1"/>
  <c r="V48" i="3" s="1" a="1"/>
  <c r="V48" i="3" s="1"/>
  <c r="U49" i="3" a="1"/>
  <c r="U49" i="3" s="1"/>
  <c r="V49" i="3" s="1" a="1"/>
  <c r="V49" i="3" s="1"/>
  <c r="U50" i="3" a="1"/>
  <c r="U50" i="3" s="1"/>
  <c r="V50" i="3" s="1" a="1"/>
  <c r="V50" i="3" s="1"/>
  <c r="U51" i="3" a="1"/>
  <c r="U51" i="3" s="1"/>
  <c r="V51" i="3" s="1" a="1"/>
  <c r="V51" i="3" s="1"/>
  <c r="U52" i="3" a="1"/>
  <c r="U52" i="3" s="1"/>
  <c r="V52" i="3" s="1" a="1"/>
  <c r="V52" i="3" s="1"/>
  <c r="U53" i="3" a="1"/>
  <c r="U53" i="3" s="1"/>
  <c r="V53" i="3" s="1" a="1"/>
  <c r="V53" i="3" s="1"/>
  <c r="U54" i="3" a="1"/>
  <c r="U54" i="3" s="1"/>
  <c r="V54" i="3" s="1" a="1"/>
  <c r="V54" i="3" s="1"/>
  <c r="U55" i="3" a="1"/>
  <c r="U55" i="3" s="1"/>
  <c r="V55" i="3" s="1" a="1"/>
  <c r="V55" i="3" s="1"/>
  <c r="U56" i="3" a="1"/>
  <c r="U56" i="3" s="1"/>
  <c r="V56" i="3" s="1" a="1"/>
  <c r="V56" i="3" s="1"/>
  <c r="U57" i="3" a="1"/>
  <c r="U57" i="3" s="1"/>
  <c r="V57" i="3" s="1" a="1"/>
  <c r="V57" i="3" s="1"/>
  <c r="U58" i="3" a="1"/>
  <c r="U58" i="3" s="1"/>
  <c r="V58" i="3" s="1" a="1"/>
  <c r="V58" i="3" s="1"/>
  <c r="U59" i="3" a="1"/>
  <c r="U59" i="3" s="1"/>
  <c r="V59" i="3" s="1" a="1"/>
  <c r="V59" i="3" s="1"/>
  <c r="U60" i="3" a="1"/>
  <c r="U60" i="3" s="1"/>
  <c r="V60" i="3" s="1" a="1"/>
  <c r="V60" i="3" s="1"/>
  <c r="U61" i="3" a="1"/>
  <c r="U61" i="3" s="1"/>
  <c r="V61" i="3" s="1" a="1"/>
  <c r="V61" i="3" s="1"/>
  <c r="U62" i="3" a="1"/>
  <c r="U62" i="3" s="1"/>
  <c r="V62" i="3" s="1" a="1"/>
  <c r="V62" i="3" s="1"/>
  <c r="U63" i="3" a="1"/>
  <c r="U63" i="3" s="1"/>
  <c r="V63" i="3" s="1" a="1"/>
  <c r="V63" i="3" s="1"/>
  <c r="U64" i="3" a="1"/>
  <c r="U64" i="3" s="1"/>
  <c r="V64" i="3" s="1" a="1"/>
  <c r="V64" i="3" s="1"/>
  <c r="U65" i="3" a="1"/>
  <c r="U65" i="3" s="1"/>
  <c r="V65" i="3" s="1" a="1"/>
  <c r="V65" i="3" s="1"/>
  <c r="U66" i="3" a="1"/>
  <c r="U66" i="3" s="1"/>
  <c r="V66" i="3" s="1" a="1"/>
  <c r="V66" i="3" s="1"/>
  <c r="U67" i="3" a="1"/>
  <c r="U67" i="3" s="1"/>
  <c r="V67" i="3" s="1" a="1"/>
  <c r="V67" i="3" s="1"/>
  <c r="U68" i="3" a="1"/>
  <c r="U68" i="3" s="1"/>
  <c r="V68" i="3" s="1" a="1"/>
  <c r="V68" i="3" s="1"/>
  <c r="U69" i="3" a="1"/>
  <c r="U69" i="3" s="1"/>
  <c r="V69" i="3" s="1" a="1"/>
  <c r="V69" i="3" s="1"/>
  <c r="U70" i="3" a="1"/>
  <c r="U70" i="3" s="1"/>
  <c r="V70" i="3" s="1" a="1"/>
  <c r="V70" i="3" s="1"/>
  <c r="U71" i="3" a="1"/>
  <c r="U71" i="3" s="1"/>
  <c r="V71" i="3" s="1" a="1"/>
  <c r="V71" i="3" s="1"/>
  <c r="U72" i="3" a="1"/>
  <c r="U72" i="3" s="1"/>
  <c r="V72" i="3" s="1" a="1"/>
  <c r="V72" i="3" s="1"/>
  <c r="U73" i="3" a="1"/>
  <c r="U73" i="3" s="1"/>
  <c r="V73" i="3" s="1" a="1"/>
  <c r="V73" i="3" s="1"/>
  <c r="U74" i="3" a="1"/>
  <c r="U74" i="3" s="1"/>
  <c r="V74" i="3" s="1" a="1"/>
  <c r="V74" i="3" s="1"/>
  <c r="U75" i="3" a="1"/>
  <c r="U75" i="3" s="1"/>
  <c r="V75" i="3" s="1" a="1"/>
  <c r="V75" i="3" s="1"/>
  <c r="U76" i="3" a="1"/>
  <c r="U76" i="3" s="1"/>
  <c r="V76" i="3" s="1" a="1"/>
  <c r="V76" i="3" s="1"/>
  <c r="U77" i="3" a="1"/>
  <c r="U77" i="3" s="1"/>
  <c r="V77" i="3" s="1" a="1"/>
  <c r="V77" i="3" s="1"/>
  <c r="U78" i="3" a="1"/>
  <c r="U78" i="3" s="1"/>
  <c r="V78" i="3" s="1" a="1"/>
  <c r="V78" i="3" s="1"/>
  <c r="U79" i="3" a="1"/>
  <c r="U79" i="3" s="1"/>
  <c r="V79" i="3" s="1" a="1"/>
  <c r="V79" i="3" s="1"/>
  <c r="U80" i="3" a="1"/>
  <c r="U80" i="3" s="1"/>
  <c r="V80" i="3" s="1" a="1"/>
  <c r="V80" i="3" s="1"/>
  <c r="U81" i="3" a="1"/>
  <c r="U81" i="3" s="1"/>
  <c r="V81" i="3" s="1" a="1"/>
  <c r="V81" i="3" s="1"/>
  <c r="U82" i="3" a="1"/>
  <c r="U82" i="3" s="1"/>
  <c r="V82" i="3" s="1" a="1"/>
  <c r="V82" i="3" s="1"/>
  <c r="U83" i="3" a="1"/>
  <c r="U83" i="3" s="1"/>
  <c r="V83" i="3" s="1" a="1"/>
  <c r="V83" i="3" s="1"/>
  <c r="U84" i="3" a="1"/>
  <c r="U84" i="3" s="1"/>
  <c r="V84" i="3" s="1" a="1"/>
  <c r="V84" i="3" s="1"/>
  <c r="U85" i="3" a="1"/>
  <c r="U85" i="3" s="1"/>
  <c r="V85" i="3" s="1" a="1"/>
  <c r="V85" i="3" s="1"/>
  <c r="U86" i="3" a="1"/>
  <c r="U86" i="3" s="1"/>
  <c r="V86" i="3" s="1" a="1"/>
  <c r="V86" i="3" s="1"/>
  <c r="U87" i="3" a="1"/>
  <c r="U87" i="3" s="1"/>
  <c r="V87" i="3" s="1" a="1"/>
  <c r="V87" i="3" s="1"/>
  <c r="U88" i="3" a="1"/>
  <c r="U88" i="3" s="1"/>
  <c r="V88" i="3" s="1" a="1"/>
  <c r="V88" i="3" s="1"/>
  <c r="U89" i="3" a="1"/>
  <c r="U89" i="3" s="1"/>
  <c r="V89" i="3" s="1" a="1"/>
  <c r="V89" i="3" s="1"/>
  <c r="U90" i="3" a="1"/>
  <c r="U90" i="3" s="1"/>
  <c r="V90" i="3" s="1" a="1"/>
  <c r="V90" i="3" s="1"/>
  <c r="U91" i="3" a="1"/>
  <c r="U91" i="3" s="1"/>
  <c r="V91" i="3" s="1" a="1"/>
  <c r="V91" i="3" s="1"/>
  <c r="U92" i="3" a="1"/>
  <c r="U92" i="3" s="1"/>
  <c r="V92" i="3" s="1" a="1"/>
  <c r="V92" i="3" s="1"/>
  <c r="U93" i="3" a="1"/>
  <c r="U93" i="3" s="1"/>
  <c r="V93" i="3" s="1" a="1"/>
  <c r="V93" i="3" s="1"/>
  <c r="U94" i="3" a="1"/>
  <c r="U94" i="3" s="1"/>
  <c r="V94" i="3" s="1" a="1"/>
  <c r="V94" i="3" s="1"/>
  <c r="U95" i="3" a="1"/>
  <c r="U95" i="3" s="1"/>
  <c r="V95" i="3" s="1" a="1"/>
  <c r="V95" i="3" s="1"/>
  <c r="U96" i="3" a="1"/>
  <c r="U96" i="3" s="1"/>
  <c r="V96" i="3" s="1" a="1"/>
  <c r="V96" i="3" s="1"/>
  <c r="U97" i="3" a="1"/>
  <c r="U97" i="3" s="1"/>
  <c r="V97" i="3" s="1" a="1"/>
  <c r="V97" i="3" s="1"/>
  <c r="U98" i="3" a="1"/>
  <c r="U98" i="3" s="1"/>
  <c r="V98" i="3" s="1" a="1"/>
  <c r="V98" i="3" s="1"/>
  <c r="U99" i="3" a="1"/>
  <c r="U99" i="3" s="1"/>
  <c r="V99" i="3" s="1" a="1"/>
  <c r="V99" i="3" s="1"/>
  <c r="U100" i="3" a="1"/>
  <c r="U100" i="3" s="1"/>
  <c r="V100" i="3" s="1" a="1"/>
  <c r="V100" i="3" s="1"/>
  <c r="U101" i="3" a="1"/>
  <c r="U101" i="3" s="1"/>
  <c r="V101" i="3" s="1" a="1"/>
  <c r="V101" i="3" s="1"/>
  <c r="U102" i="3" a="1"/>
  <c r="U102" i="3" s="1"/>
  <c r="V102" i="3" s="1" a="1"/>
  <c r="V102" i="3" s="1"/>
  <c r="U103" i="3" a="1"/>
  <c r="U103" i="3" s="1"/>
  <c r="V103" i="3" s="1" a="1"/>
  <c r="V103" i="3" s="1"/>
  <c r="U104" i="3" a="1"/>
  <c r="U104" i="3" s="1"/>
  <c r="V104" i="3" s="1" a="1"/>
  <c r="V104" i="3" s="1"/>
  <c r="U105" i="3" a="1"/>
  <c r="U105" i="3" s="1"/>
  <c r="V105" i="3" s="1" a="1"/>
  <c r="V105" i="3" s="1"/>
  <c r="U106" i="3" a="1"/>
  <c r="U106" i="3" s="1"/>
  <c r="V106" i="3" s="1" a="1"/>
  <c r="V106" i="3" s="1"/>
  <c r="U107" i="3" a="1"/>
  <c r="U107" i="3" s="1"/>
  <c r="V107" i="3" s="1" a="1"/>
  <c r="V107" i="3" s="1"/>
  <c r="U108" i="3" a="1"/>
  <c r="U108" i="3" s="1"/>
  <c r="V108" i="3" s="1" a="1"/>
  <c r="V108" i="3" s="1"/>
  <c r="U109" i="3" a="1"/>
  <c r="U109" i="3" s="1"/>
  <c r="V109" i="3" s="1" a="1"/>
  <c r="V109" i="3" s="1"/>
  <c r="U110" i="3" a="1"/>
  <c r="U110" i="3" s="1"/>
  <c r="V110" i="3" s="1" a="1"/>
  <c r="V110" i="3" s="1"/>
  <c r="U111" i="3" a="1"/>
  <c r="U111" i="3" s="1"/>
  <c r="V111" i="3" s="1" a="1"/>
  <c r="V111" i="3" s="1"/>
  <c r="U112" i="3" a="1"/>
  <c r="U112" i="3" s="1"/>
  <c r="V112" i="3" s="1" a="1"/>
  <c r="V112" i="3" s="1"/>
  <c r="U113" i="3" a="1"/>
  <c r="U113" i="3" s="1"/>
  <c r="V113" i="3" s="1" a="1"/>
  <c r="V113" i="3" s="1"/>
  <c r="U114" i="3" a="1"/>
  <c r="U114" i="3" s="1"/>
  <c r="V114" i="3" s="1" a="1"/>
  <c r="V114" i="3" s="1"/>
  <c r="U115" i="3" a="1"/>
  <c r="U115" i="3" s="1"/>
  <c r="V115" i="3" s="1" a="1"/>
  <c r="V115" i="3" s="1"/>
  <c r="U116" i="3" a="1"/>
  <c r="U116" i="3" s="1"/>
  <c r="V116" i="3" s="1" a="1"/>
  <c r="V116" i="3" s="1"/>
  <c r="U117" i="3" a="1"/>
  <c r="U117" i="3" s="1"/>
  <c r="V117" i="3" s="1" a="1"/>
  <c r="V117" i="3" s="1"/>
  <c r="U118" i="3" a="1"/>
  <c r="U118" i="3" s="1"/>
  <c r="V118" i="3" s="1" a="1"/>
  <c r="V118" i="3" s="1"/>
  <c r="U119" i="3" a="1"/>
  <c r="U119" i="3" s="1"/>
  <c r="V119" i="3" s="1" a="1"/>
  <c r="V119" i="3" s="1"/>
  <c r="U120" i="3" a="1"/>
  <c r="U120" i="3" s="1"/>
  <c r="V120" i="3" s="1" a="1"/>
  <c r="V120" i="3" s="1"/>
  <c r="U121" i="3" a="1"/>
  <c r="U121" i="3" s="1"/>
  <c r="V121" i="3" s="1" a="1"/>
  <c r="V121" i="3" s="1"/>
  <c r="U122" i="3" a="1"/>
  <c r="U122" i="3" s="1"/>
  <c r="V122" i="3" s="1" a="1"/>
  <c r="V122" i="3" s="1"/>
  <c r="U123" i="3" a="1"/>
  <c r="U123" i="3" s="1"/>
  <c r="V123" i="3" s="1" a="1"/>
  <c r="V123" i="3" s="1"/>
  <c r="U124" i="3" a="1"/>
  <c r="U124" i="3" s="1"/>
  <c r="V124" i="3" s="1" a="1"/>
  <c r="V124" i="3" s="1"/>
  <c r="U125" i="3" a="1"/>
  <c r="U125" i="3" s="1"/>
  <c r="V125" i="3" s="1" a="1"/>
  <c r="V125" i="3" s="1"/>
  <c r="U126" i="3" a="1"/>
  <c r="U126" i="3" s="1"/>
  <c r="V126" i="3" s="1" a="1"/>
  <c r="V126" i="3" s="1"/>
  <c r="U127" i="3" a="1"/>
  <c r="U127" i="3" s="1"/>
  <c r="V127" i="3" s="1" a="1"/>
  <c r="V127" i="3" s="1"/>
  <c r="U128" i="3" a="1"/>
  <c r="U128" i="3" s="1"/>
  <c r="V128" i="3" s="1" a="1"/>
  <c r="V128" i="3" s="1"/>
  <c r="U129" i="3" a="1"/>
  <c r="U129" i="3" s="1"/>
  <c r="V129" i="3" s="1" a="1"/>
  <c r="V129" i="3" s="1"/>
  <c r="U130" i="3" a="1"/>
  <c r="U130" i="3" s="1"/>
  <c r="V130" i="3" s="1" a="1"/>
  <c r="V130" i="3" s="1"/>
  <c r="U131" i="3" a="1"/>
  <c r="U131" i="3" s="1"/>
  <c r="V131" i="3" s="1" a="1"/>
  <c r="V131" i="3" s="1"/>
  <c r="U132" i="3" a="1"/>
  <c r="U132" i="3" s="1"/>
  <c r="V132" i="3" s="1" a="1"/>
  <c r="V132" i="3" s="1"/>
  <c r="U133" i="3" a="1"/>
  <c r="U133" i="3" s="1"/>
  <c r="V133" i="3" s="1" a="1"/>
  <c r="V133" i="3" s="1"/>
  <c r="U134" i="3" a="1"/>
  <c r="U134" i="3" s="1"/>
  <c r="V134" i="3" s="1" a="1"/>
  <c r="V134" i="3" s="1"/>
  <c r="U135" i="3" a="1"/>
  <c r="U135" i="3" s="1"/>
  <c r="V135" i="3" s="1" a="1"/>
  <c r="V135" i="3" s="1"/>
  <c r="U136" i="3" a="1"/>
  <c r="U136" i="3" s="1"/>
  <c r="V136" i="3" s="1" a="1"/>
  <c r="V136" i="3" s="1"/>
  <c r="U137" i="3" a="1"/>
  <c r="U137" i="3" s="1"/>
  <c r="V137" i="3" s="1" a="1"/>
  <c r="V137" i="3" s="1"/>
  <c r="U138" i="3" a="1"/>
  <c r="U138" i="3" s="1"/>
  <c r="V138" i="3" s="1" a="1"/>
  <c r="V138" i="3" s="1"/>
  <c r="U139" i="3" a="1"/>
  <c r="U139" i="3" s="1"/>
  <c r="V139" i="3" s="1" a="1"/>
  <c r="V139" i="3" s="1"/>
  <c r="U140" i="3" a="1"/>
  <c r="U140" i="3" s="1"/>
  <c r="V140" i="3" s="1" a="1"/>
  <c r="V140" i="3" s="1"/>
  <c r="U141" i="3" a="1"/>
  <c r="U141" i="3" s="1"/>
  <c r="V141" i="3" s="1" a="1"/>
  <c r="V141" i="3" s="1"/>
  <c r="U142" i="3" a="1"/>
  <c r="U142" i="3" s="1"/>
  <c r="V142" i="3" s="1" a="1"/>
  <c r="V142" i="3" s="1"/>
  <c r="U143" i="3" a="1"/>
  <c r="U143" i="3" s="1"/>
  <c r="V143" i="3" s="1" a="1"/>
  <c r="V143" i="3" s="1"/>
  <c r="U144" i="3" a="1"/>
  <c r="U144" i="3" s="1"/>
  <c r="V144" i="3" s="1" a="1"/>
  <c r="V144" i="3" s="1"/>
  <c r="U145" i="3" a="1"/>
  <c r="U145" i="3" s="1"/>
  <c r="V145" i="3" s="1" a="1"/>
  <c r="V145" i="3" s="1"/>
  <c r="U146" i="3" a="1"/>
  <c r="U146" i="3" s="1"/>
  <c r="V146" i="3" s="1" a="1"/>
  <c r="V146" i="3" s="1"/>
  <c r="U147" i="3" a="1"/>
  <c r="U147" i="3" s="1"/>
  <c r="V147" i="3" s="1" a="1"/>
  <c r="V147" i="3" s="1"/>
  <c r="U148" i="3" a="1"/>
  <c r="U148" i="3" s="1"/>
  <c r="V148" i="3" s="1" a="1"/>
  <c r="V148" i="3" s="1"/>
  <c r="U149" i="3" a="1"/>
  <c r="U149" i="3" s="1"/>
  <c r="V149" i="3" s="1" a="1"/>
  <c r="V149" i="3" s="1"/>
  <c r="U150" i="3" a="1"/>
  <c r="U150" i="3" s="1"/>
  <c r="V150" i="3" s="1" a="1"/>
  <c r="V150" i="3" s="1"/>
  <c r="U151" i="3" a="1"/>
  <c r="U151" i="3" s="1"/>
  <c r="V151" i="3" s="1" a="1"/>
  <c r="V151" i="3" s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M2" i="3"/>
  <c r="O2" i="3" s="1" a="1"/>
  <c r="O2" i="3" s="1"/>
  <c r="M3" i="3"/>
  <c r="O3" i="3" s="1" a="1"/>
  <c r="O3" i="3" s="1"/>
  <c r="M4" i="3"/>
  <c r="O4" i="3" s="1" a="1"/>
  <c r="O4" i="3" s="1"/>
  <c r="M5" i="3"/>
  <c r="O5" i="3" s="1" a="1"/>
  <c r="O5" i="3" s="1"/>
  <c r="M6" i="3"/>
  <c r="O6" i="3" s="1" a="1"/>
  <c r="O6" i="3" s="1"/>
  <c r="M7" i="3"/>
  <c r="O7" i="3" s="1" a="1"/>
  <c r="O7" i="3" s="1"/>
  <c r="M8" i="3"/>
  <c r="O8" i="3" s="1" a="1"/>
  <c r="O8" i="3" s="1"/>
  <c r="M9" i="3"/>
  <c r="O9" i="3" s="1" a="1"/>
  <c r="O9" i="3" s="1"/>
  <c r="M10" i="3"/>
  <c r="O10" i="3" s="1" a="1"/>
  <c r="O10" i="3" s="1"/>
  <c r="M11" i="3"/>
  <c r="O11" i="3" s="1" a="1"/>
  <c r="O11" i="3" s="1"/>
  <c r="M12" i="3"/>
  <c r="O12" i="3" s="1" a="1"/>
  <c r="O12" i="3" s="1"/>
  <c r="M13" i="3"/>
  <c r="O13" i="3" s="1" a="1"/>
  <c r="O13" i="3" s="1"/>
  <c r="M14" i="3"/>
  <c r="O14" i="3" s="1" a="1"/>
  <c r="O14" i="3" s="1"/>
  <c r="M15" i="3"/>
  <c r="O15" i="3" s="1" a="1"/>
  <c r="O15" i="3" s="1"/>
  <c r="M16" i="3"/>
  <c r="O16" i="3" s="1" a="1"/>
  <c r="O16" i="3" s="1"/>
  <c r="M17" i="3"/>
  <c r="O17" i="3" s="1" a="1"/>
  <c r="O17" i="3" s="1"/>
  <c r="M18" i="3"/>
  <c r="O18" i="3" s="1" a="1"/>
  <c r="O18" i="3" s="1"/>
  <c r="M19" i="3"/>
  <c r="O19" i="3" s="1" a="1"/>
  <c r="O19" i="3" s="1"/>
  <c r="M20" i="3"/>
  <c r="O20" i="3" s="1" a="1"/>
  <c r="O20" i="3" s="1"/>
  <c r="M21" i="3"/>
  <c r="O21" i="3" s="1" a="1"/>
  <c r="O21" i="3" s="1"/>
  <c r="M22" i="3"/>
  <c r="O22" i="3" s="1" a="1"/>
  <c r="O22" i="3" s="1"/>
  <c r="M23" i="3"/>
  <c r="O23" i="3" s="1" a="1"/>
  <c r="O23" i="3" s="1"/>
  <c r="M24" i="3"/>
  <c r="O24" i="3" s="1" a="1"/>
  <c r="O24" i="3" s="1"/>
  <c r="M25" i="3"/>
  <c r="O25" i="3" s="1" a="1"/>
  <c r="O25" i="3" s="1"/>
  <c r="M26" i="3"/>
  <c r="O26" i="3" s="1" a="1"/>
  <c r="O26" i="3" s="1"/>
  <c r="M27" i="3"/>
  <c r="O27" i="3" s="1" a="1"/>
  <c r="O27" i="3" s="1"/>
  <c r="M28" i="3"/>
  <c r="O28" i="3" s="1" a="1"/>
  <c r="O28" i="3" s="1"/>
  <c r="M29" i="3"/>
  <c r="O29" i="3" s="1" a="1"/>
  <c r="O29" i="3" s="1"/>
  <c r="M30" i="3"/>
  <c r="O30" i="3" s="1" a="1"/>
  <c r="O30" i="3" s="1"/>
  <c r="M31" i="3"/>
  <c r="O31" i="3" s="1" a="1"/>
  <c r="O31" i="3" s="1"/>
  <c r="M32" i="3"/>
  <c r="O32" i="3" s="1" a="1"/>
  <c r="O32" i="3" s="1"/>
  <c r="M33" i="3"/>
  <c r="O33" i="3" s="1" a="1"/>
  <c r="O33" i="3" s="1"/>
  <c r="M34" i="3"/>
  <c r="O34" i="3" s="1" a="1"/>
  <c r="O34" i="3" s="1"/>
  <c r="M35" i="3"/>
  <c r="O35" i="3" s="1" a="1"/>
  <c r="O35" i="3" s="1"/>
  <c r="M36" i="3"/>
  <c r="O36" i="3" s="1" a="1"/>
  <c r="O36" i="3" s="1"/>
  <c r="M37" i="3"/>
  <c r="O37" i="3" s="1" a="1"/>
  <c r="O37" i="3" s="1"/>
  <c r="M38" i="3"/>
  <c r="O38" i="3" s="1" a="1"/>
  <c r="O38" i="3" s="1"/>
  <c r="M39" i="3"/>
  <c r="O39" i="3" s="1" a="1"/>
  <c r="O39" i="3" s="1"/>
  <c r="M40" i="3"/>
  <c r="O40" i="3" s="1" a="1"/>
  <c r="O40" i="3" s="1"/>
  <c r="M41" i="3"/>
  <c r="O41" i="3" s="1" a="1"/>
  <c r="O41" i="3" s="1"/>
  <c r="M42" i="3"/>
  <c r="O42" i="3" s="1" a="1"/>
  <c r="O42" i="3" s="1"/>
  <c r="M43" i="3"/>
  <c r="O43" i="3" s="1" a="1"/>
  <c r="O43" i="3" s="1"/>
  <c r="M44" i="3"/>
  <c r="O44" i="3" s="1" a="1"/>
  <c r="O44" i="3" s="1"/>
  <c r="M45" i="3"/>
  <c r="O45" i="3" s="1" a="1"/>
  <c r="O45" i="3" s="1"/>
  <c r="M46" i="3"/>
  <c r="O46" i="3" s="1" a="1"/>
  <c r="O46" i="3" s="1"/>
  <c r="M47" i="3"/>
  <c r="O47" i="3" s="1" a="1"/>
  <c r="O47" i="3" s="1"/>
  <c r="M48" i="3"/>
  <c r="O48" i="3" s="1" a="1"/>
  <c r="O48" i="3" s="1"/>
  <c r="M49" i="3"/>
  <c r="O49" i="3" s="1" a="1"/>
  <c r="O49" i="3" s="1"/>
  <c r="M50" i="3"/>
  <c r="O50" i="3" s="1" a="1"/>
  <c r="O50" i="3" s="1"/>
  <c r="M51" i="3"/>
  <c r="O51" i="3" s="1" a="1"/>
  <c r="O51" i="3" s="1"/>
  <c r="M52" i="3"/>
  <c r="O52" i="3" s="1" a="1"/>
  <c r="O52" i="3" s="1"/>
  <c r="M53" i="3"/>
  <c r="O53" i="3" s="1" a="1"/>
  <c r="O53" i="3" s="1"/>
  <c r="M54" i="3"/>
  <c r="O54" i="3" s="1" a="1"/>
  <c r="O54" i="3" s="1"/>
  <c r="M55" i="3"/>
  <c r="O55" i="3" s="1" a="1"/>
  <c r="O55" i="3" s="1"/>
  <c r="M56" i="3"/>
  <c r="O56" i="3" s="1" a="1"/>
  <c r="O56" i="3" s="1"/>
  <c r="M57" i="3"/>
  <c r="O57" i="3" s="1" a="1"/>
  <c r="O57" i="3" s="1"/>
  <c r="M58" i="3"/>
  <c r="O58" i="3" s="1" a="1"/>
  <c r="O58" i="3" s="1"/>
  <c r="M59" i="3"/>
  <c r="O59" i="3" s="1" a="1"/>
  <c r="O59" i="3" s="1"/>
  <c r="M60" i="3"/>
  <c r="O60" i="3" s="1" a="1"/>
  <c r="O60" i="3" s="1"/>
  <c r="M61" i="3"/>
  <c r="O61" i="3" s="1" a="1"/>
  <c r="O61" i="3" s="1"/>
  <c r="M62" i="3"/>
  <c r="O62" i="3" s="1" a="1"/>
  <c r="O62" i="3" s="1"/>
  <c r="M63" i="3"/>
  <c r="O63" i="3" s="1" a="1"/>
  <c r="O63" i="3" s="1"/>
  <c r="M64" i="3"/>
  <c r="O64" i="3" s="1" a="1"/>
  <c r="O64" i="3" s="1"/>
  <c r="M65" i="3"/>
  <c r="O65" i="3" s="1" a="1"/>
  <c r="O65" i="3" s="1"/>
  <c r="M66" i="3"/>
  <c r="O66" i="3" s="1" a="1"/>
  <c r="O66" i="3" s="1"/>
  <c r="M67" i="3"/>
  <c r="O67" i="3" s="1" a="1"/>
  <c r="O67" i="3" s="1"/>
  <c r="M68" i="3"/>
  <c r="O68" i="3" s="1" a="1"/>
  <c r="O68" i="3" s="1"/>
  <c r="M69" i="3"/>
  <c r="O69" i="3" s="1" a="1"/>
  <c r="O69" i="3" s="1"/>
  <c r="M70" i="3"/>
  <c r="O70" i="3" s="1" a="1"/>
  <c r="O70" i="3" s="1"/>
  <c r="M71" i="3"/>
  <c r="O71" i="3" s="1" a="1"/>
  <c r="O71" i="3" s="1"/>
  <c r="M72" i="3"/>
  <c r="O72" i="3" s="1" a="1"/>
  <c r="O72" i="3" s="1"/>
  <c r="M73" i="3"/>
  <c r="O73" i="3" s="1" a="1"/>
  <c r="O73" i="3" s="1"/>
  <c r="M74" i="3"/>
  <c r="O74" i="3" s="1" a="1"/>
  <c r="O74" i="3" s="1"/>
  <c r="M75" i="3"/>
  <c r="O75" i="3" s="1" a="1"/>
  <c r="O75" i="3" s="1"/>
  <c r="M76" i="3"/>
  <c r="O76" i="3" s="1" a="1"/>
  <c r="O76" i="3" s="1"/>
  <c r="M77" i="3"/>
  <c r="O77" i="3" s="1" a="1"/>
  <c r="O77" i="3" s="1"/>
  <c r="M78" i="3"/>
  <c r="O78" i="3" s="1" a="1"/>
  <c r="O78" i="3" s="1"/>
  <c r="M79" i="3"/>
  <c r="O79" i="3" s="1" a="1"/>
  <c r="O79" i="3" s="1"/>
  <c r="M80" i="3"/>
  <c r="O80" i="3" s="1" a="1"/>
  <c r="O80" i="3" s="1"/>
  <c r="M81" i="3"/>
  <c r="O81" i="3" s="1" a="1"/>
  <c r="O81" i="3" s="1"/>
  <c r="M82" i="3"/>
  <c r="O82" i="3" s="1" a="1"/>
  <c r="O82" i="3" s="1"/>
  <c r="M83" i="3"/>
  <c r="O83" i="3" s="1" a="1"/>
  <c r="O83" i="3" s="1"/>
  <c r="M84" i="3"/>
  <c r="O84" i="3" s="1" a="1"/>
  <c r="O84" i="3" s="1"/>
  <c r="M85" i="3"/>
  <c r="O85" i="3" s="1" a="1"/>
  <c r="O85" i="3" s="1"/>
  <c r="M86" i="3"/>
  <c r="O86" i="3" s="1" a="1"/>
  <c r="O86" i="3" s="1"/>
  <c r="M87" i="3"/>
  <c r="O87" i="3" s="1" a="1"/>
  <c r="O87" i="3" s="1"/>
  <c r="M88" i="3"/>
  <c r="O88" i="3" s="1" a="1"/>
  <c r="O88" i="3" s="1"/>
  <c r="M89" i="3"/>
  <c r="O89" i="3" s="1" a="1"/>
  <c r="O89" i="3" s="1"/>
  <c r="M90" i="3"/>
  <c r="O90" i="3" s="1" a="1"/>
  <c r="O90" i="3" s="1"/>
  <c r="M91" i="3"/>
  <c r="O91" i="3" s="1" a="1"/>
  <c r="O91" i="3" s="1"/>
  <c r="M92" i="3"/>
  <c r="O92" i="3" s="1" a="1"/>
  <c r="O92" i="3" s="1"/>
  <c r="M93" i="3"/>
  <c r="O93" i="3" s="1" a="1"/>
  <c r="O93" i="3" s="1"/>
  <c r="M94" i="3"/>
  <c r="O94" i="3" s="1" a="1"/>
  <c r="O94" i="3" s="1"/>
  <c r="M95" i="3"/>
  <c r="O95" i="3" s="1" a="1"/>
  <c r="O95" i="3" s="1"/>
  <c r="M96" i="3"/>
  <c r="O96" i="3" s="1" a="1"/>
  <c r="O96" i="3" s="1"/>
  <c r="M97" i="3"/>
  <c r="O97" i="3" s="1" a="1"/>
  <c r="O97" i="3" s="1"/>
  <c r="M98" i="3"/>
  <c r="O98" i="3" s="1" a="1"/>
  <c r="O98" i="3" s="1"/>
  <c r="M99" i="3"/>
  <c r="O99" i="3" s="1" a="1"/>
  <c r="O99" i="3" s="1"/>
  <c r="M100" i="3"/>
  <c r="O100" i="3" s="1" a="1"/>
  <c r="O100" i="3" s="1"/>
  <c r="M101" i="3"/>
  <c r="O101" i="3" s="1" a="1"/>
  <c r="O101" i="3" s="1"/>
  <c r="M102" i="3"/>
  <c r="O102" i="3" s="1" a="1"/>
  <c r="O102" i="3" s="1"/>
  <c r="M103" i="3"/>
  <c r="O103" i="3" s="1" a="1"/>
  <c r="O103" i="3" s="1"/>
  <c r="M104" i="3"/>
  <c r="O104" i="3" s="1" a="1"/>
  <c r="O104" i="3" s="1"/>
  <c r="M105" i="3"/>
  <c r="O105" i="3" s="1" a="1"/>
  <c r="O105" i="3" s="1"/>
  <c r="M106" i="3"/>
  <c r="O106" i="3" s="1" a="1"/>
  <c r="O106" i="3" s="1"/>
  <c r="M107" i="3"/>
  <c r="O107" i="3" s="1" a="1"/>
  <c r="O107" i="3" s="1"/>
  <c r="M108" i="3"/>
  <c r="O108" i="3" s="1" a="1"/>
  <c r="O108" i="3" s="1"/>
  <c r="M109" i="3"/>
  <c r="O109" i="3" s="1" a="1"/>
  <c r="O109" i="3" s="1"/>
  <c r="M110" i="3"/>
  <c r="O110" i="3" s="1" a="1"/>
  <c r="O110" i="3" s="1"/>
  <c r="M111" i="3"/>
  <c r="O111" i="3" s="1" a="1"/>
  <c r="O111" i="3" s="1"/>
  <c r="M112" i="3"/>
  <c r="O112" i="3" s="1" a="1"/>
  <c r="O112" i="3" s="1"/>
  <c r="M113" i="3"/>
  <c r="O113" i="3" s="1" a="1"/>
  <c r="O113" i="3" s="1"/>
  <c r="M114" i="3"/>
  <c r="O114" i="3" s="1" a="1"/>
  <c r="O114" i="3" s="1"/>
  <c r="M115" i="3"/>
  <c r="O115" i="3" s="1" a="1"/>
  <c r="O115" i="3" s="1"/>
  <c r="M116" i="3"/>
  <c r="O116" i="3" s="1" a="1"/>
  <c r="O116" i="3" s="1"/>
  <c r="M117" i="3"/>
  <c r="O117" i="3" s="1" a="1"/>
  <c r="O117" i="3" s="1"/>
  <c r="M118" i="3"/>
  <c r="O118" i="3" s="1" a="1"/>
  <c r="O118" i="3" s="1"/>
  <c r="M119" i="3"/>
  <c r="O119" i="3" s="1" a="1"/>
  <c r="O119" i="3" s="1"/>
  <c r="M120" i="3"/>
  <c r="O120" i="3" s="1" a="1"/>
  <c r="O120" i="3" s="1"/>
  <c r="M121" i="3"/>
  <c r="O121" i="3" s="1" a="1"/>
  <c r="O121" i="3" s="1"/>
  <c r="M122" i="3"/>
  <c r="O122" i="3" s="1" a="1"/>
  <c r="O122" i="3" s="1"/>
  <c r="M123" i="3"/>
  <c r="O123" i="3" s="1" a="1"/>
  <c r="O123" i="3" s="1"/>
  <c r="M124" i="3"/>
  <c r="O124" i="3" s="1" a="1"/>
  <c r="O124" i="3" s="1"/>
  <c r="M125" i="3"/>
  <c r="O125" i="3" s="1" a="1"/>
  <c r="O125" i="3" s="1"/>
  <c r="M126" i="3"/>
  <c r="O126" i="3" s="1" a="1"/>
  <c r="O126" i="3" s="1"/>
  <c r="M127" i="3"/>
  <c r="O127" i="3" s="1" a="1"/>
  <c r="O127" i="3" s="1"/>
  <c r="M128" i="3"/>
  <c r="O128" i="3" s="1" a="1"/>
  <c r="O128" i="3" s="1"/>
  <c r="M129" i="3"/>
  <c r="O129" i="3" s="1" a="1"/>
  <c r="O129" i="3" s="1"/>
  <c r="M130" i="3"/>
  <c r="O130" i="3" s="1" a="1"/>
  <c r="O130" i="3" s="1"/>
  <c r="M131" i="3"/>
  <c r="O131" i="3" s="1" a="1"/>
  <c r="O131" i="3" s="1"/>
  <c r="M132" i="3"/>
  <c r="O132" i="3" s="1" a="1"/>
  <c r="O132" i="3" s="1"/>
  <c r="M133" i="3"/>
  <c r="O133" i="3" s="1" a="1"/>
  <c r="O133" i="3" s="1"/>
  <c r="M134" i="3"/>
  <c r="O134" i="3" s="1" a="1"/>
  <c r="O134" i="3" s="1"/>
  <c r="M135" i="3"/>
  <c r="O135" i="3" s="1" a="1"/>
  <c r="O135" i="3" s="1"/>
  <c r="M136" i="3"/>
  <c r="O136" i="3" s="1" a="1"/>
  <c r="O136" i="3" s="1"/>
  <c r="M137" i="3"/>
  <c r="O137" i="3" s="1" a="1"/>
  <c r="O137" i="3" s="1"/>
  <c r="M138" i="3"/>
  <c r="O138" i="3" s="1" a="1"/>
  <c r="O138" i="3" s="1"/>
  <c r="M139" i="3"/>
  <c r="O139" i="3" s="1" a="1"/>
  <c r="O139" i="3" s="1"/>
  <c r="M140" i="3"/>
  <c r="O140" i="3" s="1" a="1"/>
  <c r="O140" i="3" s="1"/>
  <c r="M141" i="3"/>
  <c r="O141" i="3" s="1" a="1"/>
  <c r="O141" i="3" s="1"/>
  <c r="M142" i="3"/>
  <c r="O142" i="3" s="1" a="1"/>
  <c r="O142" i="3" s="1"/>
  <c r="M143" i="3"/>
  <c r="O143" i="3" s="1" a="1"/>
  <c r="O143" i="3" s="1"/>
  <c r="M144" i="3"/>
  <c r="O144" i="3" s="1" a="1"/>
  <c r="O144" i="3" s="1"/>
  <c r="M145" i="3"/>
  <c r="O145" i="3" s="1" a="1"/>
  <c r="O145" i="3" s="1"/>
  <c r="M146" i="3"/>
  <c r="O146" i="3" s="1" a="1"/>
  <c r="O146" i="3" s="1"/>
  <c r="M147" i="3"/>
  <c r="O147" i="3" s="1" a="1"/>
  <c r="O147" i="3" s="1"/>
  <c r="M148" i="3"/>
  <c r="O148" i="3" s="1" a="1"/>
  <c r="O148" i="3" s="1"/>
  <c r="M149" i="3"/>
  <c r="O149" i="3" s="1" a="1"/>
  <c r="O149" i="3" s="1"/>
  <c r="M150" i="3"/>
  <c r="O150" i="3" s="1" a="1"/>
  <c r="O150" i="3" s="1"/>
  <c r="M151" i="3"/>
  <c r="O151" i="3" s="1" a="1"/>
  <c r="O151" i="3" s="1"/>
  <c r="K2" i="3" a="1"/>
  <c r="K2" i="3" s="1"/>
  <c r="N2" i="3" s="1" a="1"/>
  <c r="N2" i="3" s="1"/>
  <c r="K3" i="3" a="1"/>
  <c r="K3" i="3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N21" i="3" s="1" a="1"/>
  <c r="N21" i="3" s="1"/>
  <c r="K22" i="3" a="1"/>
  <c r="K22" i="3" s="1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B4" i="5"/>
  <c r="B9" i="5"/>
  <c r="B16" i="5"/>
  <c r="B8" i="5"/>
  <c r="B6" i="5"/>
  <c r="B20" i="5"/>
  <c r="B21" i="5"/>
  <c r="B13" i="5"/>
  <c r="B25" i="5"/>
  <c r="B14" i="5"/>
  <c r="B2" i="5"/>
  <c r="B24" i="5"/>
  <c r="B22" i="5"/>
  <c r="B3" i="5"/>
  <c r="B15" i="5"/>
  <c r="B12" i="5"/>
  <c r="B5" i="5"/>
  <c r="N14" i="10" l="1"/>
  <c r="O14" i="10" s="1"/>
  <c r="K16" i="10"/>
  <c r="L16" i="10"/>
  <c r="M16" i="10"/>
  <c r="N25" i="3" a="1"/>
  <c r="N25" i="3" s="1"/>
  <c r="N9" i="3" a="1"/>
  <c r="N9" i="3" s="1"/>
  <c r="N121" i="3" a="1"/>
  <c r="N121" i="3" s="1"/>
  <c r="N137" i="3" a="1"/>
  <c r="N137" i="3" s="1"/>
  <c r="N105" i="3" a="1"/>
  <c r="N105" i="3" s="1"/>
  <c r="N89" i="3" a="1"/>
  <c r="N89" i="3" s="1"/>
  <c r="N73" i="3" a="1"/>
  <c r="N73" i="3" s="1"/>
  <c r="N57" i="3" a="1"/>
  <c r="N57" i="3" s="1"/>
  <c r="N41" i="3" a="1"/>
  <c r="N41" i="3" s="1"/>
  <c r="N129" i="3" a="1"/>
  <c r="N129" i="3" s="1"/>
  <c r="N149" i="3" a="1"/>
  <c r="N149" i="3" s="1"/>
  <c r="N133" i="3" a="1"/>
  <c r="N133" i="3" s="1"/>
  <c r="N117" i="3" a="1"/>
  <c r="N117" i="3" s="1"/>
  <c r="N101" i="3" a="1"/>
  <c r="N101" i="3" s="1"/>
  <c r="N85" i="3" a="1"/>
  <c r="N85" i="3" s="1"/>
  <c r="N69" i="3" a="1"/>
  <c r="N69" i="3" s="1"/>
  <c r="N53" i="3" a="1"/>
  <c r="N53" i="3" s="1"/>
  <c r="N37" i="3" a="1"/>
  <c r="N37" i="3" s="1"/>
  <c r="N5" i="3" a="1"/>
  <c r="N5" i="3" s="1"/>
  <c r="N113" i="3" a="1"/>
  <c r="N113" i="3" s="1"/>
  <c r="N97" i="3" a="1"/>
  <c r="N97" i="3" s="1"/>
  <c r="N81" i="3" a="1"/>
  <c r="N81" i="3" s="1"/>
  <c r="N65" i="3" a="1"/>
  <c r="N65" i="3" s="1"/>
  <c r="N49" i="3" a="1"/>
  <c r="N49" i="3" s="1"/>
  <c r="N33" i="3" a="1"/>
  <c r="N33" i="3" s="1"/>
  <c r="N17" i="3" a="1"/>
  <c r="N17" i="3" s="1"/>
  <c r="N145" i="3" a="1"/>
  <c r="N145" i="3" s="1"/>
  <c r="N150" i="3" a="1"/>
  <c r="N150" i="3" s="1"/>
  <c r="N134" i="3" a="1"/>
  <c r="N134" i="3" s="1"/>
  <c r="N118" i="3" a="1"/>
  <c r="N118" i="3" s="1"/>
  <c r="N102" i="3" a="1"/>
  <c r="N102" i="3" s="1"/>
  <c r="N86" i="3" a="1"/>
  <c r="N86" i="3" s="1"/>
  <c r="N70" i="3" a="1"/>
  <c r="N70" i="3" s="1"/>
  <c r="N54" i="3" a="1"/>
  <c r="N54" i="3" s="1"/>
  <c r="N38" i="3" a="1"/>
  <c r="N38" i="3" s="1"/>
  <c r="N22" i="3" a="1"/>
  <c r="N22" i="3" s="1"/>
  <c r="N6" i="3" a="1"/>
  <c r="N6" i="3" s="1"/>
  <c r="N148" i="3" a="1"/>
  <c r="N148" i="3" s="1"/>
  <c r="N132" i="3" a="1"/>
  <c r="N132" i="3" s="1"/>
  <c r="N116" i="3" a="1"/>
  <c r="N116" i="3" s="1"/>
  <c r="N100" i="3" a="1"/>
  <c r="N100" i="3" s="1"/>
  <c r="N84" i="3" a="1"/>
  <c r="N84" i="3" s="1"/>
  <c r="N68" i="3" a="1"/>
  <c r="N68" i="3" s="1"/>
  <c r="N52" i="3" a="1"/>
  <c r="N52" i="3" s="1"/>
  <c r="N36" i="3" a="1"/>
  <c r="N36" i="3" s="1"/>
  <c r="N20" i="3" a="1"/>
  <c r="N20" i="3" s="1"/>
  <c r="N4" i="3" a="1"/>
  <c r="N4" i="3" s="1"/>
  <c r="N147" i="3" a="1"/>
  <c r="N147" i="3" s="1"/>
  <c r="N131" i="3" a="1"/>
  <c r="N131" i="3" s="1"/>
  <c r="N115" i="3" a="1"/>
  <c r="N115" i="3" s="1"/>
  <c r="N99" i="3" a="1"/>
  <c r="N99" i="3" s="1"/>
  <c r="N83" i="3" a="1"/>
  <c r="N83" i="3" s="1"/>
  <c r="N67" i="3" a="1"/>
  <c r="N67" i="3" s="1"/>
  <c r="N51" i="3" a="1"/>
  <c r="N51" i="3" s="1"/>
  <c r="N35" i="3" a="1"/>
  <c r="N35" i="3" s="1"/>
  <c r="N19" i="3" a="1"/>
  <c r="N19" i="3" s="1"/>
  <c r="N3" i="3" a="1"/>
  <c r="N3" i="3" s="1"/>
  <c r="N146" i="3" a="1"/>
  <c r="N146" i="3" s="1"/>
  <c r="N130" i="3" a="1"/>
  <c r="N130" i="3" s="1"/>
  <c r="N114" i="3" a="1"/>
  <c r="N114" i="3" s="1"/>
  <c r="N98" i="3" a="1"/>
  <c r="N98" i="3" s="1"/>
  <c r="N82" i="3" a="1"/>
  <c r="N82" i="3" s="1"/>
  <c r="N66" i="3" a="1"/>
  <c r="N66" i="3" s="1"/>
  <c r="N50" i="3" a="1"/>
  <c r="N50" i="3" s="1"/>
  <c r="N34" i="3" a="1"/>
  <c r="N34" i="3" s="1"/>
  <c r="N18" i="3" a="1"/>
  <c r="N18" i="3" s="1"/>
  <c r="N144" i="3" a="1"/>
  <c r="N144" i="3" s="1"/>
  <c r="N128" i="3" a="1"/>
  <c r="N128" i="3" s="1"/>
  <c r="N112" i="3" a="1"/>
  <c r="N112" i="3" s="1"/>
  <c r="N96" i="3" a="1"/>
  <c r="N96" i="3" s="1"/>
  <c r="N80" i="3" a="1"/>
  <c r="N80" i="3" s="1"/>
  <c r="N64" i="3" a="1"/>
  <c r="N64" i="3" s="1"/>
  <c r="N48" i="3" a="1"/>
  <c r="N48" i="3" s="1"/>
  <c r="N32" i="3" a="1"/>
  <c r="N32" i="3" s="1"/>
  <c r="N16" i="3" a="1"/>
  <c r="N16" i="3" s="1"/>
  <c r="N143" i="3" a="1"/>
  <c r="N143" i="3" s="1"/>
  <c r="N127" i="3" a="1"/>
  <c r="N127" i="3" s="1"/>
  <c r="N111" i="3" a="1"/>
  <c r="N111" i="3" s="1"/>
  <c r="N95" i="3" a="1"/>
  <c r="N95" i="3" s="1"/>
  <c r="N79" i="3" a="1"/>
  <c r="N79" i="3" s="1"/>
  <c r="N63" i="3" a="1"/>
  <c r="N63" i="3" s="1"/>
  <c r="N47" i="3" a="1"/>
  <c r="N47" i="3" s="1"/>
  <c r="N31" i="3" a="1"/>
  <c r="N31" i="3" s="1"/>
  <c r="N15" i="3" a="1"/>
  <c r="N15" i="3" s="1"/>
  <c r="N142" i="3" a="1"/>
  <c r="N142" i="3" s="1"/>
  <c r="N126" i="3" a="1"/>
  <c r="N126" i="3" s="1"/>
  <c r="N110" i="3" a="1"/>
  <c r="N110" i="3" s="1"/>
  <c r="N94" i="3" a="1"/>
  <c r="N94" i="3" s="1"/>
  <c r="N78" i="3" a="1"/>
  <c r="N78" i="3" s="1"/>
  <c r="N62" i="3" a="1"/>
  <c r="N62" i="3" s="1"/>
  <c r="N46" i="3" a="1"/>
  <c r="N46" i="3" s="1"/>
  <c r="N30" i="3" a="1"/>
  <c r="N30" i="3" s="1"/>
  <c r="N14" i="3" a="1"/>
  <c r="N14" i="3" s="1"/>
  <c r="N141" i="3" a="1"/>
  <c r="N141" i="3" s="1"/>
  <c r="N125" i="3" a="1"/>
  <c r="N125" i="3" s="1"/>
  <c r="N109" i="3" a="1"/>
  <c r="N109" i="3" s="1"/>
  <c r="N93" i="3" a="1"/>
  <c r="N93" i="3" s="1"/>
  <c r="N77" i="3" a="1"/>
  <c r="N77" i="3" s="1"/>
  <c r="N61" i="3" a="1"/>
  <c r="N61" i="3" s="1"/>
  <c r="N45" i="3" a="1"/>
  <c r="N45" i="3" s="1"/>
  <c r="N29" i="3" a="1"/>
  <c r="N29" i="3" s="1"/>
  <c r="N13" i="3" a="1"/>
  <c r="N13" i="3" s="1"/>
  <c r="N140" i="3" a="1"/>
  <c r="N140" i="3" s="1"/>
  <c r="N124" i="3" a="1"/>
  <c r="N124" i="3" s="1"/>
  <c r="N108" i="3" a="1"/>
  <c r="N108" i="3" s="1"/>
  <c r="N92" i="3" a="1"/>
  <c r="N92" i="3" s="1"/>
  <c r="N76" i="3" a="1"/>
  <c r="N76" i="3" s="1"/>
  <c r="N60" i="3" a="1"/>
  <c r="N60" i="3" s="1"/>
  <c r="N44" i="3" a="1"/>
  <c r="N44" i="3" s="1"/>
  <c r="N28" i="3" a="1"/>
  <c r="N28" i="3" s="1"/>
  <c r="N12" i="3" a="1"/>
  <c r="N12" i="3" s="1"/>
  <c r="N139" i="3" a="1"/>
  <c r="N139" i="3" s="1"/>
  <c r="N123" i="3" a="1"/>
  <c r="N123" i="3" s="1"/>
  <c r="N107" i="3" a="1"/>
  <c r="N107" i="3" s="1"/>
  <c r="N91" i="3" a="1"/>
  <c r="N91" i="3" s="1"/>
  <c r="N75" i="3" a="1"/>
  <c r="N75" i="3" s="1"/>
  <c r="N59" i="3" a="1"/>
  <c r="N59" i="3" s="1"/>
  <c r="N43" i="3" a="1"/>
  <c r="N43" i="3" s="1"/>
  <c r="N27" i="3" a="1"/>
  <c r="N27" i="3" s="1"/>
  <c r="N11" i="3" a="1"/>
  <c r="N11" i="3" s="1"/>
  <c r="N138" i="3" a="1"/>
  <c r="N138" i="3" s="1"/>
  <c r="N122" i="3" a="1"/>
  <c r="N122" i="3" s="1"/>
  <c r="N106" i="3" a="1"/>
  <c r="N106" i="3" s="1"/>
  <c r="N90" i="3" a="1"/>
  <c r="N90" i="3" s="1"/>
  <c r="N74" i="3" a="1"/>
  <c r="N74" i="3" s="1"/>
  <c r="N58" i="3" a="1"/>
  <c r="N58" i="3" s="1"/>
  <c r="N42" i="3" a="1"/>
  <c r="N42" i="3" s="1"/>
  <c r="N26" i="3" a="1"/>
  <c r="N26" i="3" s="1"/>
  <c r="N10" i="3" a="1"/>
  <c r="N10" i="3" s="1"/>
  <c r="N136" i="3" a="1"/>
  <c r="N136" i="3" s="1"/>
  <c r="N120" i="3" a="1"/>
  <c r="N120" i="3" s="1"/>
  <c r="N104" i="3" a="1"/>
  <c r="N104" i="3" s="1"/>
  <c r="N88" i="3" a="1"/>
  <c r="N88" i="3" s="1"/>
  <c r="N72" i="3" a="1"/>
  <c r="N72" i="3" s="1"/>
  <c r="N56" i="3" a="1"/>
  <c r="N56" i="3" s="1"/>
  <c r="N40" i="3" a="1"/>
  <c r="N40" i="3" s="1"/>
  <c r="N24" i="3" a="1"/>
  <c r="N24" i="3" s="1"/>
  <c r="N8" i="3" a="1"/>
  <c r="N8" i="3" s="1"/>
  <c r="N151" i="3" a="1"/>
  <c r="N151" i="3" s="1"/>
  <c r="N135" i="3" a="1"/>
  <c r="N135" i="3" s="1"/>
  <c r="N119" i="3" a="1"/>
  <c r="N119" i="3" s="1"/>
  <c r="N103" i="3" a="1"/>
  <c r="N103" i="3" s="1"/>
  <c r="N87" i="3" a="1"/>
  <c r="N87" i="3" s="1"/>
  <c r="N71" i="3" a="1"/>
  <c r="N71" i="3" s="1"/>
  <c r="N55" i="3" a="1"/>
  <c r="N55" i="3" s="1"/>
  <c r="N39" i="3" a="1"/>
  <c r="N39" i="3" s="1"/>
  <c r="N23" i="3" a="1"/>
  <c r="N23" i="3" s="1"/>
  <c r="N7" i="3" a="1"/>
  <c r="N7" i="3" s="1"/>
  <c r="N16" i="10" l="1"/>
  <c r="P14" i="10"/>
  <c r="O16" i="10"/>
  <c r="P16" i="10" l="1"/>
  <c r="Q14" i="10"/>
  <c r="Q16" i="10" l="1"/>
  <c r="R14" i="10"/>
  <c r="S14" i="10" l="1"/>
  <c r="R16" i="10"/>
  <c r="T14" i="10" l="1"/>
  <c r="S16" i="10"/>
  <c r="T16" i="10" l="1"/>
  <c r="U14" i="10"/>
  <c r="V14" i="10" l="1"/>
  <c r="U16" i="10"/>
  <c r="W14" i="10" l="1"/>
  <c r="V16" i="10"/>
  <c r="X14" i="10" l="1"/>
  <c r="X16" i="10" s="1"/>
  <c r="W16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7CB762-CA46-41C1-A949-3030F2D45730}" name="Consulta - DimCalendar" description="Conexión a la consulta 'DimCalendar' en el libro." type="100" refreshedVersion="8" minRefreshableVersion="5">
    <extLst>
      <ext xmlns:x15="http://schemas.microsoft.com/office/spreadsheetml/2010/11/main" uri="{DE250136-89BD-433C-8126-D09CA5730AF9}">
        <x15:connection id="21060ef3-1432-4f9a-a800-b8b720a20a8f"/>
      </ext>
    </extLst>
  </connection>
  <connection id="2" xr16:uid="{A5BB1653-DEFF-4E0A-9814-F5FE6F30DAA2}" name="Consulta - DimItems" description="Conexión a la consulta 'DimItems' en el libro." type="100" refreshedVersion="8" minRefreshableVersion="5">
    <extLst>
      <ext xmlns:x15="http://schemas.microsoft.com/office/spreadsheetml/2010/11/main" uri="{DE250136-89BD-433C-8126-D09CA5730AF9}">
        <x15:connection id="e823354e-9325-4200-8a8f-e28ac64af18a"/>
      </ext>
    </extLst>
  </connection>
  <connection id="3" xr16:uid="{D6C39037-401A-4578-B7A2-0370D8998696}" name="Consulta - DimOwner" description="Conexión a la consulta 'DimOwner' en el libro." type="100" refreshedVersion="8" minRefreshableVersion="5">
    <extLst>
      <ext xmlns:x15="http://schemas.microsoft.com/office/spreadsheetml/2010/11/main" uri="{DE250136-89BD-433C-8126-D09CA5730AF9}">
        <x15:connection id="a2bac7ce-e7fd-4128-b46d-425e71e7ef47"/>
      </ext>
    </extLst>
  </connection>
  <connection id="4" xr16:uid="{D1DEA318-172A-47EA-A3C9-A2BAC1F1EB1C}" name="Consulta - DimProject" description="Conexión a la consulta 'DimProject' en el libro." type="100" refreshedVersion="8" minRefreshableVersion="5">
    <extLst>
      <ext xmlns:x15="http://schemas.microsoft.com/office/spreadsheetml/2010/11/main" uri="{DE250136-89BD-433C-8126-D09CA5730AF9}">
        <x15:connection id="7e1a2e3f-7e1f-4f07-997a-e4c9086f2693"/>
      </ext>
    </extLst>
  </connection>
  <connection id="5" xr16:uid="{B3008E9A-552F-4708-B328-0DEEDA0047B3}" name="Consulta - DimProjectManagement" description="Conexión a la consulta 'DimProjectManagement' en el libro." type="100" refreshedVersion="8" minRefreshableVersion="5">
    <extLst>
      <ext xmlns:x15="http://schemas.microsoft.com/office/spreadsheetml/2010/11/main" uri="{DE250136-89BD-433C-8126-D09CA5730AF9}">
        <x15:connection id="a43364ae-b731-4f17-a42b-95effb7c73d2"/>
      </ext>
    </extLst>
  </connection>
  <connection id="6" xr16:uid="{86378D1D-3384-41B1-8FD3-0ED669EE931D}" name="Consulta - FactProgress" description="Conexión a la consulta 'FactProgress' en el libro." type="100" refreshedVersion="8" minRefreshableVersion="5">
    <extLst>
      <ext xmlns:x15="http://schemas.microsoft.com/office/spreadsheetml/2010/11/main" uri="{DE250136-89BD-433C-8126-D09CA5730AF9}">
        <x15:connection id="3f7a56cc-de4d-4f19-a071-8a71f8889113"/>
      </ext>
    </extLst>
  </connection>
  <connection id="7" xr16:uid="{8637FA20-CE8B-4ECE-8E3E-36C956DF6946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8">
    <s v="ThisWorkbookDataModel"/>
    <s v="[Measures].[#Budget]"/>
    <s v="&quot;S/&quot; #,0.00;-&quot;S/&quot; #,0.00;&quot;S/&quot; #,0.00"/>
    <s v="[Measures].[#Actual Cost]"/>
    <s v="[Measures].[#Planned Cost]"/>
    <s v="[Measures].[#Real Progress(%)]"/>
    <s v="0.00 %;-0.00 %;0.00 %"/>
    <s v="[Measures].[#At-Risk Projects]"/>
    <s v="[Measures].[#BudgetvsActual]"/>
    <s v="[Measures].[#Cost Progress(%)]"/>
    <s v="{[DimProject].[Name_Project].[All]}"/>
    <s v="{[DimProject].[Project_Type].[All]}"/>
    <s v="[Measures].[#Total Projects]"/>
    <s v="[Measures].[#Total Items]"/>
    <s v="[Measures].[#Temporary Works Progress]"/>
    <s v="[Measures].[#Structural Works Progress]"/>
    <s v="[Measures].[#MEP Progress]"/>
    <s v="[Measures].[#Finishes Progress]"/>
    <s v="[Measures].[#Critical Items]"/>
    <s v="{[DimItems].[Phase].[All]}"/>
    <s v="[Measures].[#Planned_DateMin]"/>
    <s v="d &quot;de&quot; MMMM &quot;de&quot; yyyy"/>
    <s v="[Measures].[#Planned_DateMax]"/>
    <s v="[Measures].[#Planned Days]"/>
    <s v="0"/>
    <s v="[Measures].[#Total Days Overdue]"/>
    <s v="[Measures].[#CV]"/>
    <s v="{[DimProject].[Name_Project].&amp;[Almacenes Callao]}"/>
  </metadataStrings>
  <mdxMetadata count="20">
    <mdx n="0" f="v">
      <t c="3" si="2">
        <n x="1"/>
        <n x="10" s="1"/>
        <n x="11" s="1"/>
      </t>
    </mdx>
    <mdx n="0" f="v">
      <t c="3" si="2">
        <n x="4"/>
        <n x="10" s="1"/>
        <n x="11" s="1"/>
      </t>
    </mdx>
    <mdx n="0" f="v">
      <t c="3" si="2">
        <n x="3"/>
        <n x="10" s="1"/>
        <n x="11" s="1"/>
      </t>
    </mdx>
    <mdx n="0" f="v">
      <t c="3" si="6">
        <n x="5"/>
        <n x="10" s="1"/>
        <n x="11" s="1"/>
      </t>
    </mdx>
    <mdx n="0" f="v">
      <t c="3" fi="0">
        <n x="7"/>
        <n x="10" s="1"/>
        <n x="11" s="1"/>
      </t>
    </mdx>
    <mdx n="0" f="v">
      <t c="3" si="6">
        <n x="8"/>
        <n x="10" s="1"/>
        <n x="11" s="1"/>
      </t>
    </mdx>
    <mdx n="0" f="v">
      <t c="3" si="6">
        <n x="9"/>
        <n x="10" s="1"/>
        <n x="11" s="1"/>
      </t>
    </mdx>
    <mdx n="0" f="v">
      <t c="2" fi="0">
        <n x="12"/>
        <n x="11" s="1"/>
      </t>
    </mdx>
    <mdx n="0" f="v">
      <t c="2" si="24">
        <n x="25"/>
        <n x="27" s="1"/>
      </t>
    </mdx>
    <mdx n="0" f="v">
      <t c="2" si="21">
        <n x="20"/>
        <n x="27" s="1"/>
      </t>
    </mdx>
    <mdx n="0" f="v">
      <t c="2" si="21">
        <n x="22"/>
        <n x="27" s="1"/>
      </t>
    </mdx>
    <mdx n="0" f="v">
      <t c="2" si="6">
        <n x="26"/>
        <n x="27" s="1"/>
      </t>
    </mdx>
    <mdx n="0" f="v">
      <t c="2" si="6">
        <n x="5"/>
        <n x="27" s="1"/>
      </t>
    </mdx>
    <mdx n="0" f="v">
      <t c="2" si="24">
        <n x="23"/>
        <n x="27" s="1"/>
      </t>
    </mdx>
    <mdx n="0" f="v">
      <t c="4" fi="0">
        <n x="18"/>
        <n x="11" s="1"/>
        <n x="10" s="1"/>
        <n x="19" s="1"/>
      </t>
    </mdx>
    <mdx n="0" f="v">
      <t c="3" si="6">
        <n x="17"/>
        <n x="11" s="1"/>
        <n x="10" s="1"/>
      </t>
    </mdx>
    <mdx n="0" f="v">
      <t c="3" si="6">
        <n x="14"/>
        <n x="11" s="1"/>
        <n x="10" s="1"/>
      </t>
    </mdx>
    <mdx n="0" f="v">
      <t c="3" si="6">
        <n x="15"/>
        <n x="11" s="1"/>
        <n x="10" s="1"/>
      </t>
    </mdx>
    <mdx n="0" f="v">
      <t c="3" si="6">
        <n x="16"/>
        <n x="11" s="1"/>
        <n x="10" s="1"/>
      </t>
    </mdx>
    <mdx n="0" f="v">
      <t c="4" fi="0">
        <n x="13"/>
        <n x="11" s="1"/>
        <n x="10" s="1"/>
        <n x="19" s="1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2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</valueMetadata>
</metadata>
</file>

<file path=xl/sharedStrings.xml><?xml version="1.0" encoding="utf-8"?>
<sst xmlns="http://schemas.openxmlformats.org/spreadsheetml/2006/main" count="318" uniqueCount="175">
  <si>
    <t>Edificio Residencial San Isidro</t>
  </si>
  <si>
    <t>San Isidro, Lima</t>
  </si>
  <si>
    <t>Multifamiliar</t>
  </si>
  <si>
    <t>Condominio Las Praderas</t>
  </si>
  <si>
    <t>Carabayllo, Lima</t>
  </si>
  <si>
    <t>Interés Social</t>
  </si>
  <si>
    <t>Centro Empresarial Miraflores</t>
  </si>
  <si>
    <t>Miraflores, Lima</t>
  </si>
  <si>
    <t>Oficinas</t>
  </si>
  <si>
    <t>ID_Project</t>
  </si>
  <si>
    <t>Name_Project</t>
  </si>
  <si>
    <t>Location</t>
  </si>
  <si>
    <t>Project_Type</t>
  </si>
  <si>
    <t>Parking_Number</t>
  </si>
  <si>
    <t>Dpto_Number</t>
  </si>
  <si>
    <t>Floor_Number</t>
  </si>
  <si>
    <t>Covered_area</t>
  </si>
  <si>
    <t>Budget</t>
  </si>
  <si>
    <t>m2</t>
  </si>
  <si>
    <t>Global</t>
  </si>
  <si>
    <t>m3</t>
  </si>
  <si>
    <t>m</t>
  </si>
  <si>
    <t>Und</t>
  </si>
  <si>
    <t>ID_Item</t>
  </si>
  <si>
    <t>Phase</t>
  </si>
  <si>
    <t>Description</t>
  </si>
  <si>
    <t>Unit_of_measurement</t>
  </si>
  <si>
    <t>ID_Reg</t>
  </si>
  <si>
    <t>ID_Predecessor</t>
  </si>
  <si>
    <t>Planned_StartDate</t>
  </si>
  <si>
    <t>Real_StartDate</t>
  </si>
  <si>
    <t>Real_EndDate</t>
  </si>
  <si>
    <t>Expected_Cost</t>
  </si>
  <si>
    <t>Real_Cost</t>
  </si>
  <si>
    <t>Plaza Comercial Surco</t>
  </si>
  <si>
    <t>Santiago de Surco, Lima</t>
  </si>
  <si>
    <t>Comercial</t>
  </si>
  <si>
    <t>Torre Lince Park</t>
  </si>
  <si>
    <t>Lince, Lima</t>
  </si>
  <si>
    <t>Almacenes Callao</t>
  </si>
  <si>
    <t>Callao</t>
  </si>
  <si>
    <t>Industrial</t>
  </si>
  <si>
    <t>Residencial Los Parques</t>
  </si>
  <si>
    <t>Ate, Lima</t>
  </si>
  <si>
    <t>Edificio Costanera</t>
  </si>
  <si>
    <t>Magdalena, Lima</t>
  </si>
  <si>
    <t>Clínica San Borja</t>
  </si>
  <si>
    <t>San Borja, Lima</t>
  </si>
  <si>
    <t>Salud</t>
  </si>
  <si>
    <t>Condominio La Marina</t>
  </si>
  <si>
    <t>Chorrillos, Lima</t>
  </si>
  <si>
    <t>Real Progress(%)</t>
  </si>
  <si>
    <t>Theoretical Progress(%)</t>
  </si>
  <si>
    <t>Planned_EndDate</t>
  </si>
  <si>
    <t>OVERVIEW</t>
  </si>
  <si>
    <t>Id_Owner</t>
  </si>
  <si>
    <t>Owner_Name</t>
  </si>
  <si>
    <t>Alberto Castro</t>
  </si>
  <si>
    <t>Rubén Mejía</t>
  </si>
  <si>
    <t>Miranda Rojas</t>
  </si>
  <si>
    <t>Paul Wagner</t>
  </si>
  <si>
    <t>Miguel Tomasevich</t>
  </si>
  <si>
    <t>Marco Parra</t>
  </si>
  <si>
    <t>Sergio Gómez</t>
  </si>
  <si>
    <t>Pedro Torres</t>
  </si>
  <si>
    <t>Frank Osorio</t>
  </si>
  <si>
    <t>Julio Tello</t>
  </si>
  <si>
    <t>Giuliano Maguil</t>
  </si>
  <si>
    <t>Francisco Domínguez</t>
  </si>
  <si>
    <t>Mariano Paz</t>
  </si>
  <si>
    <t>Robeerto Rodríguez</t>
  </si>
  <si>
    <t>Pablo García</t>
  </si>
  <si>
    <t>José Garriazo</t>
  </si>
  <si>
    <t>Felciano Alcántara</t>
  </si>
  <si>
    <t>Juan Barrón</t>
  </si>
  <si>
    <t>Felipe Ugarteche</t>
  </si>
  <si>
    <t>Sonia Serpa</t>
  </si>
  <si>
    <t>Mónica Chavesta</t>
  </si>
  <si>
    <t>Nicole Tamariz</t>
  </si>
  <si>
    <t>Paul Montenegro</t>
  </si>
  <si>
    <t>Adrian Lázazo</t>
  </si>
  <si>
    <t>Ezequiel Villar</t>
  </si>
  <si>
    <t>Paola Doneda</t>
  </si>
  <si>
    <t>Gema Elera</t>
  </si>
  <si>
    <t>William Zapata</t>
  </si>
  <si>
    <t>Fiorella Castellano</t>
  </si>
  <si>
    <t>Jessica Armas</t>
  </si>
  <si>
    <t>Id_PM</t>
  </si>
  <si>
    <t>PM_Name</t>
  </si>
  <si>
    <t>Alejandro Schuller</t>
  </si>
  <si>
    <t>Rebeca Copello</t>
  </si>
  <si>
    <t>María Dyer</t>
  </si>
  <si>
    <t>Lorelei Dechamps</t>
  </si>
  <si>
    <t>Mirtha Miroquesada</t>
  </si>
  <si>
    <t>Rafael Santos</t>
  </si>
  <si>
    <t>Mirko Barajas</t>
  </si>
  <si>
    <t>Id_OwnerTask</t>
  </si>
  <si>
    <t>Alert Progress</t>
  </si>
  <si>
    <t>Cost Progress(%)</t>
  </si>
  <si>
    <t>Alert Cost</t>
  </si>
  <si>
    <t>CPI</t>
  </si>
  <si>
    <t>Plan Today</t>
  </si>
  <si>
    <t>Planned Days</t>
  </si>
  <si>
    <t>Real Today</t>
  </si>
  <si>
    <t>Real Days</t>
  </si>
  <si>
    <t xml:space="preserve"> =CAMBIAR(VERDADERO,
ESBLANCO([@[Planned_EndDate]]),0,
HOY()&gt;=[@[Planned_EndDate]],1,
HOY()&lt;[@[Planned_StartDate]],0,
E2="",0,
(HOY()-[@[Planned_StartDate]])/([@[Planned_EndDate]]-[@[Planned_StartDate]]))</t>
  </si>
  <si>
    <t xml:space="preserve"> =CAMBIAR(VERDADERO,[@[Real_EndDate]]&lt;&gt;"",1,[@[Real_StartDate]]="",0,[@[Real_EndDate]]&gt;=HOY(),1,MAX(0,(HOY()-[@[Real_StartDate]])/([@[Real_EndDate]]-[@[Real_StartDate]])))</t>
  </si>
  <si>
    <t>Critical</t>
  </si>
  <si>
    <t>On schedule</t>
  </si>
  <si>
    <t>Behind schedule</t>
  </si>
  <si>
    <t>Cost Efficiency</t>
  </si>
  <si>
    <t>Unexpended budget</t>
  </si>
  <si>
    <t>Excellent</t>
  </si>
  <si>
    <t>Good</t>
  </si>
  <si>
    <t>Warning</t>
  </si>
  <si>
    <t>On budget</t>
  </si>
  <si>
    <t>Moderate cost overrun</t>
  </si>
  <si>
    <t>KPI CPI</t>
  </si>
  <si>
    <t>KPI Progress</t>
  </si>
  <si>
    <t>KPI Cost</t>
  </si>
  <si>
    <t>Project Name</t>
  </si>
  <si>
    <t>Planned Cost</t>
  </si>
  <si>
    <t>Actual Cost</t>
  </si>
  <si>
    <t>Actual Progress(%)</t>
  </si>
  <si>
    <t>Total Projects</t>
  </si>
  <si>
    <t>Total Budget</t>
  </si>
  <si>
    <t>Total Actual Cost</t>
  </si>
  <si>
    <t>Total Planned Cost</t>
  </si>
  <si>
    <t>At-Risk Projects</t>
  </si>
  <si>
    <t>Budget vs. Actual (BvA)</t>
  </si>
  <si>
    <t>Planned vs. Actual (PvA)</t>
  </si>
  <si>
    <t>PM</t>
  </si>
  <si>
    <t>PHASE &amp; LINES</t>
  </si>
  <si>
    <t>Total Items</t>
  </si>
  <si>
    <t>Temporary Works Progress</t>
  </si>
  <si>
    <t>Structural Works Progress</t>
  </si>
  <si>
    <t>MEP Progress</t>
  </si>
  <si>
    <t>Finishes Progress</t>
  </si>
  <si>
    <t>Critical Items</t>
  </si>
  <si>
    <t xml:space="preserve">Item </t>
  </si>
  <si>
    <t>Planned Progress</t>
  </si>
  <si>
    <t>Actual Progress</t>
  </si>
  <si>
    <t>1. Obras Provisionales</t>
  </si>
  <si>
    <t>2. Estructuras</t>
  </si>
  <si>
    <t>3. Instalaciones</t>
  </si>
  <si>
    <t>4. Acabados</t>
  </si>
  <si>
    <t>5. Cierre</t>
  </si>
  <si>
    <t>1. Limpieza de Terreno y Cerco</t>
  </si>
  <si>
    <t>2. Caseta de Guardiania y Almacen</t>
  </si>
  <si>
    <t>3. Excavacion y Movimiento de Tierras</t>
  </si>
  <si>
    <t>4. Cimentacion y Zapatas</t>
  </si>
  <si>
    <t>5. Columnas y Vigas de Concreto</t>
  </si>
  <si>
    <t>6. Losa Aligerada y Techos</t>
  </si>
  <si>
    <t>7. Tuberias Sanitarias y Desague</t>
  </si>
  <si>
    <t>8. Cableado y Tableros Electricos</t>
  </si>
  <si>
    <t>9. Red de Gas Natural</t>
  </si>
  <si>
    <t>10. Tarrajeo y Revoques</t>
  </si>
  <si>
    <t>11. Colocacion de Pisos y Porcelanato</t>
  </si>
  <si>
    <t>12. Instalacion de Ventaneria y Vidrios</t>
  </si>
  <si>
    <t>13. Pintura Interior y Fachada</t>
  </si>
  <si>
    <t>14. Limpieza Final de Obra</t>
  </si>
  <si>
    <t>15. Entrega de Llaves y Post-Venta</t>
  </si>
  <si>
    <t>Task</t>
  </si>
  <si>
    <t>GANTT VIEW</t>
  </si>
  <si>
    <t>Planned Start Date</t>
  </si>
  <si>
    <t>Planned End Date</t>
  </si>
  <si>
    <t>Actual Start Date</t>
  </si>
  <si>
    <t>Actual End Date</t>
  </si>
  <si>
    <t>Owner Task</t>
  </si>
  <si>
    <t>Radio button "Project start" - "A month ago"</t>
  </si>
  <si>
    <t>Planned Duration</t>
  </si>
  <si>
    <t>Days of Delay</t>
  </si>
  <si>
    <t>Cost Variance(%)</t>
  </si>
  <si>
    <t>Today</t>
  </si>
  <si>
    <t>Scroll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</si>
</sst>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S/&quot;\ #,##0.00"/>
    <numFmt numFmtId="165" formatCode="0.00\ %;\-0.00\ %;0.00\ %"/>
    <numFmt numFmtId="166" formatCode="&quot;S/&quot;\ #,##0"/>
    <numFmt numFmtId="167" formatCode="[$-280A]d&quot; de &quot;mmmm&quot; de &quot;yyyy;@"/>
    <numFmt numFmtId="168" formatCode="dd/mm/yyyy;@"/>
    <numFmt numFmtId="169" formatCode="[$-F800]dddd\,\ mmmm\ dd\,\ yyyy"/>
  </numFmts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7"/>
      <color theme="0"/>
      <name val="Segoe UI"/>
      <family val="2"/>
    </font>
    <font>
      <sz val="7"/>
      <color theme="1"/>
      <name val="Aptos Narrow"/>
      <family val="2"/>
      <scheme val="minor"/>
    </font>
    <font>
      <sz val="7"/>
      <color theme="0"/>
      <name val="Aptos Narrow"/>
      <family val="2"/>
      <scheme val="minor"/>
    </font>
    <font>
      <b/>
      <sz val="7"/>
      <color rgb="FF495057"/>
      <name val="Aptos Narrow"/>
      <family val="2"/>
      <scheme val="minor"/>
    </font>
    <font>
      <b/>
      <sz val="7"/>
      <color rgb="FFF2F2F2"/>
      <name val="Aptos Narrow"/>
      <family val="2"/>
      <scheme val="minor"/>
    </font>
    <font>
      <sz val="10"/>
      <name val="Aptos Narrow"/>
      <family val="2"/>
      <scheme val="minor"/>
    </font>
    <font>
      <sz val="8"/>
      <name val="Segoe UI"/>
      <family val="2"/>
    </font>
    <font>
      <sz val="8"/>
      <color rgb="FFE9ECEF"/>
      <name val="Aptos Narrow"/>
      <family val="2"/>
      <scheme val="minor"/>
    </font>
    <font>
      <b/>
      <sz val="7"/>
      <color rgb="FFE9ECEF"/>
      <name val="Aptos Narrow"/>
      <family val="2"/>
      <scheme val="minor"/>
    </font>
    <font>
      <sz val="10"/>
      <color rgb="FFE9ECE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rgb="FFA50D0D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37373"/>
        <bgColor rgb="FFFF5D5D"/>
      </patternFill>
    </fill>
    <fill>
      <patternFill patternType="solid">
        <fgColor rgb="FFE9ECEF"/>
        <bgColor indexed="64"/>
      </patternFill>
    </fill>
    <fill>
      <patternFill patternType="solid">
        <fgColor rgb="FFA4A4A4"/>
        <bgColor indexed="64"/>
      </patternFill>
    </fill>
    <fill>
      <patternFill patternType="solid">
        <fgColor rgb="FFF8C4C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9" borderId="0" xfId="0" applyFill="1"/>
    <xf numFmtId="0" fontId="6" fillId="9" borderId="7" xfId="0" applyFont="1" applyFill="1" applyBorder="1" applyAlignment="1">
      <alignment horizontal="center" vertical="center"/>
    </xf>
    <xf numFmtId="0" fontId="0" fillId="10" borderId="5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4" xfId="0" applyFill="1" applyBorder="1"/>
    <xf numFmtId="0" fontId="0" fillId="10" borderId="6" xfId="0" applyFill="1" applyBorder="1"/>
    <xf numFmtId="10" fontId="0" fillId="0" borderId="0" xfId="1" applyNumberFormat="1" applyFont="1"/>
    <xf numFmtId="0" fontId="0" fillId="10" borderId="0" xfId="0" applyFill="1"/>
    <xf numFmtId="0" fontId="0" fillId="14" borderId="0" xfId="0" applyFill="1"/>
    <xf numFmtId="0" fontId="0" fillId="15" borderId="0" xfId="0" applyFill="1"/>
    <xf numFmtId="0" fontId="0" fillId="10" borderId="9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8" borderId="0" xfId="0" applyFill="1" applyBorder="1"/>
    <xf numFmtId="0" fontId="0" fillId="10" borderId="0" xfId="0" applyFill="1" applyBorder="1"/>
    <xf numFmtId="0" fontId="0" fillId="10" borderId="12" xfId="0" applyFill="1" applyBorder="1"/>
    <xf numFmtId="0" fontId="0" fillId="10" borderId="13" xfId="0" applyFill="1" applyBorder="1"/>
    <xf numFmtId="0" fontId="5" fillId="0" borderId="0" xfId="0" applyFont="1" applyFill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vertical="center"/>
    </xf>
    <xf numFmtId="165" fontId="2" fillId="0" borderId="0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7" fillId="9" borderId="0" xfId="0" applyFont="1" applyFill="1" applyBorder="1" applyAlignment="1">
      <alignment horizontal="center" vertical="center"/>
    </xf>
    <xf numFmtId="168" fontId="12" fillId="13" borderId="0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/>
    </xf>
    <xf numFmtId="0" fontId="0" fillId="13" borderId="0" xfId="0" applyFill="1" applyBorder="1"/>
    <xf numFmtId="0" fontId="0" fillId="13" borderId="0" xfId="0" applyFill="1"/>
    <xf numFmtId="168" fontId="9" fillId="0" borderId="0" xfId="0" applyNumberFormat="1" applyFont="1" applyBorder="1" applyAlignment="1">
      <alignment horizontal="right" vertical="center"/>
    </xf>
    <xf numFmtId="10" fontId="9" fillId="0" borderId="0" xfId="0" applyNumberFormat="1" applyFont="1" applyBorder="1" applyAlignment="1">
      <alignment horizontal="right" vertical="center"/>
    </xf>
    <xf numFmtId="0" fontId="0" fillId="0" borderId="4" xfId="0" applyBorder="1"/>
    <xf numFmtId="168" fontId="9" fillId="0" borderId="0" xfId="0" applyNumberFormat="1" applyFont="1" applyBorder="1" applyAlignment="1">
      <alignment horizontal="left" vertical="center"/>
    </xf>
    <xf numFmtId="0" fontId="0" fillId="10" borderId="14" xfId="0" applyFill="1" applyBorder="1"/>
    <xf numFmtId="0" fontId="9" fillId="1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/>
    </xf>
    <xf numFmtId="0" fontId="0" fillId="8" borderId="16" xfId="0" applyFill="1" applyBorder="1"/>
    <xf numFmtId="0" fontId="0" fillId="8" borderId="15" xfId="0" applyFill="1" applyBorder="1"/>
    <xf numFmtId="168" fontId="11" fillId="11" borderId="2" xfId="0" applyNumberFormat="1" applyFont="1" applyFill="1" applyBorder="1" applyAlignment="1">
      <alignment horizontal="center" vertical="center"/>
    </xf>
    <xf numFmtId="168" fontId="11" fillId="11" borderId="3" xfId="0" applyNumberFormat="1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168" fontId="16" fillId="13" borderId="0" xfId="0" applyNumberFormat="1" applyFont="1" applyFill="1" applyBorder="1" applyAlignment="1">
      <alignment horizontal="center" vertical="center"/>
    </xf>
    <xf numFmtId="0" fontId="17" fillId="13" borderId="0" xfId="0" applyFont="1" applyFill="1" applyBorder="1" applyAlignment="1">
      <alignment vertical="center"/>
    </xf>
    <xf numFmtId="0" fontId="17" fillId="13" borderId="0" xfId="0" applyFont="1" applyFill="1" applyBorder="1"/>
    <xf numFmtId="0" fontId="8" fillId="14" borderId="0" xfId="0" applyFont="1" applyFill="1" applyAlignment="1">
      <alignment horizontal="center" vertical="center"/>
    </xf>
    <xf numFmtId="0" fontId="0" fillId="14" borderId="7" xfId="0" applyFill="1" applyBorder="1"/>
    <xf numFmtId="0" fontId="13" fillId="14" borderId="7" xfId="0" applyFont="1" applyFill="1" applyBorder="1"/>
    <xf numFmtId="0" fontId="5" fillId="14" borderId="7" xfId="0" applyFont="1" applyFill="1" applyBorder="1" applyAlignment="1">
      <alignment vertical="center"/>
    </xf>
    <xf numFmtId="168" fontId="15" fillId="14" borderId="7" xfId="0" applyNumberFormat="1" applyFont="1" applyFill="1" applyBorder="1" applyAlignment="1">
      <alignment vertical="center"/>
    </xf>
    <xf numFmtId="1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10" fontId="4" fillId="0" borderId="0" xfId="1" applyNumberFormat="1" applyFont="1" applyAlignment="1">
      <alignment horizontal="right" vertical="center"/>
    </xf>
    <xf numFmtId="1" fontId="4" fillId="0" borderId="0" xfId="1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Porcentaje" xfId="1" builtinId="5"/>
  </cellStyles>
  <dxfs count="3434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ill>
        <patternFill patternType="solid">
          <bgColor rgb="FFFF5D5D"/>
        </patternFill>
      </fill>
    </dxf>
    <dxf>
      <font>
        <color theme="0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alignment horizontal="left"/>
    </dxf>
    <dxf>
      <alignment vertical="center"/>
    </dxf>
    <dxf>
      <numFmt numFmtId="168" formatCode="dd/mm/yyyy;@"/>
    </dxf>
    <dxf>
      <alignment horizontal="right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ill>
        <patternFill>
          <bgColor rgb="FF495057"/>
        </patternFill>
      </fill>
    </dxf>
    <dxf>
      <numFmt numFmtId="14" formatCode="0.00%"/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fill>
        <patternFill>
          <fgColor rgb="FFFF5D5D"/>
        </patternFill>
      </fill>
    </dxf>
    <dxf>
      <fill>
        <patternFill>
          <bgColor rgb="FF737373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numFmt numFmtId="30" formatCode="@"/>
    </dxf>
    <dxf>
      <fill>
        <patternFill>
          <bgColor rgb="FFFF5D5D"/>
        </patternFill>
      </fill>
    </dxf>
    <dxf>
      <font>
        <color theme="0"/>
      </font>
    </dxf>
    <dxf>
      <fill>
        <patternFill>
          <bgColor rgb="FFA50D0D"/>
        </patternFill>
      </fill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>
        <top/>
        <bottom/>
      </border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auto="1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ill>
        <patternFill>
          <bgColor rgb="FFF8C4C4"/>
        </patternFill>
      </fill>
    </dxf>
    <dxf>
      <fill>
        <patternFill patternType="solid">
          <fgColor auto="1"/>
          <bgColor rgb="FFFF5D5D"/>
        </patternFill>
      </fill>
    </dxf>
    <dxf>
      <border>
        <left style="thin">
          <color rgb="FFFF2F2F"/>
        </left>
        <right style="thin">
          <color rgb="FFFF2F2F"/>
        </right>
        <vertical/>
        <horizontal/>
      </border>
    </dxf>
    <dxf>
      <font>
        <b/>
        <i val="0"/>
        <color rgb="FFFF2F2F"/>
      </font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rgb="FFFF5D5D"/>
          <bgColor rgb="FF737373"/>
        </patternFill>
      </fill>
      <alignment horizontal="center" vertical="center"/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auto="1"/>
      </font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border>
        <top/>
        <bottom/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FF2F2F"/>
        </patternFill>
      </fill>
    </dxf>
    <dxf>
      <fill>
        <patternFill>
          <bgColor rgb="FFFF2F2F"/>
        </patternFill>
      </fill>
    </dxf>
    <dxf>
      <fill>
        <patternFill>
          <bgColor rgb="FFA50D0D"/>
        </patternFill>
      </fill>
    </dxf>
    <dxf>
      <font>
        <color theme="0"/>
      </font>
    </dxf>
    <dxf>
      <fill>
        <patternFill>
          <bgColor rgb="FFFF5D5D"/>
        </patternFill>
      </fill>
    </dxf>
    <dxf>
      <numFmt numFmtId="30" formatCode="@"/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fill>
        <patternFill patternType="solid">
          <bgColor rgb="FFF8F9FA"/>
        </patternFill>
      </fill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5D5D"/>
        </patternFill>
      </fill>
    </dxf>
    <dxf>
      <fill>
        <patternFill patternType="solid">
          <bgColor rgb="FFFF5D5D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S/&quot;\ #,##0.0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S/&quot;\ #,##0.0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S/&quot;\ 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 patternType="solid">
          <bgColor rgb="FFE9ECEF"/>
        </patternFill>
      </fill>
    </dxf>
    <dxf>
      <fill>
        <patternFill>
          <bgColor rgb="FF737373"/>
        </patternFill>
      </fill>
    </dxf>
    <dxf>
      <fill>
        <patternFill>
          <fgColor rgb="FFFF5D5D"/>
        </patternFill>
      </fill>
    </dxf>
    <dxf>
      <font>
        <color theme="0"/>
      </font>
      <fill>
        <patternFill patternType="solid">
          <fgColor indexed="64"/>
          <bgColor rgb="FF495057"/>
        </patternFill>
      </fill>
      <alignment horizontal="center" vertical="center"/>
    </dxf>
    <dxf>
      <numFmt numFmtId="14" formatCode="0.00%"/>
    </dxf>
    <dxf>
      <fill>
        <patternFill>
          <bgColor rgb="FF495057"/>
        </patternFill>
      </fill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font>
        <color theme="0"/>
      </font>
      <fill>
        <patternFill patternType="solid">
          <fgColor indexed="64"/>
          <bgColor rgb="FFFF5D5D"/>
        </patternFill>
      </fill>
      <alignment horizontal="center" vertical="center"/>
    </dxf>
    <dxf>
      <alignment horizontal="right"/>
    </dxf>
    <dxf>
      <numFmt numFmtId="168" formatCode="dd/mm/yyyy;@"/>
    </dxf>
    <dxf>
      <alignment vertical="center"/>
    </dxf>
    <dxf>
      <alignment horizontal="left"/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color theme="0"/>
      </font>
    </dxf>
    <dxf>
      <fill>
        <patternFill patternType="solid">
          <bgColor rgb="FFFF5D5D"/>
        </patternFill>
      </fill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  <i val="0"/>
        <sz val="8"/>
        <color theme="0"/>
        <name val="Segoe UI"/>
        <family val="2"/>
      </font>
      <fill>
        <patternFill>
          <bgColor rgb="FFFF2F2F"/>
        </patternFill>
      </fill>
      <border>
        <bottom style="thin">
          <color theme="0" tint="-0.34998626667073579"/>
        </bottom>
        <vertical/>
        <horizontal/>
      </border>
    </dxf>
    <dxf>
      <font>
        <sz val="8"/>
        <color theme="1"/>
        <name val="Segoe UI"/>
        <family val="2"/>
      </font>
      <fill>
        <patternFill>
          <bgColor rgb="FFF2F2F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8"/>
        <color theme="0"/>
        <name val="Segoe UI"/>
        <family val="2"/>
      </font>
      <fill>
        <patternFill>
          <bgColor rgb="FFFF2F2F"/>
        </patternFill>
      </fill>
      <border>
        <bottom style="thin">
          <color theme="0" tint="-0.34998626667073579"/>
        </bottom>
        <vertical/>
        <horizontal/>
      </border>
    </dxf>
    <dxf>
      <font>
        <sz val="8"/>
        <color theme="1"/>
        <name val="Segoe UI"/>
        <family val="2"/>
      </font>
      <fill>
        <patternFill>
          <bgColor rgb="FFF2F2F2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rgb="FFFFFF00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8" tint="0.79995117038483843"/>
          <bgColor rgb="FFFBE9E9"/>
        </patternFill>
      </fill>
      <border>
        <top style="thin">
          <color theme="8" tint="0.39997558519241921"/>
        </top>
      </border>
    </dxf>
    <dxf>
      <font>
        <b/>
        <color theme="1"/>
      </font>
      <fill>
        <patternFill patternType="solid">
          <fgColor theme="8" tint="0.79992065187536243"/>
          <bgColor rgb="FFFBE9E9"/>
        </patternFill>
      </fill>
      <border>
        <bottom style="thin">
          <color theme="8" tint="0.39997558519241921"/>
        </bottom>
      </border>
    </dxf>
  </dxfs>
  <tableStyles count="3" defaultTableStyle="TableStyleMedium2" defaultPivotStyle="PivotStyleLight16">
    <tableStyle name="PivotStyleLight20 2" table="0" count="11" xr9:uid="{9B438702-8C6A-4543-A156-AB5B1E358C6A}">
      <tableStyleElement type="headerRow" dxfId="3433"/>
      <tableStyleElement type="totalRow" dxfId="3432"/>
      <tableStyleElement type="firstRowStripe" dxfId="3431"/>
      <tableStyleElement type="firstColumnStripe" dxfId="3430"/>
      <tableStyleElement type="firstSubtotalColumn" dxfId="3429"/>
      <tableStyleElement type="firstSubtotalRow" dxfId="3428"/>
      <tableStyleElement type="secondSubtotalRow" dxfId="3427"/>
      <tableStyleElement type="firstRowSubheading" dxfId="3426"/>
      <tableStyleElement type="secondRowSubheading" dxfId="3425"/>
      <tableStyleElement type="pageFieldLabels" dxfId="3424"/>
      <tableStyleElement type="pageFieldValues" dxfId="3423"/>
    </tableStyle>
    <tableStyle name="SlicerStyleOther1 2" pivot="0" table="0" count="10" xr9:uid="{657D0A80-2745-48E6-A4D7-0ABC3DBBED2E}">
      <tableStyleElement type="wholeTable" dxfId="3422"/>
      <tableStyleElement type="headerRow" dxfId="3421"/>
    </tableStyle>
    <tableStyle name="SlicerStyleOther1 2 2" pivot="0" table="0" count="10" xr9:uid="{9DFCF8B3-5287-42F4-B870-D2D28623FEB7}">
      <tableStyleElement type="wholeTable" dxfId="3420"/>
      <tableStyleElement type="headerRow" dxfId="3419"/>
    </tableStyle>
  </tableStyles>
  <colors>
    <mruColors>
      <color rgb="FFA4A4A4"/>
      <color rgb="FFE9ECEF"/>
      <color rgb="FF737373"/>
      <color rgb="FFFF5D5D"/>
      <color rgb="FFF2F2F2"/>
      <color rgb="FFFF2F2F"/>
      <color rgb="FFF8C4C4"/>
      <color rgb="FFF5A9A9"/>
      <color rgb="FFFBE9E9"/>
      <color rgb="FF495057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8"/>
            <color theme="0"/>
            <name val="Segoe UI"/>
            <family val="2"/>
            <scheme val="none"/>
          </font>
          <fill>
            <patternFill patternType="solid">
              <fgColor theme="0" tint="-0.249977111117893"/>
              <bgColor rgb="FFFF2F2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8"/>
            <color theme="1"/>
            <name val="Segoe UI"/>
            <family val="2"/>
            <scheme val="none"/>
          </font>
          <fill>
            <patternFill patternType="solid">
              <fgColor theme="0" tint="-0.24997711111789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B22" s="5"/>
        <tr r="B22" s="5"/>
        <tr r="B24" s="5"/>
        <tr r="B24" s="5"/>
        <tr r="B25" s="5"/>
        <tr r="B25" s="5"/>
        <tr r="B21" s="5"/>
        <tr r="B21" s="5"/>
        <tr r="B20" s="5"/>
        <tr r="B20" s="5"/>
        <tr r="B23" s="5"/>
        <tr r="B23" s="5"/>
        <tr r="B12" s="5"/>
        <tr r="B12" s="5"/>
        <tr r="B12" s="5"/>
        <tr r="B12" s="5"/>
        <tr r="B15" s="5"/>
        <tr r="B15" s="5"/>
        <tr r="B15" s="5"/>
        <tr r="B14" s="5"/>
        <tr r="B14" s="5"/>
        <tr r="B14" s="5"/>
        <tr r="B13" s="5"/>
        <tr r="B13" s="5"/>
        <tr r="B13" s="5"/>
        <tr r="B16" s="5"/>
        <tr r="B16" s="5"/>
        <tr r="B16" s="5"/>
        <tr r="B17" s="5"/>
        <tr r="B17" s="5"/>
        <tr r="B17" s="5"/>
        <tr r="B17" s="5"/>
        <tr r="B5" s="5"/>
        <tr r="B5" s="5"/>
        <tr r="B5" s="5"/>
        <tr r="B3" s="5"/>
        <tr r="B3" s="5"/>
        <tr r="B3" s="5"/>
        <tr r="B6" s="5"/>
        <tr r="B6" s="5"/>
        <tr r="B6" s="5"/>
        <tr r="B8" s="5"/>
        <tr r="B8" s="5"/>
        <tr r="B8" s="5"/>
        <tr r="B9" s="5"/>
        <tr r="B9" s="5"/>
        <tr r="B9" s="5"/>
        <tr r="B4" s="5"/>
        <tr r="B4" s="5"/>
        <tr r="B4" s="5"/>
        <tr r="B7" s="5"/>
        <tr r="B7" s="5"/>
        <tr r="B7" s="5"/>
        <tr r="B2" s="5"/>
        <tr r="B2" s="5"/>
      </tp>
    </main>
  </volType>
</volType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1.xml"/><Relationship Id="rId21" Type="http://schemas.microsoft.com/office/2007/relationships/slicerCache" Target="slicerCaches/slicerCache5.xml"/><Relationship Id="rId42" Type="http://schemas.openxmlformats.org/officeDocument/2006/relationships/powerPivotData" Target="model/item.data"/><Relationship Id="rId47" Type="http://schemas.openxmlformats.org/officeDocument/2006/relationships/customXml" Target="../customXml/item4.xml"/><Relationship Id="rId63" Type="http://schemas.openxmlformats.org/officeDocument/2006/relationships/customXml" Target="../customXml/item20.xml"/><Relationship Id="rId68" Type="http://schemas.openxmlformats.org/officeDocument/2006/relationships/customXml" Target="../customXml/item25.xml"/><Relationship Id="rId16" Type="http://schemas.openxmlformats.org/officeDocument/2006/relationships/pivotCacheDefinition" Target="pivotCache/pivotCacheDefinition7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9.xml"/><Relationship Id="rId32" Type="http://schemas.openxmlformats.org/officeDocument/2006/relationships/pivotTable" Target="pivotTables/pivotTable3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2.xml"/><Relationship Id="rId53" Type="http://schemas.openxmlformats.org/officeDocument/2006/relationships/customXml" Target="../customXml/item10.xml"/><Relationship Id="rId58" Type="http://schemas.openxmlformats.org/officeDocument/2006/relationships/customXml" Target="../customXml/item15.xml"/><Relationship Id="rId66" Type="http://schemas.openxmlformats.org/officeDocument/2006/relationships/customXml" Target="../customXml/item23.xml"/><Relationship Id="rId74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8.xml"/><Relationship Id="rId19" Type="http://schemas.microsoft.com/office/2007/relationships/slicerCache" Target="slicerCaches/slicerCache3.xml"/><Relationship Id="rId14" Type="http://schemas.openxmlformats.org/officeDocument/2006/relationships/pivotCacheDefinition" Target="pivotCache/pivotCacheDefinition5.xml"/><Relationship Id="rId22" Type="http://schemas.microsoft.com/office/2007/relationships/slicerCache" Target="slicerCaches/slicerCache6.xml"/><Relationship Id="rId27" Type="http://schemas.openxmlformats.org/officeDocument/2006/relationships/pivotCacheDefinition" Target="pivotCache/pivotCacheDefinition12.xml"/><Relationship Id="rId30" Type="http://schemas.openxmlformats.org/officeDocument/2006/relationships/pivotTable" Target="pivotTables/pivotTable1.xml"/><Relationship Id="rId35" Type="http://schemas.openxmlformats.org/officeDocument/2006/relationships/pivotTable" Target="pivotTables/pivotTable6.xml"/><Relationship Id="rId43" Type="http://schemas.openxmlformats.org/officeDocument/2006/relationships/calcChain" Target="calcChain.xml"/><Relationship Id="rId48" Type="http://schemas.openxmlformats.org/officeDocument/2006/relationships/customXml" Target="../customXml/item5.xml"/><Relationship Id="rId56" Type="http://schemas.openxmlformats.org/officeDocument/2006/relationships/customXml" Target="../customXml/item13.xml"/><Relationship Id="rId64" Type="http://schemas.openxmlformats.org/officeDocument/2006/relationships/customXml" Target="../customXml/item21.xml"/><Relationship Id="rId69" Type="http://schemas.openxmlformats.org/officeDocument/2006/relationships/customXml" Target="../customXml/item26.xml"/><Relationship Id="rId77" Type="http://schemas.openxmlformats.org/officeDocument/2006/relationships/volatileDependencies" Target="volatileDependenci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8.xml"/><Relationship Id="rId72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1.xml"/><Relationship Id="rId25" Type="http://schemas.openxmlformats.org/officeDocument/2006/relationships/pivotCacheDefinition" Target="pivotCache/pivotCacheDefinition10.xml"/><Relationship Id="rId33" Type="http://schemas.openxmlformats.org/officeDocument/2006/relationships/pivotTable" Target="pivotTables/pivotTable4.xml"/><Relationship Id="rId38" Type="http://schemas.openxmlformats.org/officeDocument/2006/relationships/connections" Target="connections.xml"/><Relationship Id="rId46" Type="http://schemas.openxmlformats.org/officeDocument/2006/relationships/customXml" Target="../customXml/item3.xml"/><Relationship Id="rId59" Type="http://schemas.openxmlformats.org/officeDocument/2006/relationships/customXml" Target="../customXml/item16.xml"/><Relationship Id="rId67" Type="http://schemas.openxmlformats.org/officeDocument/2006/relationships/customXml" Target="../customXml/item24.xml"/><Relationship Id="rId20" Type="http://schemas.microsoft.com/office/2007/relationships/slicerCache" Target="slicerCaches/slicerCache4.xml"/><Relationship Id="rId41" Type="http://schemas.openxmlformats.org/officeDocument/2006/relationships/sheetMetadata" Target="metadata.xml"/><Relationship Id="rId54" Type="http://schemas.openxmlformats.org/officeDocument/2006/relationships/customXml" Target="../customXml/item11.xml"/><Relationship Id="rId62" Type="http://schemas.openxmlformats.org/officeDocument/2006/relationships/customXml" Target="../customXml/item19.xml"/><Relationship Id="rId70" Type="http://schemas.openxmlformats.org/officeDocument/2006/relationships/customXml" Target="../customXml/item27.xml"/><Relationship Id="rId75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36" Type="http://schemas.openxmlformats.org/officeDocument/2006/relationships/pivotTable" Target="pivotTables/pivotTable7.xml"/><Relationship Id="rId49" Type="http://schemas.openxmlformats.org/officeDocument/2006/relationships/customXml" Target="../customXml/item6.xml"/><Relationship Id="rId57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1.xml"/><Relationship Id="rId31" Type="http://schemas.openxmlformats.org/officeDocument/2006/relationships/pivotTable" Target="pivotTables/pivotTable2.xml"/><Relationship Id="rId44" Type="http://schemas.openxmlformats.org/officeDocument/2006/relationships/customXml" Target="../customXml/item1.xml"/><Relationship Id="rId52" Type="http://schemas.openxmlformats.org/officeDocument/2006/relationships/customXml" Target="../customXml/item9.xml"/><Relationship Id="rId60" Type="http://schemas.openxmlformats.org/officeDocument/2006/relationships/customXml" Target="../customXml/item17.xml"/><Relationship Id="rId65" Type="http://schemas.openxmlformats.org/officeDocument/2006/relationships/customXml" Target="../customXml/item22.xml"/><Relationship Id="rId73" Type="http://schemas.openxmlformats.org/officeDocument/2006/relationships/customXml" Target="../customXml/item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2.xml"/><Relationship Id="rId39" Type="http://schemas.openxmlformats.org/officeDocument/2006/relationships/styles" Target="styles.xml"/><Relationship Id="rId34" Type="http://schemas.openxmlformats.org/officeDocument/2006/relationships/pivotTable" Target="pivotTables/pivotTable5.xml"/><Relationship Id="rId50" Type="http://schemas.openxmlformats.org/officeDocument/2006/relationships/customXml" Target="../customXml/item7.xml"/><Relationship Id="rId55" Type="http://schemas.openxmlformats.org/officeDocument/2006/relationships/customXml" Target="../customXml/item12.xml"/><Relationship Id="rId76" Type="http://schemas.openxmlformats.org/officeDocument/2006/relationships/customXml" Target="../customXml/item33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Planned Cost vs. Actual Cost per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373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5D5D">
              <a:alpha val="9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37373">
              <a:alpha val="9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Planned Cost</c:v>
          </c:tx>
          <c:spPr>
            <a:solidFill>
              <a:srgbClr val="737373">
                <a:alpha val="9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Centro Empresarial Miraflores</c:v>
              </c:pt>
              <c:pt idx="1">
                <c:v>Clínica San Borja</c:v>
              </c:pt>
              <c:pt idx="2">
                <c:v>Plaza Comercial Surco</c:v>
              </c:pt>
              <c:pt idx="3">
                <c:v>Condominio Las Praderas</c:v>
              </c:pt>
              <c:pt idx="4">
                <c:v>Edificio Costanera</c:v>
              </c:pt>
              <c:pt idx="5">
                <c:v>Almacenes Callao</c:v>
              </c:pt>
              <c:pt idx="6">
                <c:v>Torre Lince Park</c:v>
              </c:pt>
              <c:pt idx="7">
                <c:v>Edificio Residencial San Isidro</c:v>
              </c:pt>
              <c:pt idx="8">
                <c:v>Residencial Los Parques</c:v>
              </c:pt>
              <c:pt idx="9">
                <c:v>Condominio La Marina</c:v>
              </c:pt>
            </c:strLit>
          </c:cat>
          <c:val>
            <c:numLit>
              <c:formatCode>"S/"#,##0.00_);\("S/"#,##0.00\)</c:formatCode>
              <c:ptCount val="10"/>
              <c:pt idx="0">
                <c:v>7930000</c:v>
              </c:pt>
              <c:pt idx="1">
                <c:v>7482000</c:v>
              </c:pt>
              <c:pt idx="2">
                <c:v>6036000</c:v>
              </c:pt>
              <c:pt idx="3">
                <c:v>5570000</c:v>
              </c:pt>
              <c:pt idx="4">
                <c:v>5060000</c:v>
              </c:pt>
              <c:pt idx="5">
                <c:v>4950000</c:v>
              </c:pt>
              <c:pt idx="6">
                <c:v>4267000</c:v>
              </c:pt>
              <c:pt idx="7">
                <c:v>4110000</c:v>
              </c:pt>
              <c:pt idx="8">
                <c:v>3401000</c:v>
              </c:pt>
              <c:pt idx="9">
                <c:v>2427000</c:v>
              </c:pt>
            </c:numLit>
          </c:val>
          <c:extLst>
            <c:ext xmlns:c16="http://schemas.microsoft.com/office/drawing/2014/chart" uri="{C3380CC4-5D6E-409C-BE32-E72D297353CC}">
              <c16:uniqueId val="{00000000-D054-42B7-B122-0D6C0B3D7D63}"/>
            </c:ext>
          </c:extLst>
        </c:ser>
        <c:ser>
          <c:idx val="1"/>
          <c:order val="1"/>
          <c:tx>
            <c:v>Actual Cost</c:v>
          </c:tx>
          <c:spPr>
            <a:solidFill>
              <a:srgbClr val="FF5D5D">
                <a:alpha val="9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Centro Empresarial Miraflores</c:v>
              </c:pt>
              <c:pt idx="1">
                <c:v>Clínica San Borja</c:v>
              </c:pt>
              <c:pt idx="2">
                <c:v>Plaza Comercial Surco</c:v>
              </c:pt>
              <c:pt idx="3">
                <c:v>Condominio Las Praderas</c:v>
              </c:pt>
              <c:pt idx="4">
                <c:v>Edificio Costanera</c:v>
              </c:pt>
              <c:pt idx="5">
                <c:v>Almacenes Callao</c:v>
              </c:pt>
              <c:pt idx="6">
                <c:v>Torre Lince Park</c:v>
              </c:pt>
              <c:pt idx="7">
                <c:v>Edificio Residencial San Isidro</c:v>
              </c:pt>
              <c:pt idx="8">
                <c:v>Residencial Los Parques</c:v>
              </c:pt>
              <c:pt idx="9">
                <c:v>Condominio La Marina</c:v>
              </c:pt>
            </c:strLit>
          </c:cat>
          <c:val>
            <c:numLit>
              <c:formatCode>"S/"#,##0.00_);\("S/"#,##0.00\)</c:formatCode>
              <c:ptCount val="10"/>
              <c:pt idx="0">
                <c:v>155000</c:v>
              </c:pt>
              <c:pt idx="1">
                <c:v>5984000</c:v>
              </c:pt>
              <c:pt idx="2">
                <c:v>0</c:v>
              </c:pt>
              <c:pt idx="3">
                <c:v>2482000</c:v>
              </c:pt>
              <c:pt idx="4">
                <c:v>4773000</c:v>
              </c:pt>
              <c:pt idx="5">
                <c:v>890000</c:v>
              </c:pt>
              <c:pt idx="6">
                <c:v>3358000</c:v>
              </c:pt>
              <c:pt idx="7">
                <c:v>4212500</c:v>
              </c:pt>
              <c:pt idx="8">
                <c:v>292000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54-42B7-B122-0D6C0B3D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0"/>
        <c:axId val="1205497952"/>
        <c:axId val="1205498432"/>
      </c:barChart>
      <c:catAx>
        <c:axId val="1205497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54984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05498432"/>
        <c:scaling>
          <c:orientation val="minMax"/>
        </c:scaling>
        <c:delete val="0"/>
        <c:axPos val="l"/>
        <c:numFmt formatCode="&quot;S/&quot;#,##0_);\(&quot;S/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5497952"/>
        <c:crosses val="autoZero"/>
        <c:crossBetween val="between"/>
        <c:majorUnit val="400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737373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Share Budget(%) per Project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5D5D">
              <a:alpha val="90000"/>
            </a:srgbClr>
          </a:solidFill>
          <a:ln>
            <a:noFill/>
          </a:ln>
          <a:effectLst/>
        </c:spPr>
      </c:pivotFmt>
      <c:pivotFmt>
        <c:idx val="2"/>
        <c:spPr>
          <a:solidFill>
            <a:srgbClr val="333333">
              <a:alpha val="9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FBE9E9">
              <a:alpha val="9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A50D0D">
              <a:alpha val="9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737373">
              <a:alpha val="9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D9D9D9">
              <a:alpha val="80000"/>
            </a:srgb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A50D0D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D-48FC-81CC-BD9682DABBFE}"/>
              </c:ext>
            </c:extLst>
          </c:dPt>
          <c:dPt>
            <c:idx val="1"/>
            <c:bubble3D val="0"/>
            <c:spPr>
              <a:solidFill>
                <a:srgbClr val="D9D9D9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CD-48FC-81CC-BD9682DABBFE}"/>
              </c:ext>
            </c:extLst>
          </c:dPt>
          <c:dPt>
            <c:idx val="2"/>
            <c:bubble3D val="0"/>
            <c:spPr>
              <a:solidFill>
                <a:srgbClr val="FBE9E9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ECD-48FC-81CC-BD9682DABBFE}"/>
              </c:ext>
            </c:extLst>
          </c:dPt>
          <c:dPt>
            <c:idx val="3"/>
            <c:bubble3D val="0"/>
            <c:spPr>
              <a:solidFill>
                <a:srgbClr val="737373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ECD-48FC-81CC-BD9682DABBFE}"/>
              </c:ext>
            </c:extLst>
          </c:dPt>
          <c:dPt>
            <c:idx val="4"/>
            <c:bubble3D val="0"/>
            <c:spPr>
              <a:solidFill>
                <a:srgbClr val="333333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D-48FC-81CC-BD9682DABBFE}"/>
              </c:ext>
            </c:extLst>
          </c:dPt>
          <c:dPt>
            <c:idx val="5"/>
            <c:bubble3D val="0"/>
            <c:spPr>
              <a:solidFill>
                <a:srgbClr val="FF5D5D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CD-48FC-81CC-BD9682DABBFE}"/>
              </c:ext>
            </c:extLst>
          </c:dPt>
          <c:cat>
            <c:strLit>
              <c:ptCount val="6"/>
              <c:pt idx="0">
                <c:v>Comercial</c:v>
              </c:pt>
              <c:pt idx="1">
                <c:v>Industrial</c:v>
              </c:pt>
              <c:pt idx="2">
                <c:v>Interés Social</c:v>
              </c:pt>
              <c:pt idx="3">
                <c:v>Multifamiliar</c:v>
              </c:pt>
              <c:pt idx="4">
                <c:v>Oficinas</c:v>
              </c:pt>
              <c:pt idx="5">
                <c:v>Salud</c:v>
              </c:pt>
            </c:strLit>
          </c:cat>
          <c:val>
            <c:numLit>
              <c:formatCode>0.00%</c:formatCode>
              <c:ptCount val="6"/>
              <c:pt idx="0">
                <c:v>0.12677878395860284</c:v>
              </c:pt>
              <c:pt idx="1">
                <c:v>5.8214747736093142E-2</c:v>
              </c:pt>
              <c:pt idx="2">
                <c:v>0.19663648124191463</c:v>
              </c:pt>
              <c:pt idx="3">
                <c:v>0.314359637774903</c:v>
              </c:pt>
              <c:pt idx="4">
                <c:v>0.16170763260025872</c:v>
              </c:pt>
              <c:pt idx="5">
                <c:v>0.14230271668822769</c:v>
              </c:pt>
            </c:numLit>
          </c:val>
          <c:extLst>
            <c:ext xmlns:c16="http://schemas.microsoft.com/office/drawing/2014/chart" uri="{C3380CC4-5D6E-409C-BE32-E72D297353CC}">
              <c16:uniqueId val="{00000000-EECD-48FC-81CC-BD9682DA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737373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Top 5 Projects by Actual Progress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2F2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5D5D">
              <a:alpha val="9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2F2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5D5D">
                <a:alpha val="90000"/>
              </a:srgb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2F2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Almacenes Callao</c:v>
              </c:pt>
              <c:pt idx="1">
                <c:v>Edificio Costanera</c:v>
              </c:pt>
              <c:pt idx="2">
                <c:v>Torre Lince Park</c:v>
              </c:pt>
              <c:pt idx="3">
                <c:v>Condominio Las Praderas</c:v>
              </c:pt>
              <c:pt idx="4">
                <c:v>Edificio Residencial San Isidro</c:v>
              </c:pt>
            </c:strLit>
          </c:cat>
          <c:val>
            <c:numLit>
              <c:formatCode>0.00\ %;\-0.00\ %;0.00\ %</c:formatCode>
              <c:ptCount val="5"/>
              <c:pt idx="0">
                <c:v>0.54893617021276597</c:v>
              </c:pt>
              <c:pt idx="1">
                <c:v>0.67950481430536447</c:v>
              </c:pt>
              <c:pt idx="2">
                <c:v>0.79864253393665163</c:v>
              </c:pt>
              <c:pt idx="3">
                <c:v>0.89823008849557517</c:v>
              </c:pt>
              <c:pt idx="4">
                <c:v>0.98399999999999999</c:v>
              </c:pt>
            </c:numLit>
          </c:val>
          <c:extLst>
            <c:ext xmlns:c16="http://schemas.microsoft.com/office/drawing/2014/chart" uri="{C3380CC4-5D6E-409C-BE32-E72D297353CC}">
              <c16:uniqueId val="{00000000-8D95-44CC-930C-D5D2347D26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70899040"/>
        <c:axId val="1270910080"/>
      </c:barChart>
      <c:catAx>
        <c:axId val="12708990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7091008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70910080"/>
        <c:scaling>
          <c:orientation val="minMax"/>
        </c:scaling>
        <c:delete val="1"/>
        <c:axPos val="b"/>
        <c:numFmt formatCode="0.00\ %;\-0.00\ %;0.00\ %" sourceLinked="0"/>
        <c:majorTickMark val="none"/>
        <c:minorTickMark val="none"/>
        <c:tickLblPos val="nextTo"/>
        <c:crossAx val="1270899040"/>
        <c:crosses val="autoZero"/>
        <c:crossBetween val="between"/>
        <c:extLst>
          <c:ext xmlns:c15="http://schemas.microsoft.com/office/drawing/2012/chart" uri="{F40574EE-89B7-4290-83BB-5DA773EAF853}">
            <c15:numFmt c:formatCode="0.00\ %;\-0.00\ %;0.00\ %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00" b="1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Planned vs.</a:t>
            </a:r>
            <a:r>
              <a:rPr lang="es-PE" sz="1000" b="1" baseline="0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Actual Progress(%) per Phase</a:t>
            </a:r>
            <a:endParaRPr lang="es-PE" sz="10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3737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73737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>
              <a:srgbClr val="73737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737373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1. Obras Provisionales</c:v>
              </c:pt>
              <c:pt idx="1">
                <c:v>2. Estructuras</c:v>
              </c:pt>
              <c:pt idx="2">
                <c:v>3. Instalaciones</c:v>
              </c:pt>
              <c:pt idx="3">
                <c:v>4. Acabados</c:v>
              </c:pt>
              <c:pt idx="4">
                <c:v>5. Cierre</c:v>
              </c:pt>
            </c:strLit>
          </c:cat>
          <c:val>
            <c:numLit>
              <c:formatCode>0.00\ %;\-0.00\ %;0.00\ %</c:formatCode>
              <c:ptCount val="5"/>
              <c:pt idx="0">
                <c:v>0.43725490196078431</c:v>
              </c:pt>
              <c:pt idx="1">
                <c:v>1</c:v>
              </c:pt>
              <c:pt idx="2">
                <c:v>0.73722627737226276</c:v>
              </c:pt>
              <c:pt idx="3">
                <c:v>0.8039538714991763</c:v>
              </c:pt>
              <c:pt idx="4">
                <c:v>5.7731958762886601E-2</c:v>
              </c:pt>
            </c:numLit>
          </c:val>
          <c:extLst>
            <c:ext xmlns:c16="http://schemas.microsoft.com/office/drawing/2014/chart" uri="{C3380CC4-5D6E-409C-BE32-E72D297353CC}">
              <c16:uniqueId val="{00000000-CE45-445E-B029-D1B26B6E2CC5}"/>
            </c:ext>
          </c:extLst>
        </c:ser>
        <c:ser>
          <c:idx val="1"/>
          <c:order val="1"/>
          <c:tx>
            <c:v>Actual</c:v>
          </c:tx>
          <c:spPr>
            <a:solidFill>
              <a:srgbClr val="FF5D5D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1. Obras Provisionales</c:v>
              </c:pt>
              <c:pt idx="1">
                <c:v>2. Estructuras</c:v>
              </c:pt>
              <c:pt idx="2">
                <c:v>3. Instalaciones</c:v>
              </c:pt>
              <c:pt idx="3">
                <c:v>4. Acabados</c:v>
              </c:pt>
              <c:pt idx="4">
                <c:v>5. Cierre</c:v>
              </c:pt>
            </c:strLit>
          </c:cat>
          <c:val>
            <c:numLit>
              <c:formatCode>0.00\ %;\-0.00\ %;0.00\ %</c:formatCode>
              <c:ptCount val="5"/>
              <c:pt idx="0">
                <c:v>0.85852090032154338</c:v>
              </c:pt>
              <c:pt idx="1">
                <c:v>0.58770883054892598</c:v>
              </c:pt>
              <c:pt idx="2">
                <c:v>0.78617710583153344</c:v>
              </c:pt>
              <c:pt idx="3">
                <c:v>0.49156118143459915</c:v>
              </c:pt>
              <c:pt idx="4">
                <c:v>0.78947368421052633</c:v>
              </c:pt>
            </c:numLit>
          </c:val>
          <c:extLst>
            <c:ext xmlns:c16="http://schemas.microsoft.com/office/drawing/2014/chart" uri="{C3380CC4-5D6E-409C-BE32-E72D297353CC}">
              <c16:uniqueId val="{00000003-CE45-445E-B029-D1B26B6E2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5388560"/>
        <c:axId val="245389040"/>
      </c:barChart>
      <c:catAx>
        <c:axId val="245388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53890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453890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538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>
                <a:solidFill>
                  <a:srgbClr val="737373"/>
                </a:solidFill>
              </a:rPr>
              <a:t>Cost Variance</a:t>
            </a:r>
            <a:r>
              <a:rPr lang="es-PE" baseline="0">
                <a:solidFill>
                  <a:srgbClr val="737373"/>
                </a:solidFill>
              </a:rPr>
              <a:t>(%) </a:t>
            </a:r>
            <a:r>
              <a:rPr lang="es-PE">
                <a:solidFill>
                  <a:srgbClr val="737373"/>
                </a:solidFill>
              </a:rPr>
              <a:t>per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373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5D5D"/>
            </a:solidFill>
            <a:ln>
              <a:noFill/>
            </a:ln>
            <a:effectLst/>
          </c:spPr>
          <c:invertIfNegative val="1"/>
          <c:cat>
            <c:strLit>
              <c:ptCount val="15"/>
              <c:pt idx="0">
                <c:v>1. Limpieza de Terreno y Cerco</c:v>
              </c:pt>
              <c:pt idx="1">
                <c:v>2. Caseta de Guardiania y Almacen</c:v>
              </c:pt>
              <c:pt idx="2">
                <c:v>3. Excavacion y Movimiento de Tierras</c:v>
              </c:pt>
              <c:pt idx="3">
                <c:v>4. Cimentacion y Zapatas</c:v>
              </c:pt>
              <c:pt idx="4">
                <c:v>5. Columnas y Vigas de Concreto</c:v>
              </c:pt>
              <c:pt idx="5">
                <c:v>6. Losa Aligerada y Techos</c:v>
              </c:pt>
              <c:pt idx="6">
                <c:v>7. Tuberias Sanitarias y Desague</c:v>
              </c:pt>
              <c:pt idx="7">
                <c:v>8. Cableado y Tableros Electricos</c:v>
              </c:pt>
              <c:pt idx="8">
                <c:v>9. Red de Gas Natural</c:v>
              </c:pt>
              <c:pt idx="9">
                <c:v>10. Tarrajeo y Revoques</c:v>
              </c:pt>
              <c:pt idx="10">
                <c:v>11. Colocacion de Pisos y Porcelanato</c:v>
              </c:pt>
              <c:pt idx="11">
                <c:v>12. Instalacion de Ventaneria y Vidrios</c:v>
              </c:pt>
              <c:pt idx="12">
                <c:v>13. Pintura Interior y Fachada</c:v>
              </c:pt>
              <c:pt idx="13">
                <c:v>14. Limpieza Final de Obra</c:v>
              </c:pt>
              <c:pt idx="14">
                <c:v>15. Entrega de Llaves y Post-Venta</c:v>
              </c:pt>
            </c:strLit>
          </c:cat>
          <c:val>
            <c:numLit>
              <c:formatCode>0.00\ %;\-0.00\ %;0.00\ %</c:formatCode>
              <c:ptCount val="15"/>
              <c:pt idx="0">
                <c:v>-0.16642857142857148</c:v>
              </c:pt>
              <c:pt idx="1">
                <c:v>-0.15705128205128205</c:v>
              </c:pt>
              <c:pt idx="2">
                <c:v>-0.23906705539358597</c:v>
              </c:pt>
              <c:pt idx="3">
                <c:v>-0.39947089947089942</c:v>
              </c:pt>
              <c:pt idx="4">
                <c:v>-0.51095406360424023</c:v>
              </c:pt>
              <c:pt idx="5">
                <c:v>-0.57337367624810898</c:v>
              </c:pt>
              <c:pt idx="6">
                <c:v>-0.36764705882352944</c:v>
              </c:pt>
              <c:pt idx="7">
                <c:v>-0.63305322128851538</c:v>
              </c:pt>
              <c:pt idx="8">
                <c:v>-0.66666666666666674</c:v>
              </c:pt>
              <c:pt idx="9">
                <c:v>-0.70101010101010108</c:v>
              </c:pt>
              <c:pt idx="10">
                <c:v>-0.85677083333333337</c:v>
              </c:pt>
              <c:pt idx="11">
                <c:v>-0.86888454011741678</c:v>
              </c:pt>
              <c:pt idx="12">
                <c:v>-0.90731707317073174</c:v>
              </c:pt>
              <c:pt idx="13">
                <c:v>-0.94226327944572752</c:v>
              </c:pt>
              <c:pt idx="14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37373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963-464A-ABB9-A816B8BC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729327"/>
        <c:axId val="1162737967"/>
      </c:barChart>
      <c:catAx>
        <c:axId val="116272932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6273796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62737967"/>
        <c:scaling>
          <c:orientation val="minMax"/>
        </c:scaling>
        <c:delete val="1"/>
        <c:axPos val="b"/>
        <c:numFmt formatCode="0.00\ %;\-0.00\ %;0.00\ %" sourceLinked="0"/>
        <c:majorTickMark val="none"/>
        <c:minorTickMark val="none"/>
        <c:tickLblPos val="nextTo"/>
        <c:crossAx val="1162729327"/>
        <c:crosses val="autoZero"/>
        <c:crossBetween val="between"/>
        <c:extLst>
          <c:ext xmlns:c15="http://schemas.microsoft.com/office/drawing/2012/chart" uri="{F40574EE-89B7-4290-83BB-5DA773EAF853}">
            <c15:numFmt c:formatCode="0.00\ %;\-0.00\ %;0.00\ %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Dashboard.xlsx]PivotChartTable5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73737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baseline="0">
                <a:effectLst/>
              </a:rPr>
              <a:t>Cost Variance(%) per Phase</a:t>
            </a:r>
            <a:endParaRPr lang="en-US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737373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73737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36921511038524"/>
          <c:y val="0.21957479863681684"/>
          <c:w val="0.70702626070107866"/>
          <c:h val="0.6422302585927194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5D5D"/>
            </a:solidFill>
            <a:ln>
              <a:noFill/>
            </a:ln>
            <a:effectLst/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737373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1. Obras Provisionales</c:v>
              </c:pt>
              <c:pt idx="1">
                <c:v>2. Estructuras</c:v>
              </c:pt>
              <c:pt idx="2">
                <c:v>3. Instalaciones</c:v>
              </c:pt>
              <c:pt idx="3">
                <c:v>4. Acabados</c:v>
              </c:pt>
              <c:pt idx="4">
                <c:v>5. Cierre</c:v>
              </c:pt>
            </c:strLit>
          </c:cat>
          <c:val>
            <c:numLit>
              <c:formatCode>0.00\ %;\-0.00\ %;0.00\ %</c:formatCode>
              <c:ptCount val="5"/>
              <c:pt idx="0">
                <c:v>-0.16353754940711462</c:v>
              </c:pt>
              <c:pt idx="1">
                <c:v>-0.4811053770600966</c:v>
              </c:pt>
              <c:pt idx="2">
                <c:v>-0.49230769230769234</c:v>
              </c:pt>
              <c:pt idx="3">
                <c:v>-0.80925718551698389</c:v>
              </c:pt>
              <c:pt idx="4">
                <c:v>-0.95941558441558439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37373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1D1-46AD-A523-8FB92196B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58782399"/>
        <c:axId val="1158779999"/>
      </c:barChart>
      <c:catAx>
        <c:axId val="11587823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73737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87799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58779999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878239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Dashboard.xlsx]PivotChartTable6</c15:name>
        <c15:fmtId val="0"/>
      </c15:pivotSource>
      <c15:pivotOptions>
        <c15:dropZoneFilter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PE" sz="1000" b="1" i="0" u="none" strike="noStrike" kern="1200" spc="0" baseline="0">
                <a:solidFill>
                  <a:srgbClr val="737373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00" b="1" i="0" u="none" strike="noStrike" kern="1200" spc="0" baseline="0">
                <a:solidFill>
                  <a:srgbClr val="737373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Critical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PE" sz="1000" b="1" i="0" u="none" strike="noStrike" kern="1200" spc="0" baseline="0">
              <a:solidFill>
                <a:srgbClr val="737373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FF5D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5D5D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1. Limpieza de Terreno y Cerco</c:v>
              </c:pt>
              <c:pt idx="1">
                <c:v>2. Caseta de Guardiania y Almacen</c:v>
              </c:pt>
              <c:pt idx="2">
                <c:v>3. Excavacion y Movimiento de Tierras</c:v>
              </c:pt>
              <c:pt idx="3">
                <c:v>4. Cimentacion y Zapatas</c:v>
              </c:pt>
              <c:pt idx="4">
                <c:v>5. Columnas y Vigas de Concreto</c:v>
              </c:pt>
              <c:pt idx="5">
                <c:v>6. Losa Aligerada y Techos</c:v>
              </c:pt>
              <c:pt idx="6">
                <c:v>7. Tuberias Sanitarias y Desague</c:v>
              </c:pt>
              <c:pt idx="7">
                <c:v>8. Cableado y Tableros Electricos</c:v>
              </c:pt>
              <c:pt idx="8">
                <c:v>9. Red de Gas Natural</c:v>
              </c:pt>
              <c:pt idx="9">
                <c:v>10. Tarrajeo y Revoques</c:v>
              </c:pt>
              <c:pt idx="10">
                <c:v>11. Colocacion de Pisos y Porcelanato</c:v>
              </c:pt>
              <c:pt idx="11">
                <c:v>12. Instalacion de Ventaneria y Vidrios</c:v>
              </c:pt>
              <c:pt idx="12">
                <c:v>13. Pintura Interior y Fachada</c:v>
              </c:pt>
              <c:pt idx="13">
                <c:v>14. Limpieza Final de Obra</c:v>
              </c:pt>
              <c:pt idx="14">
                <c:v>15. Entrega de Llaves y Post-Venta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1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0</c:v>
              </c:pt>
              <c:pt idx="13">
                <c:v>1</c:v>
              </c:pt>
              <c:pt idx="1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7-8FD1-4823-A2ED-77DCF0CF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948223"/>
        <c:axId val="1835626784"/>
      </c:barChart>
      <c:catAx>
        <c:axId val="4994822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562678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3562678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499482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[Construction Project Dashboard.xlsx]PivotChartTable7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5" fmlaLink="Settings!$B$27" horiz="1" inc="15" max="732" page="15" val="135"/>
</file>

<file path=xl/ctrlProps/ctrlProp2.xml><?xml version="1.0" encoding="utf-8"?>
<formControlPr xmlns="http://schemas.microsoft.com/office/spreadsheetml/2009/9/main" objectType="Radio" checked="Checked" firstButton="1" fmlaLink="Settings!$B$28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svg"/><Relationship Id="rId18" Type="http://schemas.openxmlformats.org/officeDocument/2006/relationships/image" Target="../media/image12.png"/><Relationship Id="rId3" Type="http://schemas.openxmlformats.org/officeDocument/2006/relationships/chart" Target="../charts/chart3.xml"/><Relationship Id="rId21" Type="http://schemas.openxmlformats.org/officeDocument/2006/relationships/image" Target="../media/image15.svg"/><Relationship Id="rId7" Type="http://schemas.openxmlformats.org/officeDocument/2006/relationships/hyperlink" Target="#'Gantt View'!A1"/><Relationship Id="rId12" Type="http://schemas.openxmlformats.org/officeDocument/2006/relationships/image" Target="../media/image6.png"/><Relationship Id="rId17" Type="http://schemas.openxmlformats.org/officeDocument/2006/relationships/image" Target="../media/image11.sv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20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hyperlink" Target="#'Phase &amp; Line'!A1"/><Relationship Id="rId11" Type="http://schemas.openxmlformats.org/officeDocument/2006/relationships/image" Target="../media/image5.svg"/><Relationship Id="rId5" Type="http://schemas.microsoft.com/office/2007/relationships/hdphoto" Target="../media/hdphoto1.wdp"/><Relationship Id="rId15" Type="http://schemas.openxmlformats.org/officeDocument/2006/relationships/image" Target="../media/image9.svg"/><Relationship Id="rId23" Type="http://schemas.openxmlformats.org/officeDocument/2006/relationships/image" Target="../media/image17.svg"/><Relationship Id="rId10" Type="http://schemas.openxmlformats.org/officeDocument/2006/relationships/image" Target="../media/image4.png"/><Relationship Id="rId19" Type="http://schemas.openxmlformats.org/officeDocument/2006/relationships/image" Target="../media/image13.svg"/><Relationship Id="rId4" Type="http://schemas.openxmlformats.org/officeDocument/2006/relationships/image" Target="../media/image1.png"/><Relationship Id="rId9" Type="http://schemas.openxmlformats.org/officeDocument/2006/relationships/image" Target="../media/image3.svg"/><Relationship Id="rId14" Type="http://schemas.openxmlformats.org/officeDocument/2006/relationships/image" Target="../media/image8.png"/><Relationship Id="rId22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svg"/><Relationship Id="rId13" Type="http://schemas.openxmlformats.org/officeDocument/2006/relationships/image" Target="../media/image26.png"/><Relationship Id="rId18" Type="http://schemas.openxmlformats.org/officeDocument/2006/relationships/chart" Target="../charts/chart7.xml"/><Relationship Id="rId3" Type="http://schemas.openxmlformats.org/officeDocument/2006/relationships/image" Target="../media/image18.png"/><Relationship Id="rId7" Type="http://schemas.openxmlformats.org/officeDocument/2006/relationships/image" Target="../media/image16.png"/><Relationship Id="rId12" Type="http://schemas.openxmlformats.org/officeDocument/2006/relationships/image" Target="../media/image25.svg"/><Relationship Id="rId17" Type="http://schemas.openxmlformats.org/officeDocument/2006/relationships/chart" Target="../charts/chart6.xml"/><Relationship Id="rId2" Type="http://schemas.openxmlformats.org/officeDocument/2006/relationships/hyperlink" Target="#'Gantt View'!A1"/><Relationship Id="rId16" Type="http://schemas.openxmlformats.org/officeDocument/2006/relationships/chart" Target="../charts/chart5.xml"/><Relationship Id="rId20" Type="http://schemas.microsoft.com/office/2007/relationships/hdphoto" Target="../media/hdphoto1.wdp"/><Relationship Id="rId1" Type="http://schemas.openxmlformats.org/officeDocument/2006/relationships/hyperlink" Target="#Overview!A1"/><Relationship Id="rId6" Type="http://schemas.openxmlformats.org/officeDocument/2006/relationships/image" Target="../media/image21.svg"/><Relationship Id="rId11" Type="http://schemas.openxmlformats.org/officeDocument/2006/relationships/image" Target="../media/image24.png"/><Relationship Id="rId5" Type="http://schemas.openxmlformats.org/officeDocument/2006/relationships/image" Target="../media/image20.png"/><Relationship Id="rId15" Type="http://schemas.openxmlformats.org/officeDocument/2006/relationships/chart" Target="../charts/chart4.xml"/><Relationship Id="rId10" Type="http://schemas.openxmlformats.org/officeDocument/2006/relationships/image" Target="../media/image23.svg"/><Relationship Id="rId19" Type="http://schemas.openxmlformats.org/officeDocument/2006/relationships/image" Target="../media/image1.png"/><Relationship Id="rId4" Type="http://schemas.openxmlformats.org/officeDocument/2006/relationships/image" Target="../media/image19.svg"/><Relationship Id="rId9" Type="http://schemas.openxmlformats.org/officeDocument/2006/relationships/image" Target="../media/image22.png"/><Relationship Id="rId14" Type="http://schemas.openxmlformats.org/officeDocument/2006/relationships/image" Target="../media/image27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36.png"/><Relationship Id="rId3" Type="http://schemas.openxmlformats.org/officeDocument/2006/relationships/image" Target="../media/image28.png"/><Relationship Id="rId7" Type="http://schemas.openxmlformats.org/officeDocument/2006/relationships/image" Target="../media/image8.png"/><Relationship Id="rId12" Type="http://schemas.openxmlformats.org/officeDocument/2006/relationships/image" Target="../media/image35.svg"/><Relationship Id="rId2" Type="http://schemas.openxmlformats.org/officeDocument/2006/relationships/hyperlink" Target="#'Phase &amp; Line'!A1"/><Relationship Id="rId16" Type="http://schemas.microsoft.com/office/2007/relationships/hdphoto" Target="../media/hdphoto1.wdp"/><Relationship Id="rId1" Type="http://schemas.openxmlformats.org/officeDocument/2006/relationships/hyperlink" Target="#Overview!A1"/><Relationship Id="rId6" Type="http://schemas.openxmlformats.org/officeDocument/2006/relationships/image" Target="../media/image31.svg"/><Relationship Id="rId11" Type="http://schemas.openxmlformats.org/officeDocument/2006/relationships/image" Target="../media/image34.png"/><Relationship Id="rId5" Type="http://schemas.openxmlformats.org/officeDocument/2006/relationships/image" Target="../media/image30.png"/><Relationship Id="rId15" Type="http://schemas.openxmlformats.org/officeDocument/2006/relationships/image" Target="../media/image1.png"/><Relationship Id="rId10" Type="http://schemas.openxmlformats.org/officeDocument/2006/relationships/image" Target="../media/image33.svg"/><Relationship Id="rId4" Type="http://schemas.openxmlformats.org/officeDocument/2006/relationships/image" Target="../media/image29.svg"/><Relationship Id="rId9" Type="http://schemas.openxmlformats.org/officeDocument/2006/relationships/image" Target="../media/image32.png"/><Relationship Id="rId14" Type="http://schemas.openxmlformats.org/officeDocument/2006/relationships/image" Target="../media/image3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843642</xdr:colOff>
      <xdr:row>39</xdr:row>
      <xdr:rowOff>0</xdr:rowOff>
    </xdr:to>
    <xdr:sp macro="" textlink="">
      <xdr:nvSpPr>
        <xdr:cNvPr id="2" name="Rectángulo: esquinas superiores redondeadas 1">
          <a:extLst>
            <a:ext uri="{FF2B5EF4-FFF2-40B4-BE49-F238E27FC236}">
              <a16:creationId xmlns:a16="http://schemas.microsoft.com/office/drawing/2014/main" id="{F8D5285B-3678-45A1-9268-8D90795ABD45}"/>
            </a:ext>
          </a:extLst>
        </xdr:cNvPr>
        <xdr:cNvSpPr/>
      </xdr:nvSpPr>
      <xdr:spPr>
        <a:xfrm rot="5400000">
          <a:off x="-2253343" y="2253344"/>
          <a:ext cx="6368142" cy="1861456"/>
        </a:xfrm>
        <a:prstGeom prst="round2SameRect">
          <a:avLst>
            <a:gd name="adj1" fmla="val 8220"/>
            <a:gd name="adj2" fmla="val 0"/>
          </a:avLst>
        </a:prstGeom>
        <a:solidFill>
          <a:srgbClr val="F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FF5D5D"/>
            </a:solidFill>
          </a:endParaRPr>
        </a:p>
      </xdr:txBody>
    </xdr:sp>
    <xdr:clientData/>
  </xdr:twoCellAnchor>
  <xdr:twoCellAnchor>
    <xdr:from>
      <xdr:col>8</xdr:col>
      <xdr:colOff>276369</xdr:colOff>
      <xdr:row>14</xdr:row>
      <xdr:rowOff>21773</xdr:rowOff>
    </xdr:from>
    <xdr:to>
      <xdr:col>15</xdr:col>
      <xdr:colOff>342899</xdr:colOff>
      <xdr:row>25</xdr:row>
      <xdr:rowOff>68830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306397-7751-0A70-6861-3ECD65380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619725</xdr:colOff>
      <xdr:row>14</xdr:row>
      <xdr:rowOff>21773</xdr:rowOff>
    </xdr:from>
    <xdr:to>
      <xdr:col>8</xdr:col>
      <xdr:colOff>184601</xdr:colOff>
      <xdr:row>25</xdr:row>
      <xdr:rowOff>69408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25AC50-3D08-F198-592A-8D08ABEB5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960364</xdr:colOff>
      <xdr:row>14</xdr:row>
      <xdr:rowOff>21773</xdr:rowOff>
    </xdr:from>
    <xdr:to>
      <xdr:col>4</xdr:col>
      <xdr:colOff>527957</xdr:colOff>
      <xdr:row>25</xdr:row>
      <xdr:rowOff>69372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18CB6D-D530-622D-C9A0-28F1029D5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353786</xdr:colOff>
      <xdr:row>0</xdr:row>
      <xdr:rowOff>0</xdr:rowOff>
    </xdr:from>
    <xdr:to>
      <xdr:col>15</xdr:col>
      <xdr:colOff>397330</xdr:colOff>
      <xdr:row>5</xdr:row>
      <xdr:rowOff>11571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ame_Project">
              <a:extLst>
                <a:ext uri="{FF2B5EF4-FFF2-40B4-BE49-F238E27FC236}">
                  <a16:creationId xmlns:a16="http://schemas.microsoft.com/office/drawing/2014/main" id="{2353AF8F-EB31-3E35-C00D-E148B787E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_Proje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2472" y="0"/>
              <a:ext cx="7549244" cy="8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908955</xdr:colOff>
      <xdr:row>0</xdr:row>
      <xdr:rowOff>0</xdr:rowOff>
    </xdr:from>
    <xdr:to>
      <xdr:col>5</xdr:col>
      <xdr:colOff>322234</xdr:colOff>
      <xdr:row>5</xdr:row>
      <xdr:rowOff>10885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ject_Type">
              <a:extLst>
                <a:ext uri="{FF2B5EF4-FFF2-40B4-BE49-F238E27FC236}">
                  <a16:creationId xmlns:a16="http://schemas.microsoft.com/office/drawing/2014/main" id="{6432D83C-6C97-9A84-0537-08E0B4A8E9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6769" y="0"/>
              <a:ext cx="3664151" cy="827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596982</xdr:colOff>
      <xdr:row>2</xdr:row>
      <xdr:rowOff>56033</xdr:rowOff>
    </xdr:from>
    <xdr:to>
      <xdr:col>1</xdr:col>
      <xdr:colOff>246660</xdr:colOff>
      <xdr:row>5</xdr:row>
      <xdr:rowOff>32660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BC1A2C-FB18-C5AF-635E-47FB9573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982" y="382604"/>
          <a:ext cx="667492" cy="46648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146959</xdr:colOff>
      <xdr:row>5</xdr:row>
      <xdr:rowOff>16326</xdr:rowOff>
    </xdr:from>
    <xdr:to>
      <xdr:col>1</xdr:col>
      <xdr:colOff>563340</xdr:colOff>
      <xdr:row>10</xdr:row>
      <xdr:rowOff>119744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EEEE634-046A-7502-6C50-3B8A65F8615A}"/>
            </a:ext>
          </a:extLst>
        </xdr:cNvPr>
        <xdr:cNvSpPr txBox="1"/>
      </xdr:nvSpPr>
      <xdr:spPr>
        <a:xfrm>
          <a:off x="146959" y="832755"/>
          <a:ext cx="1434195" cy="919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600" b="1" i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Construction Project Dashboard </a:t>
          </a:r>
          <a:endParaRPr lang="es-PE" sz="1600" b="1" i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941615</xdr:colOff>
      <xdr:row>5</xdr:row>
      <xdr:rowOff>70757</xdr:rowOff>
    </xdr:from>
    <xdr:to>
      <xdr:col>15</xdr:col>
      <xdr:colOff>375557</xdr:colOff>
      <xdr:row>13</xdr:row>
      <xdr:rowOff>81643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A3526819-FD28-C5E6-427E-7921E6AE50B9}"/>
            </a:ext>
          </a:extLst>
        </xdr:cNvPr>
        <xdr:cNvSpPr/>
      </xdr:nvSpPr>
      <xdr:spPr>
        <a:xfrm>
          <a:off x="1959429" y="887186"/>
          <a:ext cx="11190514" cy="1317171"/>
        </a:xfrm>
        <a:prstGeom prst="roundRect">
          <a:avLst>
            <a:gd name="adj" fmla="val 8854"/>
          </a:avLst>
        </a:prstGeom>
        <a:solidFill>
          <a:srgbClr val="A4A4A4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213630</xdr:colOff>
      <xdr:row>12</xdr:row>
      <xdr:rowOff>65313</xdr:rowOff>
    </xdr:from>
    <xdr:to>
      <xdr:col>1</xdr:col>
      <xdr:colOff>845545</xdr:colOff>
      <xdr:row>15</xdr:row>
      <xdr:rowOff>14273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7701F45D-B9B7-C68F-B0E3-3D81B8BE05C3}"/>
            </a:ext>
          </a:extLst>
        </xdr:cNvPr>
        <xdr:cNvSpPr/>
      </xdr:nvSpPr>
      <xdr:spPr>
        <a:xfrm>
          <a:off x="213630" y="2040672"/>
          <a:ext cx="1648800" cy="442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sng">
              <a:solidFill>
                <a:srgbClr val="FF2F2F"/>
              </a:solidFill>
              <a:latin typeface="+mn-lt"/>
              <a:cs typeface="Segoe UI" panose="020B0502040204020203" pitchFamily="34" charset="0"/>
            </a:rPr>
            <a:t>Overview</a:t>
          </a:r>
        </a:p>
      </xdr:txBody>
    </xdr:sp>
    <xdr:clientData/>
  </xdr:twoCellAnchor>
  <xdr:twoCellAnchor>
    <xdr:from>
      <xdr:col>0</xdr:col>
      <xdr:colOff>214581</xdr:colOff>
      <xdr:row>15</xdr:row>
      <xdr:rowOff>116882</xdr:rowOff>
    </xdr:from>
    <xdr:to>
      <xdr:col>1</xdr:col>
      <xdr:colOff>844594</xdr:colOff>
      <xdr:row>18</xdr:row>
      <xdr:rowOff>67446</xdr:rowOff>
    </xdr:to>
    <xdr:sp macro="" textlink="">
      <xdr:nvSpPr>
        <xdr:cNvPr id="25" name="Rectángulo: esquinas redondeadas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4E3B15-2A1B-4B6A-B9E4-4C43480920B2}"/>
            </a:ext>
          </a:extLst>
        </xdr:cNvPr>
        <xdr:cNvSpPr/>
      </xdr:nvSpPr>
      <xdr:spPr>
        <a:xfrm>
          <a:off x="214581" y="2586081"/>
          <a:ext cx="1646898" cy="444404"/>
        </a:xfrm>
        <a:prstGeom prst="roundRect">
          <a:avLst/>
        </a:prstGeom>
        <a:solidFill>
          <a:srgbClr val="FF5D5D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>
              <a:solidFill>
                <a:schemeClr val="bg1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Phase &amp; Line Item Analysis</a:t>
          </a:r>
          <a:endParaRPr lang="es-PE" sz="800" b="1" i="0" u="none">
            <a:solidFill>
              <a:schemeClr val="bg1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214581</xdr:colOff>
      <xdr:row>19</xdr:row>
      <xdr:rowOff>5443</xdr:rowOff>
    </xdr:from>
    <xdr:to>
      <xdr:col>1</xdr:col>
      <xdr:colOff>844594</xdr:colOff>
      <xdr:row>21</xdr:row>
      <xdr:rowOff>118072</xdr:rowOff>
    </xdr:to>
    <xdr:sp macro="" textlink="">
      <xdr:nvSpPr>
        <xdr:cNvPr id="26" name="Rectángulo: esquinas redondeadas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394DAD-C883-4480-B838-31F4908A9E9B}"/>
            </a:ext>
          </a:extLst>
        </xdr:cNvPr>
        <xdr:cNvSpPr/>
      </xdr:nvSpPr>
      <xdr:spPr>
        <a:xfrm>
          <a:off x="214581" y="3133095"/>
          <a:ext cx="1646898" cy="441855"/>
        </a:xfrm>
        <a:prstGeom prst="roundRect">
          <a:avLst/>
        </a:prstGeom>
        <a:solidFill>
          <a:srgbClr val="FF5D5D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>
              <a:solidFill>
                <a:schemeClr val="bg1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Gantt View</a:t>
          </a:r>
          <a:endParaRPr lang="es-PE" sz="800" b="1" i="0" u="none">
            <a:solidFill>
              <a:schemeClr val="bg1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979712</xdr:colOff>
      <xdr:row>5</xdr:row>
      <xdr:rowOff>155121</xdr:rowOff>
    </xdr:from>
    <xdr:to>
      <xdr:col>3</xdr:col>
      <xdr:colOff>418</xdr:colOff>
      <xdr:row>13</xdr:row>
      <xdr:rowOff>13609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4B55DE4A-88CA-8AF7-8C18-C9351B11C25C}"/>
            </a:ext>
          </a:extLst>
        </xdr:cNvPr>
        <xdr:cNvSpPr/>
      </xdr:nvSpPr>
      <xdr:spPr>
        <a:xfrm>
          <a:off x="1997526" y="971550"/>
          <a:ext cx="1333921" cy="1164773"/>
        </a:xfrm>
        <a:prstGeom prst="roundRect">
          <a:avLst>
            <a:gd name="adj" fmla="val 11060"/>
          </a:avLst>
        </a:prstGeom>
        <a:solidFill>
          <a:schemeClr val="bg1">
            <a:alpha val="70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520857</xdr:colOff>
      <xdr:row>7</xdr:row>
      <xdr:rowOff>15137</xdr:rowOff>
    </xdr:from>
    <xdr:to>
      <xdr:col>2</xdr:col>
      <xdr:colOff>736857</xdr:colOff>
      <xdr:row>8</xdr:row>
      <xdr:rowOff>67851</xdr:rowOff>
    </xdr:to>
    <xdr:pic>
      <xdr:nvPicPr>
        <xdr:cNvPr id="20" name="Gráfico 19" descr="Plano con relleno sólido">
          <a:extLst>
            <a:ext uri="{FF2B5EF4-FFF2-40B4-BE49-F238E27FC236}">
              <a16:creationId xmlns:a16="http://schemas.microsoft.com/office/drawing/2014/main" id="{AAB02A95-9667-D5A2-B14F-6DCE0391C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rcRect/>
        <a:stretch/>
      </xdr:blipFill>
      <xdr:spPr>
        <a:xfrm>
          <a:off x="2556486" y="1158137"/>
          <a:ext cx="216000" cy="216000"/>
        </a:xfrm>
        <a:prstGeom prst="rect">
          <a:avLst/>
        </a:prstGeom>
      </xdr:spPr>
    </xdr:pic>
    <xdr:clientData/>
  </xdr:twoCellAnchor>
  <xdr:twoCellAnchor>
    <xdr:from>
      <xdr:col>2</xdr:col>
      <xdr:colOff>52555</xdr:colOff>
      <xdr:row>8</xdr:row>
      <xdr:rowOff>73308</xdr:rowOff>
    </xdr:from>
    <xdr:to>
      <xdr:col>2</xdr:col>
      <xdr:colOff>1205160</xdr:colOff>
      <xdr:row>9</xdr:row>
      <xdr:rowOff>108023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0E2A405-8DF0-D296-8DD7-411D1926FC58}"/>
            </a:ext>
          </a:extLst>
        </xdr:cNvPr>
        <xdr:cNvSpPr txBox="1"/>
      </xdr:nvSpPr>
      <xdr:spPr>
        <a:xfrm>
          <a:off x="2088184" y="1379594"/>
          <a:ext cx="1152605" cy="19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Projects</a:t>
          </a:r>
        </a:p>
      </xdr:txBody>
    </xdr:sp>
    <xdr:clientData/>
  </xdr:twoCellAnchor>
  <xdr:twoCellAnchor>
    <xdr:from>
      <xdr:col>2</xdr:col>
      <xdr:colOff>52555</xdr:colOff>
      <xdr:row>9</xdr:row>
      <xdr:rowOff>124867</xdr:rowOff>
    </xdr:from>
    <xdr:to>
      <xdr:col>2</xdr:col>
      <xdr:colOff>1205160</xdr:colOff>
      <xdr:row>10</xdr:row>
      <xdr:rowOff>141581</xdr:rowOff>
    </xdr:to>
    <xdr:sp macro="" textlink="Settings!B2">
      <xdr:nvSpPr>
        <xdr:cNvPr id="40" name="CuadroTexto 39">
          <a:extLst>
            <a:ext uri="{FF2B5EF4-FFF2-40B4-BE49-F238E27FC236}">
              <a16:creationId xmlns:a16="http://schemas.microsoft.com/office/drawing/2014/main" id="{309387F3-31AC-467A-A1DC-82ADC18D56A7}"/>
            </a:ext>
          </a:extLst>
        </xdr:cNvPr>
        <xdr:cNvSpPr txBox="1"/>
      </xdr:nvSpPr>
      <xdr:spPr>
        <a:xfrm>
          <a:off x="2088184" y="1594438"/>
          <a:ext cx="1152605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240EB5-D7E8-4497-A433-E5551F45C9C1}" type="TxLink">
            <a:rPr lang="en-US" sz="1000" b="1" i="0" u="none" strike="noStrike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10</a:t>
          </a:fld>
          <a:endParaRPr lang="es-PE" sz="1050" b="1">
            <a:solidFill>
              <a:srgbClr val="737373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64141</xdr:colOff>
      <xdr:row>5</xdr:row>
      <xdr:rowOff>155121</xdr:rowOff>
    </xdr:from>
    <xdr:to>
      <xdr:col>4</xdr:col>
      <xdr:colOff>369362</xdr:colOff>
      <xdr:row>13</xdr:row>
      <xdr:rowOff>13609</xdr:rowOff>
    </xdr:to>
    <xdr:grpSp>
      <xdr:nvGrpSpPr>
        <xdr:cNvPr id="115" name="Grupo 114">
          <a:extLst>
            <a:ext uri="{FF2B5EF4-FFF2-40B4-BE49-F238E27FC236}">
              <a16:creationId xmlns:a16="http://schemas.microsoft.com/office/drawing/2014/main" id="{C87FA66D-6E0E-9390-B637-61144B2BB93B}"/>
            </a:ext>
          </a:extLst>
        </xdr:cNvPr>
        <xdr:cNvGrpSpPr/>
      </xdr:nvGrpSpPr>
      <xdr:grpSpPr>
        <a:xfrm>
          <a:off x="3395170" y="971550"/>
          <a:ext cx="1333921" cy="1164773"/>
          <a:chOff x="3396019" y="971550"/>
          <a:chExt cx="1333921" cy="1164773"/>
        </a:xfrm>
      </xdr:grpSpPr>
      <xdr:sp macro="" textlink="">
        <xdr:nvSpPr>
          <xdr:cNvPr id="43" name="Rectángulo: esquinas redondeadas 42">
            <a:extLst>
              <a:ext uri="{FF2B5EF4-FFF2-40B4-BE49-F238E27FC236}">
                <a16:creationId xmlns:a16="http://schemas.microsoft.com/office/drawing/2014/main" id="{55E393DD-CB1E-2902-92B5-3E9D965D0D19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44" name="Gráfico 43" descr="Caja fuerte con relleno sólido">
            <a:extLst>
              <a:ext uri="{FF2B5EF4-FFF2-40B4-BE49-F238E27FC236}">
                <a16:creationId xmlns:a16="http://schemas.microsoft.com/office/drawing/2014/main" id="{D02EFD0D-791A-15B0-B118-DC31EEDEC2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rcRect/>
          <a:stretch/>
        </xdr:blipFill>
        <xdr:spPr>
          <a:xfrm>
            <a:off x="3954979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E0B85052-184E-0B50-DF9A-E876AAD66280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Budget</a:t>
            </a:r>
          </a:p>
        </xdr:txBody>
      </xdr:sp>
      <xdr:sp macro="" textlink="Settings!B3">
        <xdr:nvSpPr>
          <xdr:cNvPr id="46" name="CuadroTexto 45">
            <a:extLst>
              <a:ext uri="{FF2B5EF4-FFF2-40B4-BE49-F238E27FC236}">
                <a16:creationId xmlns:a16="http://schemas.microsoft.com/office/drawing/2014/main" id="{1AC71695-202C-ECB8-E527-924BA748480D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B253997-5794-4887-9878-B17C380BD722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S/ 77,300,000</a:t>
            </a:fld>
            <a:endParaRPr lang="es-PE" sz="11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4</xdr:col>
      <xdr:colOff>433085</xdr:colOff>
      <xdr:row>5</xdr:row>
      <xdr:rowOff>155121</xdr:rowOff>
    </xdr:from>
    <xdr:to>
      <xdr:col>6</xdr:col>
      <xdr:colOff>74278</xdr:colOff>
      <xdr:row>13</xdr:row>
      <xdr:rowOff>13609</xdr:rowOff>
    </xdr:to>
    <xdr:grpSp>
      <xdr:nvGrpSpPr>
        <xdr:cNvPr id="116" name="Grupo 115">
          <a:extLst>
            <a:ext uri="{FF2B5EF4-FFF2-40B4-BE49-F238E27FC236}">
              <a16:creationId xmlns:a16="http://schemas.microsoft.com/office/drawing/2014/main" id="{9C699B83-1386-46ED-0C6D-48C60869B936}"/>
            </a:ext>
          </a:extLst>
        </xdr:cNvPr>
        <xdr:cNvGrpSpPr/>
      </xdr:nvGrpSpPr>
      <xdr:grpSpPr>
        <a:xfrm>
          <a:off x="4792814" y="971550"/>
          <a:ext cx="1333921" cy="1164773"/>
          <a:chOff x="4794512" y="971550"/>
          <a:chExt cx="1333921" cy="1164773"/>
        </a:xfrm>
      </xdr:grpSpPr>
      <xdr:sp macro="" textlink="">
        <xdr:nvSpPr>
          <xdr:cNvPr id="48" name="Rectángulo: esquinas redondeadas 47">
            <a:extLst>
              <a:ext uri="{FF2B5EF4-FFF2-40B4-BE49-F238E27FC236}">
                <a16:creationId xmlns:a16="http://schemas.microsoft.com/office/drawing/2014/main" id="{14EFC16B-859D-AAF4-C317-54EC09B790CB}"/>
              </a:ext>
            </a:extLst>
          </xdr:cNvPr>
          <xdr:cNvSpPr/>
        </xdr:nvSpPr>
        <xdr:spPr>
          <a:xfrm>
            <a:off x="4794512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49" name="Gráfico 48" descr="Dinero con relleno sólido">
            <a:extLst>
              <a:ext uri="{FF2B5EF4-FFF2-40B4-BE49-F238E27FC236}">
                <a16:creationId xmlns:a16="http://schemas.microsoft.com/office/drawing/2014/main" id="{30DE5754-2AA7-BCDC-0916-D545D6BA6C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5353472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8AA0403F-DBC6-7B3D-3B50-282C6BF4D947}"/>
              </a:ext>
            </a:extLst>
          </xdr:cNvPr>
          <xdr:cNvSpPr txBox="1"/>
        </xdr:nvSpPr>
        <xdr:spPr>
          <a:xfrm>
            <a:off x="4885170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Planned</a:t>
            </a:r>
            <a:r>
              <a:rPr lang="es-PE" sz="800" b="1" baseline="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Cost</a:t>
            </a:r>
            <a:endPara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4">
        <xdr:nvSpPr>
          <xdr:cNvPr id="51" name="CuadroTexto 50">
            <a:extLst>
              <a:ext uri="{FF2B5EF4-FFF2-40B4-BE49-F238E27FC236}">
                <a16:creationId xmlns:a16="http://schemas.microsoft.com/office/drawing/2014/main" id="{07723E79-B698-3C96-87F4-AFBC587AE583}"/>
              </a:ext>
            </a:extLst>
          </xdr:cNvPr>
          <xdr:cNvSpPr txBox="1"/>
        </xdr:nvSpPr>
        <xdr:spPr>
          <a:xfrm>
            <a:off x="4885170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2BDCACD-E6BF-40FD-98FE-4AD347B7C881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S/ 51,233,000</a:t>
            </a:fld>
            <a:endParaRPr lang="es-PE" sz="12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138001</xdr:colOff>
      <xdr:row>5</xdr:row>
      <xdr:rowOff>155121</xdr:rowOff>
    </xdr:from>
    <xdr:to>
      <xdr:col>8</xdr:col>
      <xdr:colOff>73108</xdr:colOff>
      <xdr:row>13</xdr:row>
      <xdr:rowOff>13609</xdr:rowOff>
    </xdr:to>
    <xdr:grpSp>
      <xdr:nvGrpSpPr>
        <xdr:cNvPr id="117" name="Grupo 116">
          <a:extLst>
            <a:ext uri="{FF2B5EF4-FFF2-40B4-BE49-F238E27FC236}">
              <a16:creationId xmlns:a16="http://schemas.microsoft.com/office/drawing/2014/main" id="{B0324641-F37E-9ACA-ADD2-2ABD530AD023}"/>
            </a:ext>
          </a:extLst>
        </xdr:cNvPr>
        <xdr:cNvGrpSpPr/>
      </xdr:nvGrpSpPr>
      <xdr:grpSpPr>
        <a:xfrm>
          <a:off x="6190458" y="971550"/>
          <a:ext cx="1333921" cy="1164773"/>
          <a:chOff x="6193005" y="971550"/>
          <a:chExt cx="1333921" cy="1164773"/>
        </a:xfrm>
      </xdr:grpSpPr>
      <xdr:sp macro="" textlink="">
        <xdr:nvSpPr>
          <xdr:cNvPr id="73" name="Rectángulo: esquinas redondeadas 72">
            <a:extLst>
              <a:ext uri="{FF2B5EF4-FFF2-40B4-BE49-F238E27FC236}">
                <a16:creationId xmlns:a16="http://schemas.microsoft.com/office/drawing/2014/main" id="{9BCC7813-E9E1-00B5-6AC2-B1E61A100FD6}"/>
              </a:ext>
            </a:extLst>
          </xdr:cNvPr>
          <xdr:cNvSpPr/>
        </xdr:nvSpPr>
        <xdr:spPr>
          <a:xfrm>
            <a:off x="6193005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74" name="Gráfico 73" descr="Monedas con relleno sólido">
            <a:extLst>
              <a:ext uri="{FF2B5EF4-FFF2-40B4-BE49-F238E27FC236}">
                <a16:creationId xmlns:a16="http://schemas.microsoft.com/office/drawing/2014/main" id="{A6A44262-2E4E-CEF5-1AB6-6282C222E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rcRect/>
          <a:stretch/>
        </xdr:blipFill>
        <xdr:spPr>
          <a:xfrm>
            <a:off x="6751965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75" name="CuadroTexto 74">
            <a:extLst>
              <a:ext uri="{FF2B5EF4-FFF2-40B4-BE49-F238E27FC236}">
                <a16:creationId xmlns:a16="http://schemas.microsoft.com/office/drawing/2014/main" id="{F69D6553-AADA-9C93-512D-41BC9DA2FFED}"/>
              </a:ext>
            </a:extLst>
          </xdr:cNvPr>
          <xdr:cNvSpPr txBox="1"/>
        </xdr:nvSpPr>
        <xdr:spPr>
          <a:xfrm>
            <a:off x="6283663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</a:t>
            </a:r>
            <a:r>
              <a:rPr lang="es-PE" sz="800" b="1" baseline="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Cost</a:t>
            </a:r>
            <a:endPara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5">
        <xdr:nvSpPr>
          <xdr:cNvPr id="76" name="CuadroTexto 75">
            <a:extLst>
              <a:ext uri="{FF2B5EF4-FFF2-40B4-BE49-F238E27FC236}">
                <a16:creationId xmlns:a16="http://schemas.microsoft.com/office/drawing/2014/main" id="{C640CA6E-7263-C3B0-6094-C273B63D0AD6}"/>
              </a:ext>
            </a:extLst>
          </xdr:cNvPr>
          <xdr:cNvSpPr txBox="1"/>
        </xdr:nvSpPr>
        <xdr:spPr>
          <a:xfrm>
            <a:off x="6283663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322AF5F-4D87-4D4B-AF29-BB2BFB7E33A6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S/ 22,146,500</a:t>
            </a:fld>
            <a:endParaRPr lang="es-PE" sz="14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136831</xdr:colOff>
      <xdr:row>5</xdr:row>
      <xdr:rowOff>155121</xdr:rowOff>
    </xdr:from>
    <xdr:to>
      <xdr:col>10</xdr:col>
      <xdr:colOff>224337</xdr:colOff>
      <xdr:row>13</xdr:row>
      <xdr:rowOff>13609</xdr:rowOff>
    </xdr:to>
    <xdr:grpSp>
      <xdr:nvGrpSpPr>
        <xdr:cNvPr id="118" name="Grupo 117">
          <a:extLst>
            <a:ext uri="{FF2B5EF4-FFF2-40B4-BE49-F238E27FC236}">
              <a16:creationId xmlns:a16="http://schemas.microsoft.com/office/drawing/2014/main" id="{FC320E4D-4379-943C-B0F2-BE51F4A9F3E9}"/>
            </a:ext>
          </a:extLst>
        </xdr:cNvPr>
        <xdr:cNvGrpSpPr/>
      </xdr:nvGrpSpPr>
      <xdr:grpSpPr>
        <a:xfrm>
          <a:off x="7588102" y="971550"/>
          <a:ext cx="1333921" cy="1164773"/>
          <a:chOff x="7591498" y="971550"/>
          <a:chExt cx="1333921" cy="1164773"/>
        </a:xfrm>
      </xdr:grpSpPr>
      <xdr:sp macro="" textlink="">
        <xdr:nvSpPr>
          <xdr:cNvPr id="78" name="Rectángulo: esquinas redondeadas 77">
            <a:extLst>
              <a:ext uri="{FF2B5EF4-FFF2-40B4-BE49-F238E27FC236}">
                <a16:creationId xmlns:a16="http://schemas.microsoft.com/office/drawing/2014/main" id="{0BC4FE9E-16D6-E66E-931E-10AF4E9B2630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79" name="Gráfico 78" descr="Indicador con relleno sólido">
            <a:extLst>
              <a:ext uri="{FF2B5EF4-FFF2-40B4-BE49-F238E27FC236}">
                <a16:creationId xmlns:a16="http://schemas.microsoft.com/office/drawing/2014/main" id="{5E80B8AA-1E48-7781-EE8A-CEEECD2531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rcRect/>
          <a:stretch/>
        </xdr:blipFill>
        <xdr:spPr>
          <a:xfrm>
            <a:off x="8150458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80" name="CuadroTexto 79">
            <a:extLst>
              <a:ext uri="{FF2B5EF4-FFF2-40B4-BE49-F238E27FC236}">
                <a16:creationId xmlns:a16="http://schemas.microsoft.com/office/drawing/2014/main" id="{BF56D37F-2321-5A6F-906A-5FA1FF96DDF6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</a:t>
            </a:r>
            <a:r>
              <a:rPr lang="es-PE" sz="800" b="1" baseline="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Progress</a:t>
            </a:r>
            <a:endPara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6">
        <xdr:nvSpPr>
          <xdr:cNvPr id="81" name="CuadroTexto 80">
            <a:extLst>
              <a:ext uri="{FF2B5EF4-FFF2-40B4-BE49-F238E27FC236}">
                <a16:creationId xmlns:a16="http://schemas.microsoft.com/office/drawing/2014/main" id="{4635A1C4-D964-305A-530D-6AAE844AC50D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95112D1-7DCE-4711-9DD4-E0B8EA90E61A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61.47%</a:t>
            </a:fld>
            <a:endParaRPr lang="es-PE" sz="16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288060</xdr:colOff>
      <xdr:row>5</xdr:row>
      <xdr:rowOff>155121</xdr:rowOff>
    </xdr:from>
    <xdr:to>
      <xdr:col>12</xdr:col>
      <xdr:colOff>21781</xdr:colOff>
      <xdr:row>13</xdr:row>
      <xdr:rowOff>13609</xdr:rowOff>
    </xdr:to>
    <xdr:grpSp>
      <xdr:nvGrpSpPr>
        <xdr:cNvPr id="119" name="Grupo 118">
          <a:extLst>
            <a:ext uri="{FF2B5EF4-FFF2-40B4-BE49-F238E27FC236}">
              <a16:creationId xmlns:a16="http://schemas.microsoft.com/office/drawing/2014/main" id="{10549E55-A494-49D6-A455-B5518A1768D9}"/>
            </a:ext>
          </a:extLst>
        </xdr:cNvPr>
        <xdr:cNvGrpSpPr/>
      </xdr:nvGrpSpPr>
      <xdr:grpSpPr>
        <a:xfrm>
          <a:off x="8985746" y="971550"/>
          <a:ext cx="1333921" cy="1164773"/>
          <a:chOff x="7591498" y="971550"/>
          <a:chExt cx="1333921" cy="1164773"/>
        </a:xfrm>
      </xdr:grpSpPr>
      <xdr:sp macro="" textlink="">
        <xdr:nvSpPr>
          <xdr:cNvPr id="120" name="Rectángulo: esquinas redondeadas 119">
            <a:extLst>
              <a:ext uri="{FF2B5EF4-FFF2-40B4-BE49-F238E27FC236}">
                <a16:creationId xmlns:a16="http://schemas.microsoft.com/office/drawing/2014/main" id="{4F27A19F-5834-5734-2292-13021E2A235A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121" name="Gráfico 120" descr="Gráfico de barras con relleno sólido">
            <a:extLst>
              <a:ext uri="{FF2B5EF4-FFF2-40B4-BE49-F238E27FC236}">
                <a16:creationId xmlns:a16="http://schemas.microsoft.com/office/drawing/2014/main" id="{25F68BCA-C1AF-4109-7C09-6910E48480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8150458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122" name="CuadroTexto 121">
            <a:extLst>
              <a:ext uri="{FF2B5EF4-FFF2-40B4-BE49-F238E27FC236}">
                <a16:creationId xmlns:a16="http://schemas.microsoft.com/office/drawing/2014/main" id="{D0DFA0A0-AFEE-0FA6-333E-12DFDF7517D3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Budget vs. Actual</a:t>
            </a:r>
          </a:p>
        </xdr:txBody>
      </xdr:sp>
      <xdr:sp macro="" textlink="Settings!B8">
        <xdr:nvSpPr>
          <xdr:cNvPr id="123" name="CuadroTexto 122">
            <a:extLst>
              <a:ext uri="{FF2B5EF4-FFF2-40B4-BE49-F238E27FC236}">
                <a16:creationId xmlns:a16="http://schemas.microsoft.com/office/drawing/2014/main" id="{C516683C-D95A-C140-3335-E79E90F6F48A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225E9B9-FE73-461B-9256-EF99A340BC43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28.65%</a:t>
            </a:fld>
            <a:endParaRPr lang="es-PE" sz="16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85504</xdr:colOff>
      <xdr:row>5</xdr:row>
      <xdr:rowOff>155121</xdr:rowOff>
    </xdr:from>
    <xdr:to>
      <xdr:col>13</xdr:col>
      <xdr:colOff>837040</xdr:colOff>
      <xdr:row>13</xdr:row>
      <xdr:rowOff>13609</xdr:rowOff>
    </xdr:to>
    <xdr:grpSp>
      <xdr:nvGrpSpPr>
        <xdr:cNvPr id="124" name="Grupo 123">
          <a:extLst>
            <a:ext uri="{FF2B5EF4-FFF2-40B4-BE49-F238E27FC236}">
              <a16:creationId xmlns:a16="http://schemas.microsoft.com/office/drawing/2014/main" id="{36171698-78E0-49FC-9B51-3946CCF2DD3F}"/>
            </a:ext>
          </a:extLst>
        </xdr:cNvPr>
        <xdr:cNvGrpSpPr/>
      </xdr:nvGrpSpPr>
      <xdr:grpSpPr>
        <a:xfrm>
          <a:off x="10383390" y="971550"/>
          <a:ext cx="1333921" cy="1164773"/>
          <a:chOff x="7591498" y="971550"/>
          <a:chExt cx="1333921" cy="1164773"/>
        </a:xfrm>
      </xdr:grpSpPr>
      <xdr:sp macro="" textlink="">
        <xdr:nvSpPr>
          <xdr:cNvPr id="125" name="Rectángulo: esquinas redondeadas 124">
            <a:extLst>
              <a:ext uri="{FF2B5EF4-FFF2-40B4-BE49-F238E27FC236}">
                <a16:creationId xmlns:a16="http://schemas.microsoft.com/office/drawing/2014/main" id="{970F0904-6C11-A53B-6BB9-B522439F18C4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126" name="Gráfico 125" descr="Gráfico de barras de la curva exponencial de pandemia con relleno sólido">
            <a:extLst>
              <a:ext uri="{FF2B5EF4-FFF2-40B4-BE49-F238E27FC236}">
                <a16:creationId xmlns:a16="http://schemas.microsoft.com/office/drawing/2014/main" id="{AA9A5CEC-5847-FAC8-7F56-EB66FFF537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rcRect/>
          <a:stretch/>
        </xdr:blipFill>
        <xdr:spPr>
          <a:xfrm>
            <a:off x="8150458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127" name="CuadroTexto 126">
            <a:extLst>
              <a:ext uri="{FF2B5EF4-FFF2-40B4-BE49-F238E27FC236}">
                <a16:creationId xmlns:a16="http://schemas.microsoft.com/office/drawing/2014/main" id="{EF6109B9-219C-1F51-D253-5E25C163AD94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Planned vs. Actual</a:t>
            </a:r>
          </a:p>
        </xdr:txBody>
      </xdr:sp>
      <xdr:sp macro="" textlink="Settings!B9">
        <xdr:nvSpPr>
          <xdr:cNvPr id="128" name="CuadroTexto 127">
            <a:extLst>
              <a:ext uri="{FF2B5EF4-FFF2-40B4-BE49-F238E27FC236}">
                <a16:creationId xmlns:a16="http://schemas.microsoft.com/office/drawing/2014/main" id="{42C6D0B8-F238-D11A-A712-EB2DB4C0DCAE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2E7D51D-B151-4096-8C82-8FF78F93D0DF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43.23%</a:t>
            </a:fld>
            <a:endParaRPr lang="es-PE" sz="16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24462</xdr:colOff>
      <xdr:row>5</xdr:row>
      <xdr:rowOff>155121</xdr:rowOff>
    </xdr:from>
    <xdr:to>
      <xdr:col>15</xdr:col>
      <xdr:colOff>340568</xdr:colOff>
      <xdr:row>13</xdr:row>
      <xdr:rowOff>13609</xdr:rowOff>
    </xdr:to>
    <xdr:grpSp>
      <xdr:nvGrpSpPr>
        <xdr:cNvPr id="129" name="Grupo 128">
          <a:extLst>
            <a:ext uri="{FF2B5EF4-FFF2-40B4-BE49-F238E27FC236}">
              <a16:creationId xmlns:a16="http://schemas.microsoft.com/office/drawing/2014/main" id="{6E7CE812-55A0-4D57-9371-9B4DC95C985C}"/>
            </a:ext>
          </a:extLst>
        </xdr:cNvPr>
        <xdr:cNvGrpSpPr/>
      </xdr:nvGrpSpPr>
      <xdr:grpSpPr>
        <a:xfrm>
          <a:off x="11781033" y="971550"/>
          <a:ext cx="1333921" cy="1164773"/>
          <a:chOff x="7591498" y="971550"/>
          <a:chExt cx="1333921" cy="1164773"/>
        </a:xfrm>
      </xdr:grpSpPr>
      <xdr:sp macro="" textlink="">
        <xdr:nvSpPr>
          <xdr:cNvPr id="130" name="Rectángulo: esquinas redondeadas 129">
            <a:extLst>
              <a:ext uri="{FF2B5EF4-FFF2-40B4-BE49-F238E27FC236}">
                <a16:creationId xmlns:a16="http://schemas.microsoft.com/office/drawing/2014/main" id="{A6A9D60B-9D5A-D3B6-57DE-BDA8617B605E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131" name="Gráfico 130" descr="Advertencia con relleno sólido">
            <a:extLst>
              <a:ext uri="{FF2B5EF4-FFF2-40B4-BE49-F238E27FC236}">
                <a16:creationId xmlns:a16="http://schemas.microsoft.com/office/drawing/2014/main" id="{3CC58ABE-07F4-03FE-C7F5-5F13748940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>
          <a:xfrm>
            <a:off x="8150458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132" name="CuadroTexto 131">
            <a:extLst>
              <a:ext uri="{FF2B5EF4-FFF2-40B4-BE49-F238E27FC236}">
                <a16:creationId xmlns:a16="http://schemas.microsoft.com/office/drawing/2014/main" id="{1B9777B3-41EA-DCFA-E394-C4DE7C860894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At-Risk</a:t>
            </a:r>
            <a:r>
              <a:rPr lang="es-PE" sz="800" b="1" baseline="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Projects</a:t>
            </a:r>
            <a:endPara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7">
        <xdr:nvSpPr>
          <xdr:cNvPr id="133" name="CuadroTexto 132">
            <a:extLst>
              <a:ext uri="{FF2B5EF4-FFF2-40B4-BE49-F238E27FC236}">
                <a16:creationId xmlns:a16="http://schemas.microsoft.com/office/drawing/2014/main" id="{4C2D027E-E8C8-FC31-7F3E-CABF81CC6C2C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9B8C1D8-4F8F-4A57-AB8C-667EF5A4E004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4</a:t>
            </a:fld>
            <a:endParaRPr lang="es-PE" sz="18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146959</xdr:colOff>
      <xdr:row>0</xdr:row>
      <xdr:rowOff>32670</xdr:rowOff>
    </xdr:from>
    <xdr:to>
      <xdr:col>1</xdr:col>
      <xdr:colOff>838201</xdr:colOff>
      <xdr:row>1</xdr:row>
      <xdr:rowOff>130628</xdr:rowOff>
    </xdr:to>
    <xdr:sp macro="" textlink="Settings!B26">
      <xdr:nvSpPr>
        <xdr:cNvPr id="6" name="CuadroTexto 5">
          <a:extLst>
            <a:ext uri="{FF2B5EF4-FFF2-40B4-BE49-F238E27FC236}">
              <a16:creationId xmlns:a16="http://schemas.microsoft.com/office/drawing/2014/main" id="{FFE416B8-A3C1-8C37-ECF8-C59C987A5972}"/>
            </a:ext>
          </a:extLst>
        </xdr:cNvPr>
        <xdr:cNvSpPr txBox="1"/>
      </xdr:nvSpPr>
      <xdr:spPr>
        <a:xfrm>
          <a:off x="146959" y="32670"/>
          <a:ext cx="1709056" cy="26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DC2BD43-4A40-4F29-86C5-EA37A0AE381D}" type="TxLink">
            <a:rPr lang="en-US" sz="800" b="0" i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jueves, 19 de Marzo de 2026</a:t>
          </a:fld>
          <a:endParaRPr lang="es-PE" sz="1050" b="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843642</xdr:colOff>
      <xdr:row>45</xdr:row>
      <xdr:rowOff>5442</xdr:rowOff>
    </xdr:to>
    <xdr:sp macro="" textlink="">
      <xdr:nvSpPr>
        <xdr:cNvPr id="2" name="Rectángulo: esquinas superiores redondeadas 1">
          <a:extLst>
            <a:ext uri="{FF2B5EF4-FFF2-40B4-BE49-F238E27FC236}">
              <a16:creationId xmlns:a16="http://schemas.microsoft.com/office/drawing/2014/main" id="{9BEB4051-E2DE-4D53-B537-7094978E16E6}"/>
            </a:ext>
          </a:extLst>
        </xdr:cNvPr>
        <xdr:cNvSpPr/>
      </xdr:nvSpPr>
      <xdr:spPr>
        <a:xfrm rot="5400000">
          <a:off x="-2745922" y="2745922"/>
          <a:ext cx="7353299" cy="1861456"/>
        </a:xfrm>
        <a:prstGeom prst="round2SameRect">
          <a:avLst>
            <a:gd name="adj1" fmla="val 8220"/>
            <a:gd name="adj2" fmla="val 0"/>
          </a:avLst>
        </a:prstGeom>
        <a:solidFill>
          <a:srgbClr val="F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FF5D5D"/>
            </a:solidFill>
          </a:endParaRPr>
        </a:p>
      </xdr:txBody>
    </xdr:sp>
    <xdr:clientData/>
  </xdr:twoCellAnchor>
  <xdr:twoCellAnchor>
    <xdr:from>
      <xdr:col>1</xdr:col>
      <xdr:colOff>941615</xdr:colOff>
      <xdr:row>5</xdr:row>
      <xdr:rowOff>70757</xdr:rowOff>
    </xdr:from>
    <xdr:to>
      <xdr:col>15</xdr:col>
      <xdr:colOff>375557</xdr:colOff>
      <xdr:row>13</xdr:row>
      <xdr:rowOff>81643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C5683A7E-6402-4D40-AAC2-89AF0876E2AF}"/>
            </a:ext>
          </a:extLst>
        </xdr:cNvPr>
        <xdr:cNvSpPr/>
      </xdr:nvSpPr>
      <xdr:spPr>
        <a:xfrm>
          <a:off x="1959192" y="899018"/>
          <a:ext cx="11384564" cy="1336103"/>
        </a:xfrm>
        <a:prstGeom prst="roundRect">
          <a:avLst>
            <a:gd name="adj" fmla="val 8854"/>
          </a:avLst>
        </a:prstGeom>
        <a:solidFill>
          <a:srgbClr val="A4A4A4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213630</xdr:colOff>
      <xdr:row>12</xdr:row>
      <xdr:rowOff>65313</xdr:rowOff>
    </xdr:from>
    <xdr:to>
      <xdr:col>1</xdr:col>
      <xdr:colOff>845545</xdr:colOff>
      <xdr:row>15</xdr:row>
      <xdr:rowOff>14273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3C474-AB7D-452D-8CA5-03FFEBDAD075}"/>
            </a:ext>
          </a:extLst>
        </xdr:cNvPr>
        <xdr:cNvSpPr/>
      </xdr:nvSpPr>
      <xdr:spPr>
        <a:xfrm>
          <a:off x="213630" y="2024742"/>
          <a:ext cx="1649729" cy="438817"/>
        </a:xfrm>
        <a:prstGeom prst="roundRect">
          <a:avLst/>
        </a:prstGeom>
        <a:solidFill>
          <a:srgbClr val="FF5D5D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none">
              <a:solidFill>
                <a:schemeClr val="bg1"/>
              </a:solidFill>
              <a:latin typeface="+mn-lt"/>
              <a:cs typeface="Segoe UI" panose="020B0502040204020203" pitchFamily="34" charset="0"/>
            </a:rPr>
            <a:t>Overview</a:t>
          </a:r>
        </a:p>
      </xdr:txBody>
    </xdr:sp>
    <xdr:clientData/>
  </xdr:twoCellAnchor>
  <xdr:twoCellAnchor>
    <xdr:from>
      <xdr:col>0</xdr:col>
      <xdr:colOff>214581</xdr:colOff>
      <xdr:row>15</xdr:row>
      <xdr:rowOff>116882</xdr:rowOff>
    </xdr:from>
    <xdr:to>
      <xdr:col>1</xdr:col>
      <xdr:colOff>844594</xdr:colOff>
      <xdr:row>18</xdr:row>
      <xdr:rowOff>67446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49D9FA60-1B22-423F-8B7C-EB7823EA59BE}"/>
            </a:ext>
          </a:extLst>
        </xdr:cNvPr>
        <xdr:cNvSpPr/>
      </xdr:nvSpPr>
      <xdr:spPr>
        <a:xfrm>
          <a:off x="214581" y="2566168"/>
          <a:ext cx="1647827" cy="440421"/>
        </a:xfrm>
        <a:prstGeom prst="roundRect">
          <a:avLst/>
        </a:prstGeom>
        <a:solidFill>
          <a:schemeClr val="bg1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sng">
              <a:solidFill>
                <a:srgbClr val="FF0000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Phase &amp; Line Item Analysis</a:t>
          </a:r>
          <a:endParaRPr lang="es-PE" sz="800" b="1" i="0" u="sng">
            <a:solidFill>
              <a:srgbClr val="FF0000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214581</xdr:colOff>
      <xdr:row>19</xdr:row>
      <xdr:rowOff>5443</xdr:rowOff>
    </xdr:from>
    <xdr:to>
      <xdr:col>1</xdr:col>
      <xdr:colOff>844594</xdr:colOff>
      <xdr:row>21</xdr:row>
      <xdr:rowOff>118072</xdr:rowOff>
    </xdr:to>
    <xdr:sp macro="" textlink="">
      <xdr:nvSpPr>
        <xdr:cNvPr id="13" name="Rectángulo: esquinas redondeada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D56A02-AD2D-477E-816C-846D20DBC8F2}"/>
            </a:ext>
          </a:extLst>
        </xdr:cNvPr>
        <xdr:cNvSpPr/>
      </xdr:nvSpPr>
      <xdr:spPr>
        <a:xfrm>
          <a:off x="214581" y="3107872"/>
          <a:ext cx="1647827" cy="439200"/>
        </a:xfrm>
        <a:prstGeom prst="roundRect">
          <a:avLst/>
        </a:prstGeom>
        <a:solidFill>
          <a:srgbClr val="FF5D5D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>
              <a:solidFill>
                <a:schemeClr val="bg1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Gantt View</a:t>
          </a:r>
          <a:endParaRPr lang="es-PE" sz="800" b="1" i="0" u="none">
            <a:solidFill>
              <a:schemeClr val="bg1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979711</xdr:colOff>
      <xdr:row>5</xdr:row>
      <xdr:rowOff>155934</xdr:rowOff>
    </xdr:from>
    <xdr:to>
      <xdr:col>3</xdr:col>
      <xdr:colOff>387296</xdr:colOff>
      <xdr:row>13</xdr:row>
      <xdr:rowOff>14422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CDB7E1C7-9829-48D0-B10E-F92B649EE2C6}"/>
            </a:ext>
          </a:extLst>
        </xdr:cNvPr>
        <xdr:cNvGrpSpPr/>
      </xdr:nvGrpSpPr>
      <xdr:grpSpPr>
        <a:xfrm>
          <a:off x="1997525" y="972363"/>
          <a:ext cx="1720800" cy="1164773"/>
          <a:chOff x="1997526" y="971550"/>
          <a:chExt cx="1333921" cy="1164773"/>
        </a:xfrm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5944F1AB-6ACA-C5A3-AB20-2991AAA19B8D}"/>
              </a:ext>
            </a:extLst>
          </xdr:cNvPr>
          <xdr:cNvSpPr/>
        </xdr:nvSpPr>
        <xdr:spPr>
          <a:xfrm>
            <a:off x="1997526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16" name="Gráfico 15" descr="Cadena de bloques con relleno sólido">
            <a:extLst>
              <a:ext uri="{FF2B5EF4-FFF2-40B4-BE49-F238E27FC236}">
                <a16:creationId xmlns:a16="http://schemas.microsoft.com/office/drawing/2014/main" id="{C72A1C32-EA66-D848-DF50-2B5F8CBC9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>
          <a:xfrm>
            <a:off x="2556486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B8E55362-3C3D-194F-2F34-35262A435AF0}"/>
              </a:ext>
            </a:extLst>
          </xdr:cNvPr>
          <xdr:cNvSpPr txBox="1"/>
        </xdr:nvSpPr>
        <xdr:spPr>
          <a:xfrm>
            <a:off x="2088184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Items</a:t>
            </a:r>
          </a:p>
        </xdr:txBody>
      </xdr:sp>
      <xdr:sp macro="" textlink="Settings!B12">
        <xdr:nvSpPr>
          <xdr:cNvPr id="18" name="CuadroTexto 17">
            <a:extLst>
              <a:ext uri="{FF2B5EF4-FFF2-40B4-BE49-F238E27FC236}">
                <a16:creationId xmlns:a16="http://schemas.microsoft.com/office/drawing/2014/main" id="{EE0355EC-4C84-FFAD-6652-E3CF8C308C1F}"/>
              </a:ext>
            </a:extLst>
          </xdr:cNvPr>
          <xdr:cNvSpPr txBox="1"/>
        </xdr:nvSpPr>
        <xdr:spPr>
          <a:xfrm>
            <a:off x="2088184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45D9C3A-3B16-4466-BDE3-6E05A83E684D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15</a:t>
            </a:fld>
            <a:endParaRPr lang="es-PE" sz="11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530416</xdr:colOff>
      <xdr:row>5</xdr:row>
      <xdr:rowOff>155934</xdr:rowOff>
    </xdr:from>
    <xdr:to>
      <xdr:col>5</xdr:col>
      <xdr:colOff>313875</xdr:colOff>
      <xdr:row>13</xdr:row>
      <xdr:rowOff>14422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830BCC20-99CE-47E4-99AE-CA2503E78B63}"/>
            </a:ext>
          </a:extLst>
        </xdr:cNvPr>
        <xdr:cNvGrpSpPr/>
      </xdr:nvGrpSpPr>
      <xdr:grpSpPr>
        <a:xfrm>
          <a:off x="3861445" y="972363"/>
          <a:ext cx="1721116" cy="1164773"/>
          <a:chOff x="3396019" y="971550"/>
          <a:chExt cx="1333921" cy="1164773"/>
        </a:xfrm>
      </xdr:grpSpPr>
      <xdr:sp macro="" textlink="">
        <xdr:nvSpPr>
          <xdr:cNvPr id="20" name="Rectángulo: esquinas redondeadas 19">
            <a:extLst>
              <a:ext uri="{FF2B5EF4-FFF2-40B4-BE49-F238E27FC236}">
                <a16:creationId xmlns:a16="http://schemas.microsoft.com/office/drawing/2014/main" id="{CDEE782E-33AE-2B9D-1301-18B32080AD3F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21" name="Gráfico 20" descr="Cono de tráfico con relleno sólido">
            <a:extLst>
              <a:ext uri="{FF2B5EF4-FFF2-40B4-BE49-F238E27FC236}">
                <a16:creationId xmlns:a16="http://schemas.microsoft.com/office/drawing/2014/main" id="{24337704-5B4E-6F8A-9EBE-1933B1F3FB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3954979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91880AA3-AF65-FD49-AF19-D2E351D42C5D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Temporary Works Progress</a:t>
            </a:r>
          </a:p>
        </xdr:txBody>
      </xdr:sp>
      <xdr:sp macro="" textlink="Settings!B13">
        <xdr:nvSpPr>
          <xdr:cNvPr id="23" name="CuadroTexto 22">
            <a:extLst>
              <a:ext uri="{FF2B5EF4-FFF2-40B4-BE49-F238E27FC236}">
                <a16:creationId xmlns:a16="http://schemas.microsoft.com/office/drawing/2014/main" id="{9D301E77-FB83-2DFB-B16A-1A9B6F957815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465BC37-656F-40D8-BEAB-F168645E0F26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85.85%</a:t>
            </a:fld>
            <a:endParaRPr lang="es-PE" sz="12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438118</xdr:colOff>
      <xdr:row>5</xdr:row>
      <xdr:rowOff>155120</xdr:rowOff>
    </xdr:from>
    <xdr:to>
      <xdr:col>15</xdr:col>
      <xdr:colOff>264803</xdr:colOff>
      <xdr:row>13</xdr:row>
      <xdr:rowOff>15235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81BE349A-04DC-4DFF-B113-D3BDC8D639DB}"/>
            </a:ext>
          </a:extLst>
        </xdr:cNvPr>
        <xdr:cNvGrpSpPr/>
      </xdr:nvGrpSpPr>
      <xdr:grpSpPr>
        <a:xfrm>
          <a:off x="11508889" y="971549"/>
          <a:ext cx="1720800" cy="1166400"/>
          <a:chOff x="7591498" y="971550"/>
          <a:chExt cx="1333921" cy="1164773"/>
        </a:xfrm>
      </xdr:grpSpPr>
      <xdr:sp macro="" textlink="">
        <xdr:nvSpPr>
          <xdr:cNvPr id="50" name="Rectángulo: esquinas redondeadas 49">
            <a:extLst>
              <a:ext uri="{FF2B5EF4-FFF2-40B4-BE49-F238E27FC236}">
                <a16:creationId xmlns:a16="http://schemas.microsoft.com/office/drawing/2014/main" id="{54B9E956-B8E6-37B8-F357-9629DF004EAE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51" name="Gráfico 50" descr="Advertencia con relleno sólido">
            <a:extLst>
              <a:ext uri="{FF2B5EF4-FFF2-40B4-BE49-F238E27FC236}">
                <a16:creationId xmlns:a16="http://schemas.microsoft.com/office/drawing/2014/main" id="{908E2EB4-904D-7BDE-C4AC-E2531B79DC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8150458" y="1158137"/>
            <a:ext cx="216000" cy="216000"/>
          </a:xfrm>
          <a:prstGeom prst="rect">
            <a:avLst/>
          </a:prstGeom>
        </xdr:spPr>
      </xdr:pic>
      <xdr:sp macro="" textlink="">
        <xdr:nvSpPr>
          <xdr:cNvPr id="52" name="CuadroTexto 51">
            <a:extLst>
              <a:ext uri="{FF2B5EF4-FFF2-40B4-BE49-F238E27FC236}">
                <a16:creationId xmlns:a16="http://schemas.microsoft.com/office/drawing/2014/main" id="{6B7DCC75-B461-49D3-553A-84363C9C6FF1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Critical</a:t>
            </a:r>
            <a:r>
              <a:rPr lang="es-PE" sz="800" b="1" baseline="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Items</a:t>
            </a:r>
            <a:endParaRPr lang="es-PE" sz="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17">
        <xdr:nvSpPr>
          <xdr:cNvPr id="53" name="CuadroTexto 52">
            <a:extLst>
              <a:ext uri="{FF2B5EF4-FFF2-40B4-BE49-F238E27FC236}">
                <a16:creationId xmlns:a16="http://schemas.microsoft.com/office/drawing/2014/main" id="{DD16B819-0784-D424-BB43-02C5126E82D8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99E7C14-0D76-4C31-9D23-578F9FB0D420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12</a:t>
            </a:fld>
            <a:endParaRPr lang="es-PE" sz="20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456995</xdr:colOff>
      <xdr:row>5</xdr:row>
      <xdr:rowOff>155934</xdr:rowOff>
    </xdr:from>
    <xdr:to>
      <xdr:col>7</xdr:col>
      <xdr:colOff>403740</xdr:colOff>
      <xdr:row>13</xdr:row>
      <xdr:rowOff>14422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F247AB2-F80B-4043-8598-88FFD9A26DBB}"/>
            </a:ext>
          </a:extLst>
        </xdr:cNvPr>
        <xdr:cNvGrpSpPr/>
      </xdr:nvGrpSpPr>
      <xdr:grpSpPr>
        <a:xfrm>
          <a:off x="5725681" y="972363"/>
          <a:ext cx="1775545" cy="1164773"/>
          <a:chOff x="3396019" y="971550"/>
          <a:chExt cx="1333921" cy="1164773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F42A1DD5-FEC9-1287-E669-54B5BFCE590F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5" name="Gráfico 4" descr="Hormigonera con relleno sólido">
            <a:extLst>
              <a:ext uri="{FF2B5EF4-FFF2-40B4-BE49-F238E27FC236}">
                <a16:creationId xmlns:a16="http://schemas.microsoft.com/office/drawing/2014/main" id="{D12A0FBB-EACB-21A1-D05E-767FD7E248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3979275" y="1158137"/>
            <a:ext cx="167407" cy="216000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DD64E989-40F2-B260-DF5D-79FB2756C01B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Structural Works Progress</a:t>
            </a:r>
          </a:p>
        </xdr:txBody>
      </xdr:sp>
      <xdr:sp macro="" textlink="Settings!B14">
        <xdr:nvSpPr>
          <xdr:cNvPr id="7" name="CuadroTexto 6">
            <a:extLst>
              <a:ext uri="{FF2B5EF4-FFF2-40B4-BE49-F238E27FC236}">
                <a16:creationId xmlns:a16="http://schemas.microsoft.com/office/drawing/2014/main" id="{702A401C-4700-2F9E-F439-0A26EA72E8A4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2331999-2488-48DC-9EF5-A8E413DF9D9A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58.77%</a:t>
            </a:fld>
            <a:endParaRPr lang="es-PE" sz="14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138646</xdr:colOff>
      <xdr:row>5</xdr:row>
      <xdr:rowOff>155934</xdr:rowOff>
    </xdr:from>
    <xdr:to>
      <xdr:col>10</xdr:col>
      <xdr:colOff>613347</xdr:colOff>
      <xdr:row>13</xdr:row>
      <xdr:rowOff>14422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85EFE7A9-4A89-44CB-B96B-D8E73F64E85E}"/>
            </a:ext>
          </a:extLst>
        </xdr:cNvPr>
        <xdr:cNvGrpSpPr/>
      </xdr:nvGrpSpPr>
      <xdr:grpSpPr>
        <a:xfrm>
          <a:off x="7644346" y="972363"/>
          <a:ext cx="1857187" cy="1164773"/>
          <a:chOff x="3396019" y="971550"/>
          <a:chExt cx="1333921" cy="1164773"/>
        </a:xfrm>
      </xdr:grpSpPr>
      <xdr:sp macro="" textlink="">
        <xdr:nvSpPr>
          <xdr:cNvPr id="55" name="Rectángulo: esquinas redondeadas 54">
            <a:extLst>
              <a:ext uri="{FF2B5EF4-FFF2-40B4-BE49-F238E27FC236}">
                <a16:creationId xmlns:a16="http://schemas.microsoft.com/office/drawing/2014/main" id="{BD597DBE-1F7E-C7C5-F223-D0D76CFB134C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56" name="Gráfico 55" descr="Herramientas con relleno sólido">
            <a:extLst>
              <a:ext uri="{FF2B5EF4-FFF2-40B4-BE49-F238E27FC236}">
                <a16:creationId xmlns:a16="http://schemas.microsoft.com/office/drawing/2014/main" id="{847BB363-02E0-7B81-509F-786800125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3979275" y="1158137"/>
            <a:ext cx="167407" cy="216000"/>
          </a:xfrm>
          <a:prstGeom prst="rect">
            <a:avLst/>
          </a:prstGeom>
        </xdr:spPr>
      </xdr:pic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B923A4F5-8E1F-C5EB-D24A-14B35C611293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MEP Progress</a:t>
            </a:r>
          </a:p>
        </xdr:txBody>
      </xdr:sp>
      <xdr:sp macro="" textlink="Settings!B15">
        <xdr:nvSpPr>
          <xdr:cNvPr id="58" name="CuadroTexto 57">
            <a:extLst>
              <a:ext uri="{FF2B5EF4-FFF2-40B4-BE49-F238E27FC236}">
                <a16:creationId xmlns:a16="http://schemas.microsoft.com/office/drawing/2014/main" id="{0E8D4187-8F2B-054D-7A27-F1B66C6AB81A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102EB74-7743-4474-AAE8-551A3362B26E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78.62%</a:t>
            </a:fld>
            <a:endParaRPr lang="es-PE" sz="16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756467</xdr:colOff>
      <xdr:row>5</xdr:row>
      <xdr:rowOff>155934</xdr:rowOff>
    </xdr:from>
    <xdr:to>
      <xdr:col>13</xdr:col>
      <xdr:colOff>294998</xdr:colOff>
      <xdr:row>13</xdr:row>
      <xdr:rowOff>14422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7F5ACFA2-F242-4858-9506-0EAB2B536A0E}"/>
            </a:ext>
          </a:extLst>
        </xdr:cNvPr>
        <xdr:cNvGrpSpPr/>
      </xdr:nvGrpSpPr>
      <xdr:grpSpPr>
        <a:xfrm>
          <a:off x="9644653" y="972363"/>
          <a:ext cx="1721116" cy="1164773"/>
          <a:chOff x="3396019" y="971550"/>
          <a:chExt cx="1333921" cy="1164773"/>
        </a:xfrm>
      </xdr:grpSpPr>
      <xdr:sp macro="" textlink="">
        <xdr:nvSpPr>
          <xdr:cNvPr id="60" name="Rectángulo: esquinas redondeadas 59">
            <a:extLst>
              <a:ext uri="{FF2B5EF4-FFF2-40B4-BE49-F238E27FC236}">
                <a16:creationId xmlns:a16="http://schemas.microsoft.com/office/drawing/2014/main" id="{E4E899AE-4ECE-9C69-EDF2-CE140EEC2E88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61" name="Gráfico 60" descr="Herramienta de pintura rodillo con relleno sólido">
            <a:extLst>
              <a:ext uri="{FF2B5EF4-FFF2-40B4-BE49-F238E27FC236}">
                <a16:creationId xmlns:a16="http://schemas.microsoft.com/office/drawing/2014/main" id="{AA5243F2-D15C-794E-296A-547F0012CB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3979275" y="1158137"/>
            <a:ext cx="167407" cy="216000"/>
          </a:xfrm>
          <a:prstGeom prst="rect">
            <a:avLst/>
          </a:prstGeom>
        </xdr:spPr>
      </xdr:pic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1C3A66E4-C056-4CAD-26EE-FD050EF9F6E4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Finishes Progress</a:t>
            </a:r>
          </a:p>
        </xdr:txBody>
      </xdr:sp>
      <xdr:sp macro="" textlink="Settings!B16">
        <xdr:nvSpPr>
          <xdr:cNvPr id="63" name="CuadroTexto 62">
            <a:extLst>
              <a:ext uri="{FF2B5EF4-FFF2-40B4-BE49-F238E27FC236}">
                <a16:creationId xmlns:a16="http://schemas.microsoft.com/office/drawing/2014/main" id="{4B5DDDCA-6AB6-1FFF-487C-D4F0FCD85859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EB57CD-E429-4A79-8576-ED4EA8890E5A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49.16%</a:t>
            </a:fld>
            <a:endParaRPr lang="es-PE" sz="18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970644</xdr:colOff>
      <xdr:row>14</xdr:row>
      <xdr:rowOff>43543</xdr:rowOff>
    </xdr:from>
    <xdr:to>
      <xdr:col>5</xdr:col>
      <xdr:colOff>685800</xdr:colOff>
      <xdr:row>27</xdr:row>
      <xdr:rowOff>32658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2C7E2DD9-CEDC-89CA-4487-DE1106C6F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12</xdr:col>
      <xdr:colOff>87085</xdr:colOff>
      <xdr:row>0</xdr:row>
      <xdr:rowOff>5438</xdr:rowOff>
    </xdr:from>
    <xdr:to>
      <xdr:col>15</xdr:col>
      <xdr:colOff>337454</xdr:colOff>
      <xdr:row>5</xdr:row>
      <xdr:rowOff>17009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5" name="Phase">
              <a:extLst>
                <a:ext uri="{FF2B5EF4-FFF2-40B4-BE49-F238E27FC236}">
                  <a16:creationId xmlns:a16="http://schemas.microsoft.com/office/drawing/2014/main" id="{5D8A2BED-A118-AF77-CEDB-1BAE3661F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h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5471" y="5438"/>
              <a:ext cx="2726869" cy="8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312663</xdr:colOff>
      <xdr:row>0</xdr:row>
      <xdr:rowOff>0</xdr:rowOff>
    </xdr:from>
    <xdr:to>
      <xdr:col>12</xdr:col>
      <xdr:colOff>52006</xdr:colOff>
      <xdr:row>5</xdr:row>
      <xdr:rowOff>11571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6" name="Name_Project 1">
              <a:extLst>
                <a:ext uri="{FF2B5EF4-FFF2-40B4-BE49-F238E27FC236}">
                  <a16:creationId xmlns:a16="http://schemas.microsoft.com/office/drawing/2014/main" id="{C2FED503-A92A-CED3-8A5D-5148453648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_Proje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2392" y="0"/>
              <a:ext cx="5868000" cy="8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914399</xdr:colOff>
      <xdr:row>0</xdr:row>
      <xdr:rowOff>5442</xdr:rowOff>
    </xdr:from>
    <xdr:to>
      <xdr:col>4</xdr:col>
      <xdr:colOff>277585</xdr:colOff>
      <xdr:row>5</xdr:row>
      <xdr:rowOff>17013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7" name="Project_Type 1">
              <a:extLst>
                <a:ext uri="{FF2B5EF4-FFF2-40B4-BE49-F238E27FC236}">
                  <a16:creationId xmlns:a16="http://schemas.microsoft.com/office/drawing/2014/main" id="{1A99E2C8-E43A-86AE-F180-A0F8345EAA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2213" y="5442"/>
              <a:ext cx="2705101" cy="8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326572</xdr:colOff>
      <xdr:row>14</xdr:row>
      <xdr:rowOff>43543</xdr:rowOff>
    </xdr:from>
    <xdr:to>
      <xdr:col>15</xdr:col>
      <xdr:colOff>375558</xdr:colOff>
      <xdr:row>43</xdr:row>
      <xdr:rowOff>146187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56B3547-A45E-5B88-4BEA-603C9C597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771468</xdr:colOff>
      <xdr:row>14</xdr:row>
      <xdr:rowOff>43543</xdr:rowOff>
    </xdr:from>
    <xdr:to>
      <xdr:col>11</xdr:col>
      <xdr:colOff>210912</xdr:colOff>
      <xdr:row>27</xdr:row>
      <xdr:rowOff>32064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1126F72-36AC-C75E-D0C6-59047122D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114300</xdr:colOff>
      <xdr:row>28</xdr:row>
      <xdr:rowOff>10886</xdr:rowOff>
    </xdr:from>
    <xdr:to>
      <xdr:col>11</xdr:col>
      <xdr:colOff>206829</xdr:colOff>
      <xdr:row>43</xdr:row>
      <xdr:rowOff>146187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5382ECA1-E704-EED2-CECD-CDEA82087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596984</xdr:colOff>
      <xdr:row>2</xdr:row>
      <xdr:rowOff>56021</xdr:rowOff>
    </xdr:from>
    <xdr:to>
      <xdr:col>1</xdr:col>
      <xdr:colOff>246662</xdr:colOff>
      <xdr:row>5</xdr:row>
      <xdr:rowOff>32648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FFB257B-AFDD-4772-943F-FF67B2D1A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alphaModFix/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984" y="382592"/>
          <a:ext cx="667492" cy="46648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146961</xdr:colOff>
      <xdr:row>5</xdr:row>
      <xdr:rowOff>16314</xdr:rowOff>
    </xdr:from>
    <xdr:to>
      <xdr:col>1</xdr:col>
      <xdr:colOff>563342</xdr:colOff>
      <xdr:row>10</xdr:row>
      <xdr:rowOff>119732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FCE53222-C375-4F1E-B519-F91C8E3AFBDA}"/>
            </a:ext>
          </a:extLst>
        </xdr:cNvPr>
        <xdr:cNvSpPr txBox="1"/>
      </xdr:nvSpPr>
      <xdr:spPr>
        <a:xfrm>
          <a:off x="146961" y="832743"/>
          <a:ext cx="1434195" cy="919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600" b="1" i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Construction Project Dashboard </a:t>
          </a:r>
          <a:endParaRPr lang="es-PE" sz="1600" b="1" i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146961</xdr:colOff>
      <xdr:row>0</xdr:row>
      <xdr:rowOff>32658</xdr:rowOff>
    </xdr:from>
    <xdr:to>
      <xdr:col>1</xdr:col>
      <xdr:colOff>838203</xdr:colOff>
      <xdr:row>1</xdr:row>
      <xdr:rowOff>130616</xdr:rowOff>
    </xdr:to>
    <xdr:sp macro="" textlink="Settings!B26">
      <xdr:nvSpPr>
        <xdr:cNvPr id="29" name="CuadroTexto 28">
          <a:extLst>
            <a:ext uri="{FF2B5EF4-FFF2-40B4-BE49-F238E27FC236}">
              <a16:creationId xmlns:a16="http://schemas.microsoft.com/office/drawing/2014/main" id="{C8FE9E27-89AF-4595-97AF-3C72CB8D97FE}"/>
            </a:ext>
          </a:extLst>
        </xdr:cNvPr>
        <xdr:cNvSpPr txBox="1"/>
      </xdr:nvSpPr>
      <xdr:spPr>
        <a:xfrm>
          <a:off x="146961" y="32658"/>
          <a:ext cx="1709056" cy="26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DC2BD43-4A40-4F29-86C5-EA37A0AE381D}" type="TxLink">
            <a:rPr lang="en-US" sz="800" b="0" i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jueves, 19 de Marzo de 2026</a:t>
          </a:fld>
          <a:endParaRPr lang="es-PE" sz="1050" b="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843642</xdr:colOff>
      <xdr:row>37</xdr:row>
      <xdr:rowOff>16329</xdr:rowOff>
    </xdr:to>
    <xdr:sp macro="" textlink="">
      <xdr:nvSpPr>
        <xdr:cNvPr id="2" name="Rectángulo: esquinas superiores redondeadas 1">
          <a:extLst>
            <a:ext uri="{FF2B5EF4-FFF2-40B4-BE49-F238E27FC236}">
              <a16:creationId xmlns:a16="http://schemas.microsoft.com/office/drawing/2014/main" id="{189A60A9-C52C-4545-8E39-70186954623A}"/>
            </a:ext>
          </a:extLst>
        </xdr:cNvPr>
        <xdr:cNvSpPr/>
      </xdr:nvSpPr>
      <xdr:spPr>
        <a:xfrm rot="5400000">
          <a:off x="-2098222" y="2098223"/>
          <a:ext cx="6057899" cy="1861456"/>
        </a:xfrm>
        <a:prstGeom prst="round2SameRect">
          <a:avLst>
            <a:gd name="adj1" fmla="val 8220"/>
            <a:gd name="adj2" fmla="val 0"/>
          </a:avLst>
        </a:prstGeom>
        <a:solidFill>
          <a:srgbClr val="F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rgbClr val="FF5D5D"/>
            </a:solidFill>
          </a:endParaRPr>
        </a:p>
      </xdr:txBody>
    </xdr:sp>
    <xdr:clientData/>
  </xdr:twoCellAnchor>
  <xdr:twoCellAnchor>
    <xdr:from>
      <xdr:col>0</xdr:col>
      <xdr:colOff>213630</xdr:colOff>
      <xdr:row>12</xdr:row>
      <xdr:rowOff>65313</xdr:rowOff>
    </xdr:from>
    <xdr:to>
      <xdr:col>1</xdr:col>
      <xdr:colOff>845545</xdr:colOff>
      <xdr:row>15</xdr:row>
      <xdr:rowOff>14273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4FD41-ABFC-4B3E-9111-F216E16DA9BC}"/>
            </a:ext>
          </a:extLst>
        </xdr:cNvPr>
        <xdr:cNvSpPr/>
      </xdr:nvSpPr>
      <xdr:spPr>
        <a:xfrm>
          <a:off x="213630" y="2024742"/>
          <a:ext cx="1649729" cy="438817"/>
        </a:xfrm>
        <a:prstGeom prst="roundRect">
          <a:avLst/>
        </a:prstGeom>
        <a:solidFill>
          <a:srgbClr val="FF5D5D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none">
              <a:solidFill>
                <a:schemeClr val="bg1"/>
              </a:solidFill>
              <a:latin typeface="+mn-lt"/>
              <a:cs typeface="Segoe UI" panose="020B0502040204020203" pitchFamily="34" charset="0"/>
            </a:rPr>
            <a:t>Overview</a:t>
          </a:r>
        </a:p>
      </xdr:txBody>
    </xdr:sp>
    <xdr:clientData/>
  </xdr:twoCellAnchor>
  <xdr:twoCellAnchor>
    <xdr:from>
      <xdr:col>0</xdr:col>
      <xdr:colOff>214581</xdr:colOff>
      <xdr:row>15</xdr:row>
      <xdr:rowOff>116882</xdr:rowOff>
    </xdr:from>
    <xdr:to>
      <xdr:col>1</xdr:col>
      <xdr:colOff>844594</xdr:colOff>
      <xdr:row>18</xdr:row>
      <xdr:rowOff>67446</xdr:rowOff>
    </xdr:to>
    <xdr:sp macro="" textlink="">
      <xdr:nvSpPr>
        <xdr:cNvPr id="12" name="Rectángulo: esquinas redondeada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BBA35A-835C-4B85-A926-4452076C9D42}"/>
            </a:ext>
          </a:extLst>
        </xdr:cNvPr>
        <xdr:cNvSpPr/>
      </xdr:nvSpPr>
      <xdr:spPr>
        <a:xfrm>
          <a:off x="214581" y="2566168"/>
          <a:ext cx="1647827" cy="440421"/>
        </a:xfrm>
        <a:prstGeom prst="roundRect">
          <a:avLst/>
        </a:prstGeom>
        <a:solidFill>
          <a:srgbClr val="FF5D5D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none">
              <a:solidFill>
                <a:schemeClr val="bg1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Phase &amp; Line Item Analysis</a:t>
          </a:r>
          <a:endParaRPr lang="es-PE" sz="800" b="1" i="0" u="none">
            <a:solidFill>
              <a:schemeClr val="bg1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214581</xdr:colOff>
      <xdr:row>19</xdr:row>
      <xdr:rowOff>5443</xdr:rowOff>
    </xdr:from>
    <xdr:to>
      <xdr:col>1</xdr:col>
      <xdr:colOff>844594</xdr:colOff>
      <xdr:row>21</xdr:row>
      <xdr:rowOff>118072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A62F2D01-9423-4FAF-9E98-8AFC2EC9D2E7}"/>
            </a:ext>
          </a:extLst>
        </xdr:cNvPr>
        <xdr:cNvSpPr/>
      </xdr:nvSpPr>
      <xdr:spPr>
        <a:xfrm>
          <a:off x="214581" y="3107872"/>
          <a:ext cx="1647827" cy="439200"/>
        </a:xfrm>
        <a:prstGeom prst="roundRect">
          <a:avLst/>
        </a:prstGeom>
        <a:solidFill>
          <a:schemeClr val="bg1"/>
        </a:solidFill>
        <a:ln w="3175"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000" b="1" i="0" u="sng">
              <a:solidFill>
                <a:srgbClr val="FF2F2F"/>
              </a:solidFill>
              <a:effectLst/>
              <a:latin typeface="+mn-lt"/>
              <a:ea typeface="+mn-ea"/>
              <a:cs typeface="Segoe UI" panose="020B0502040204020203" pitchFamily="34" charset="0"/>
            </a:rPr>
            <a:t>Gantt View</a:t>
          </a:r>
          <a:endParaRPr lang="es-PE" sz="800" b="1" i="0" u="sng">
            <a:solidFill>
              <a:srgbClr val="FF2F2F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930725</xdr:colOff>
      <xdr:row>0</xdr:row>
      <xdr:rowOff>5442</xdr:rowOff>
    </xdr:from>
    <xdr:to>
      <xdr:col>23</xdr:col>
      <xdr:colOff>386442</xdr:colOff>
      <xdr:row>2</xdr:row>
      <xdr:rowOff>65315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Name_Project 2">
              <a:extLst>
                <a:ext uri="{FF2B5EF4-FFF2-40B4-BE49-F238E27FC236}">
                  <a16:creationId xmlns:a16="http://schemas.microsoft.com/office/drawing/2014/main" id="{5CB2732A-8AF4-B153-04DE-8AAF2DE992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_Projec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8539" y="5442"/>
              <a:ext cx="12573003" cy="386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930725</xdr:colOff>
      <xdr:row>3</xdr:row>
      <xdr:rowOff>97955</xdr:rowOff>
    </xdr:from>
    <xdr:to>
      <xdr:col>23</xdr:col>
      <xdr:colOff>388239</xdr:colOff>
      <xdr:row>11</xdr:row>
      <xdr:rowOff>108840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455E3ED9-8617-4BCE-AC69-3AC806890217}"/>
            </a:ext>
          </a:extLst>
        </xdr:cNvPr>
        <xdr:cNvSpPr/>
      </xdr:nvSpPr>
      <xdr:spPr>
        <a:xfrm>
          <a:off x="1948539" y="587812"/>
          <a:ext cx="12574800" cy="1317171"/>
        </a:xfrm>
        <a:prstGeom prst="roundRect">
          <a:avLst>
            <a:gd name="adj" fmla="val 8854"/>
          </a:avLst>
        </a:prstGeom>
        <a:solidFill>
          <a:srgbClr val="A4A4A4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968822</xdr:colOff>
      <xdr:row>4</xdr:row>
      <xdr:rowOff>10868</xdr:rowOff>
    </xdr:from>
    <xdr:to>
      <xdr:col>3</xdr:col>
      <xdr:colOff>522550</xdr:colOff>
      <xdr:row>11</xdr:row>
      <xdr:rowOff>32641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0923201-4B38-413C-A9CE-5175B2AA9CDD}"/>
            </a:ext>
          </a:extLst>
        </xdr:cNvPr>
        <xdr:cNvGrpSpPr/>
      </xdr:nvGrpSpPr>
      <xdr:grpSpPr>
        <a:xfrm>
          <a:off x="1986636" y="664011"/>
          <a:ext cx="2052000" cy="1164773"/>
          <a:chOff x="1997526" y="971550"/>
          <a:chExt cx="1333921" cy="1164773"/>
        </a:xfrm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65490436-EAD9-3636-4E89-26F62CCF078B}"/>
              </a:ext>
            </a:extLst>
          </xdr:cNvPr>
          <xdr:cNvSpPr/>
        </xdr:nvSpPr>
        <xdr:spPr>
          <a:xfrm>
            <a:off x="1997526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54" name="Gráfico 53" descr="Calendario con relleno sólido">
            <a:extLst>
              <a:ext uri="{FF2B5EF4-FFF2-40B4-BE49-F238E27FC236}">
                <a16:creationId xmlns:a16="http://schemas.microsoft.com/office/drawing/2014/main" id="{1ADFF85C-9EC6-1704-D6D7-9B9C410913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>
          <a:xfrm>
            <a:off x="2580767" y="1158137"/>
            <a:ext cx="167438" cy="216000"/>
          </a:xfrm>
          <a:prstGeom prst="rect">
            <a:avLst/>
          </a:prstGeom>
        </xdr:spPr>
      </xdr:pic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0943BB01-0B36-89BF-C4C5-4B15C6D601BA}"/>
              </a:ext>
            </a:extLst>
          </xdr:cNvPr>
          <xdr:cNvSpPr txBox="1"/>
        </xdr:nvSpPr>
        <xdr:spPr>
          <a:xfrm>
            <a:off x="2088184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Planned Start Date</a:t>
            </a:r>
          </a:p>
        </xdr:txBody>
      </xdr:sp>
      <xdr:sp macro="" textlink="Settings!B20">
        <xdr:nvSpPr>
          <xdr:cNvPr id="56" name="CuadroTexto 55">
            <a:extLst>
              <a:ext uri="{FF2B5EF4-FFF2-40B4-BE49-F238E27FC236}">
                <a16:creationId xmlns:a16="http://schemas.microsoft.com/office/drawing/2014/main" id="{03DCBC83-4445-75DE-ADEA-BD1DCFD66BDD}"/>
              </a:ext>
            </a:extLst>
          </xdr:cNvPr>
          <xdr:cNvSpPr txBox="1"/>
        </xdr:nvSpPr>
        <xdr:spPr>
          <a:xfrm>
            <a:off x="2088184" y="1621652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244A1F7-7E0F-4403-A862-E344C39C66F5}" type="TxLink">
              <a:rPr lang="en-US" sz="8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1 de Noviembre de 2025</a:t>
            </a:fld>
            <a:endParaRPr lang="es-PE" sz="105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557878</xdr:colOff>
      <xdr:row>4</xdr:row>
      <xdr:rowOff>10868</xdr:rowOff>
    </xdr:from>
    <xdr:to>
      <xdr:col>7</xdr:col>
      <xdr:colOff>8193</xdr:colOff>
      <xdr:row>11</xdr:row>
      <xdr:rowOff>32641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92619DE5-43FC-49E3-8CF8-1AF876D57D63}"/>
            </a:ext>
          </a:extLst>
        </xdr:cNvPr>
        <xdr:cNvGrpSpPr/>
      </xdr:nvGrpSpPr>
      <xdr:grpSpPr>
        <a:xfrm>
          <a:off x="4073964" y="664011"/>
          <a:ext cx="2052000" cy="1164773"/>
          <a:chOff x="3396019" y="971550"/>
          <a:chExt cx="1333921" cy="1164773"/>
        </a:xfrm>
      </xdr:grpSpPr>
      <xdr:sp macro="" textlink="">
        <xdr:nvSpPr>
          <xdr:cNvPr id="58" name="Rectángulo: esquinas redondeadas 57">
            <a:extLst>
              <a:ext uri="{FF2B5EF4-FFF2-40B4-BE49-F238E27FC236}">
                <a16:creationId xmlns:a16="http://schemas.microsoft.com/office/drawing/2014/main" id="{D29F9D24-BA18-A637-79E7-D8121C1DA3CA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59" name="Gráfico 58" descr="Calendario mensual con relleno sólido">
            <a:extLst>
              <a:ext uri="{FF2B5EF4-FFF2-40B4-BE49-F238E27FC236}">
                <a16:creationId xmlns:a16="http://schemas.microsoft.com/office/drawing/2014/main" id="{01A66AF6-2A84-4DB7-4852-C05F43E45D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3979275" y="1158137"/>
            <a:ext cx="167407" cy="216000"/>
          </a:xfrm>
          <a:prstGeom prst="rect">
            <a:avLst/>
          </a:prstGeom>
        </xdr:spPr>
      </xdr:pic>
      <xdr:sp macro="" textlink="">
        <xdr:nvSpPr>
          <xdr:cNvPr id="60" name="CuadroTexto 59">
            <a:extLst>
              <a:ext uri="{FF2B5EF4-FFF2-40B4-BE49-F238E27FC236}">
                <a16:creationId xmlns:a16="http://schemas.microsoft.com/office/drawing/2014/main" id="{7B33E210-0225-520D-C43A-56833587342D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Planned End Date</a:t>
            </a:r>
          </a:p>
        </xdr:txBody>
      </xdr:sp>
      <xdr:sp macro="" textlink="Settings!B21">
        <xdr:nvSpPr>
          <xdr:cNvPr id="61" name="CuadroTexto 60">
            <a:extLst>
              <a:ext uri="{FF2B5EF4-FFF2-40B4-BE49-F238E27FC236}">
                <a16:creationId xmlns:a16="http://schemas.microsoft.com/office/drawing/2014/main" id="{8446A52B-2CD8-9F4D-45D0-5D47E9F555DA}"/>
              </a:ext>
            </a:extLst>
          </xdr:cNvPr>
          <xdr:cNvSpPr txBox="1"/>
        </xdr:nvSpPr>
        <xdr:spPr>
          <a:xfrm>
            <a:off x="3486677" y="1610767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4CBFD5B-B384-49D3-904A-3E94526A91E6}" type="TxLink">
              <a:rPr lang="en-US" sz="8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30 de Noviembre de 2026</a:t>
            </a:fld>
            <a:endParaRPr lang="es-PE" sz="11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19</xdr:col>
      <xdr:colOff>95204</xdr:colOff>
      <xdr:row>4</xdr:row>
      <xdr:rowOff>10054</xdr:rowOff>
    </xdr:from>
    <xdr:to>
      <xdr:col>23</xdr:col>
      <xdr:colOff>340175</xdr:colOff>
      <xdr:row>11</xdr:row>
      <xdr:rowOff>33454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8AFC33B0-E4E6-4871-93DB-986E341BB346}"/>
            </a:ext>
          </a:extLst>
        </xdr:cNvPr>
        <xdr:cNvGrpSpPr/>
      </xdr:nvGrpSpPr>
      <xdr:grpSpPr>
        <a:xfrm>
          <a:off x="12423275" y="663197"/>
          <a:ext cx="2052000" cy="1166400"/>
          <a:chOff x="7591498" y="971550"/>
          <a:chExt cx="1333921" cy="1164773"/>
        </a:xfrm>
      </xdr:grpSpPr>
      <xdr:sp macro="" textlink="">
        <xdr:nvSpPr>
          <xdr:cNvPr id="63" name="Rectángulo: esquinas redondeadas 62">
            <a:extLst>
              <a:ext uri="{FF2B5EF4-FFF2-40B4-BE49-F238E27FC236}">
                <a16:creationId xmlns:a16="http://schemas.microsoft.com/office/drawing/2014/main" id="{DC7C9287-E257-FF1B-1DBF-1B8123DE4BAC}"/>
              </a:ext>
            </a:extLst>
          </xdr:cNvPr>
          <xdr:cNvSpPr/>
        </xdr:nvSpPr>
        <xdr:spPr>
          <a:xfrm>
            <a:off x="7591498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64" name="Gráfico 63" descr="Monedas con relleno sólido">
            <a:extLst>
              <a:ext uri="{FF2B5EF4-FFF2-40B4-BE49-F238E27FC236}">
                <a16:creationId xmlns:a16="http://schemas.microsoft.com/office/drawing/2014/main" id="{C191E842-DF66-5E22-447B-90EF3979ED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8174622" y="1158137"/>
            <a:ext cx="167672" cy="216000"/>
          </a:xfrm>
          <a:prstGeom prst="rect">
            <a:avLst/>
          </a:prstGeom>
        </xdr:spPr>
      </xdr:pic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1C4B65DC-EAA0-C381-8CF2-D3724FA4D193}"/>
              </a:ext>
            </a:extLst>
          </xdr:cNvPr>
          <xdr:cNvSpPr txBox="1"/>
        </xdr:nvSpPr>
        <xdr:spPr>
          <a:xfrm>
            <a:off x="7682156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Cost Variance</a:t>
            </a:r>
          </a:p>
        </xdr:txBody>
      </xdr:sp>
      <xdr:sp macro="" textlink="Settings!B25">
        <xdr:nvSpPr>
          <xdr:cNvPr id="66" name="CuadroTexto 65">
            <a:extLst>
              <a:ext uri="{FF2B5EF4-FFF2-40B4-BE49-F238E27FC236}">
                <a16:creationId xmlns:a16="http://schemas.microsoft.com/office/drawing/2014/main" id="{2BFB6B19-74C7-1CF0-CF94-7A9E2FB05B84}"/>
              </a:ext>
            </a:extLst>
          </xdr:cNvPr>
          <xdr:cNvSpPr txBox="1"/>
        </xdr:nvSpPr>
        <xdr:spPr>
          <a:xfrm>
            <a:off x="7682156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2B8C692-6F34-4DD7-9309-4897BA9E01DB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-82.02%</a:t>
            </a:fld>
            <a:endParaRPr lang="es-PE" sz="24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43521</xdr:colOff>
      <xdr:row>4</xdr:row>
      <xdr:rowOff>10868</xdr:rowOff>
    </xdr:from>
    <xdr:to>
      <xdr:col>10</xdr:col>
      <xdr:colOff>141535</xdr:colOff>
      <xdr:row>11</xdr:row>
      <xdr:rowOff>32641</xdr:rowOff>
    </xdr:to>
    <xdr:grpSp>
      <xdr:nvGrpSpPr>
        <xdr:cNvPr id="67" name="Grupo 66">
          <a:extLst>
            <a:ext uri="{FF2B5EF4-FFF2-40B4-BE49-F238E27FC236}">
              <a16:creationId xmlns:a16="http://schemas.microsoft.com/office/drawing/2014/main" id="{36DF1289-699C-46DC-A4F6-57CFCF2D6FFF}"/>
            </a:ext>
          </a:extLst>
        </xdr:cNvPr>
        <xdr:cNvGrpSpPr/>
      </xdr:nvGrpSpPr>
      <xdr:grpSpPr>
        <a:xfrm>
          <a:off x="6161292" y="664011"/>
          <a:ext cx="2052000" cy="1164773"/>
          <a:chOff x="3396019" y="971550"/>
          <a:chExt cx="1333921" cy="1164773"/>
        </a:xfrm>
      </xdr:grpSpPr>
      <xdr:sp macro="" textlink="">
        <xdr:nvSpPr>
          <xdr:cNvPr id="68" name="Rectángulo: esquinas redondeadas 67">
            <a:extLst>
              <a:ext uri="{FF2B5EF4-FFF2-40B4-BE49-F238E27FC236}">
                <a16:creationId xmlns:a16="http://schemas.microsoft.com/office/drawing/2014/main" id="{F272B360-AC7A-4973-63EF-E6A8554B4C2B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69" name="Gráfico 68" descr="Do con relleno sólido">
            <a:extLst>
              <a:ext uri="{FF2B5EF4-FFF2-40B4-BE49-F238E27FC236}">
                <a16:creationId xmlns:a16="http://schemas.microsoft.com/office/drawing/2014/main" id="{7222EC44-36CE-A468-7456-EA092D31E9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3981841" y="1158137"/>
            <a:ext cx="162275" cy="216000"/>
          </a:xfrm>
          <a:prstGeom prst="rect">
            <a:avLst/>
          </a:prstGeom>
        </xdr:spPr>
      </xdr:pic>
      <xdr:sp macro="" textlink="">
        <xdr:nvSpPr>
          <xdr:cNvPr id="70" name="CuadroTexto 69">
            <a:extLst>
              <a:ext uri="{FF2B5EF4-FFF2-40B4-BE49-F238E27FC236}">
                <a16:creationId xmlns:a16="http://schemas.microsoft.com/office/drawing/2014/main" id="{99E66995-4399-CAB7-140F-04E98231A76D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 i="0">
                <a:solidFill>
                  <a:srgbClr val="495057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Planned Duration (Days)</a:t>
            </a:r>
            <a:endParaRPr lang="es-PE" sz="400" b="1">
              <a:solidFill>
                <a:srgbClr val="495057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22">
        <xdr:nvSpPr>
          <xdr:cNvPr id="71" name="CuadroTexto 70">
            <a:extLst>
              <a:ext uri="{FF2B5EF4-FFF2-40B4-BE49-F238E27FC236}">
                <a16:creationId xmlns:a16="http://schemas.microsoft.com/office/drawing/2014/main" id="{8AB858AA-143F-CB44-3467-13752F358670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7A537A6-A47A-4F09-9BBA-B7A633313842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395</a:t>
            </a:fld>
            <a:endParaRPr lang="es-PE" sz="16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176863</xdr:colOff>
      <xdr:row>4</xdr:row>
      <xdr:rowOff>10868</xdr:rowOff>
    </xdr:from>
    <xdr:to>
      <xdr:col>14</xdr:col>
      <xdr:colOff>383734</xdr:colOff>
      <xdr:row>11</xdr:row>
      <xdr:rowOff>32641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2A5CF50A-F83F-45C7-A9B1-9025872D39C5}"/>
            </a:ext>
          </a:extLst>
        </xdr:cNvPr>
        <xdr:cNvGrpSpPr/>
      </xdr:nvGrpSpPr>
      <xdr:grpSpPr>
        <a:xfrm>
          <a:off x="8248620" y="664011"/>
          <a:ext cx="2052000" cy="1164773"/>
          <a:chOff x="3396019" y="971550"/>
          <a:chExt cx="1333921" cy="1164773"/>
        </a:xfrm>
      </xdr:grpSpPr>
      <xdr:sp macro="" textlink="">
        <xdr:nvSpPr>
          <xdr:cNvPr id="73" name="Rectángulo: esquinas redondeadas 72">
            <a:extLst>
              <a:ext uri="{FF2B5EF4-FFF2-40B4-BE49-F238E27FC236}">
                <a16:creationId xmlns:a16="http://schemas.microsoft.com/office/drawing/2014/main" id="{B6E0FA0B-5378-381A-013B-8B188B61C8CE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74" name="Gráfico 73" descr="Posponer con relleno sólido">
            <a:extLst>
              <a:ext uri="{FF2B5EF4-FFF2-40B4-BE49-F238E27FC236}">
                <a16:creationId xmlns:a16="http://schemas.microsoft.com/office/drawing/2014/main" id="{0CE883EC-1746-7F10-4664-9E671DA54C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3985408" y="1158137"/>
            <a:ext cx="155142" cy="216000"/>
          </a:xfrm>
          <a:prstGeom prst="rect">
            <a:avLst/>
          </a:prstGeom>
        </xdr:spPr>
      </xdr:pic>
      <xdr:sp macro="" textlink="">
        <xdr:nvSpPr>
          <xdr:cNvPr id="75" name="CuadroTexto 74">
            <a:extLst>
              <a:ext uri="{FF2B5EF4-FFF2-40B4-BE49-F238E27FC236}">
                <a16:creationId xmlns:a16="http://schemas.microsoft.com/office/drawing/2014/main" id="{0DE98193-B668-01A9-3E44-B5D5D6D50DF7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 i="0">
                <a:solidFill>
                  <a:srgbClr val="495057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Days of delay</a:t>
            </a:r>
            <a:endParaRPr lang="es-PE" sz="400" b="1">
              <a:solidFill>
                <a:srgbClr val="495057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23">
        <xdr:nvSpPr>
          <xdr:cNvPr id="76" name="CuadroTexto 75">
            <a:extLst>
              <a:ext uri="{FF2B5EF4-FFF2-40B4-BE49-F238E27FC236}">
                <a16:creationId xmlns:a16="http://schemas.microsoft.com/office/drawing/2014/main" id="{DBE38E3C-0E88-0A01-1DAE-0AFF72C9E3F2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F2C7FE8-A848-4491-A6C7-263F506E95B1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0</a:t>
            </a:fld>
            <a:endParaRPr lang="es-PE" sz="18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419062</xdr:colOff>
      <xdr:row>4</xdr:row>
      <xdr:rowOff>10868</xdr:rowOff>
    </xdr:from>
    <xdr:to>
      <xdr:col>19</xdr:col>
      <xdr:colOff>59877</xdr:colOff>
      <xdr:row>11</xdr:row>
      <xdr:rowOff>32641</xdr:rowOff>
    </xdr:to>
    <xdr:grpSp>
      <xdr:nvGrpSpPr>
        <xdr:cNvPr id="77" name="Grupo 76">
          <a:extLst>
            <a:ext uri="{FF2B5EF4-FFF2-40B4-BE49-F238E27FC236}">
              <a16:creationId xmlns:a16="http://schemas.microsoft.com/office/drawing/2014/main" id="{BC037055-3D2E-4203-8272-92B4218FD3B4}"/>
            </a:ext>
          </a:extLst>
        </xdr:cNvPr>
        <xdr:cNvGrpSpPr/>
      </xdr:nvGrpSpPr>
      <xdr:grpSpPr>
        <a:xfrm>
          <a:off x="10335948" y="664011"/>
          <a:ext cx="2052000" cy="1164773"/>
          <a:chOff x="3396019" y="971550"/>
          <a:chExt cx="1333921" cy="1164773"/>
        </a:xfrm>
      </xdr:grpSpPr>
      <xdr:sp macro="" textlink="">
        <xdr:nvSpPr>
          <xdr:cNvPr id="78" name="Rectángulo: esquinas redondeadas 77">
            <a:extLst>
              <a:ext uri="{FF2B5EF4-FFF2-40B4-BE49-F238E27FC236}">
                <a16:creationId xmlns:a16="http://schemas.microsoft.com/office/drawing/2014/main" id="{AA7C0059-3AA1-BA69-06CD-ADEE592AEAA5}"/>
              </a:ext>
            </a:extLst>
          </xdr:cNvPr>
          <xdr:cNvSpPr/>
        </xdr:nvSpPr>
        <xdr:spPr>
          <a:xfrm>
            <a:off x="3396019" y="971550"/>
            <a:ext cx="1333921" cy="1164773"/>
          </a:xfrm>
          <a:prstGeom prst="roundRect">
            <a:avLst>
              <a:gd name="adj" fmla="val 11060"/>
            </a:avLst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79" name="Gráfico 78" descr="Velocímetro en el medio con relleno sólido">
            <a:extLst>
              <a:ext uri="{FF2B5EF4-FFF2-40B4-BE49-F238E27FC236}">
                <a16:creationId xmlns:a16="http://schemas.microsoft.com/office/drawing/2014/main" id="{A391ECC0-C322-D74C-D89C-D7BC27F48C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3979275" y="1158137"/>
            <a:ext cx="167407" cy="216000"/>
          </a:xfrm>
          <a:prstGeom prst="rect">
            <a:avLst/>
          </a:prstGeom>
        </xdr:spPr>
      </xdr:pic>
      <xdr:sp macro="" textlink="">
        <xdr:nvSpPr>
          <xdr:cNvPr id="80" name="CuadroTexto 79">
            <a:extLst>
              <a:ext uri="{FF2B5EF4-FFF2-40B4-BE49-F238E27FC236}">
                <a16:creationId xmlns:a16="http://schemas.microsoft.com/office/drawing/2014/main" id="{D7ABE197-FDAE-EC0C-5327-A7D9EFC8CF95}"/>
              </a:ext>
            </a:extLst>
          </xdr:cNvPr>
          <xdr:cNvSpPr txBox="1"/>
        </xdr:nvSpPr>
        <xdr:spPr>
          <a:xfrm>
            <a:off x="3486677" y="1379594"/>
            <a:ext cx="1152605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PE" sz="800" b="1">
                <a:solidFill>
                  <a:srgbClr val="495057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Actual Progress</a:t>
            </a:r>
          </a:p>
        </xdr:txBody>
      </xdr:sp>
      <xdr:sp macro="" textlink="Settings!B24">
        <xdr:nvSpPr>
          <xdr:cNvPr id="81" name="CuadroTexto 80">
            <a:extLst>
              <a:ext uri="{FF2B5EF4-FFF2-40B4-BE49-F238E27FC236}">
                <a16:creationId xmlns:a16="http://schemas.microsoft.com/office/drawing/2014/main" id="{AE479903-63DC-7D8E-0515-41C116FA8B93}"/>
              </a:ext>
            </a:extLst>
          </xdr:cNvPr>
          <xdr:cNvSpPr txBox="1"/>
        </xdr:nvSpPr>
        <xdr:spPr>
          <a:xfrm>
            <a:off x="3486677" y="1594438"/>
            <a:ext cx="1152605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FD7EA19-5BDF-472F-9479-4E7C165E2AFB}" type="TxLink">
              <a:rPr lang="en-US" sz="1000" b="1" i="0" u="none" strike="noStrike">
                <a:solidFill>
                  <a:srgbClr val="73737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54.89%</a:t>
            </a:fld>
            <a:endParaRPr lang="es-PE" sz="2000" b="1">
              <a:solidFill>
                <a:srgbClr val="73737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596980</xdr:colOff>
      <xdr:row>2</xdr:row>
      <xdr:rowOff>56022</xdr:rowOff>
    </xdr:from>
    <xdr:to>
      <xdr:col>1</xdr:col>
      <xdr:colOff>246658</xdr:colOff>
      <xdr:row>5</xdr:row>
      <xdr:rowOff>32649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ECDAFBF-D248-4C7A-A84B-8B504FCA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alphaModFix/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980" y="382593"/>
          <a:ext cx="667492" cy="46648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146957</xdr:colOff>
      <xdr:row>5</xdr:row>
      <xdr:rowOff>16315</xdr:rowOff>
    </xdr:from>
    <xdr:to>
      <xdr:col>1</xdr:col>
      <xdr:colOff>563338</xdr:colOff>
      <xdr:row>10</xdr:row>
      <xdr:rowOff>119733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A47C72AC-6204-445E-B722-0FC920091F93}"/>
            </a:ext>
          </a:extLst>
        </xdr:cNvPr>
        <xdr:cNvSpPr txBox="1"/>
      </xdr:nvSpPr>
      <xdr:spPr>
        <a:xfrm>
          <a:off x="146957" y="832744"/>
          <a:ext cx="1434195" cy="919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1600" b="1" i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Construction Project Dashboard </a:t>
          </a:r>
          <a:endParaRPr lang="es-PE" sz="1600" b="1" i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146957</xdr:colOff>
      <xdr:row>0</xdr:row>
      <xdr:rowOff>32659</xdr:rowOff>
    </xdr:from>
    <xdr:to>
      <xdr:col>1</xdr:col>
      <xdr:colOff>838199</xdr:colOff>
      <xdr:row>1</xdr:row>
      <xdr:rowOff>130617</xdr:rowOff>
    </xdr:to>
    <xdr:sp macro="" textlink="Settings!B26">
      <xdr:nvSpPr>
        <xdr:cNvPr id="19" name="CuadroTexto 18">
          <a:extLst>
            <a:ext uri="{FF2B5EF4-FFF2-40B4-BE49-F238E27FC236}">
              <a16:creationId xmlns:a16="http://schemas.microsoft.com/office/drawing/2014/main" id="{58C91B85-F8AC-4BC2-B89E-587321EB03CE}"/>
            </a:ext>
          </a:extLst>
        </xdr:cNvPr>
        <xdr:cNvSpPr txBox="1"/>
      </xdr:nvSpPr>
      <xdr:spPr>
        <a:xfrm>
          <a:off x="146957" y="32659"/>
          <a:ext cx="1709056" cy="26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DC2BD43-4A40-4F29-86C5-EA37A0AE381D}" type="TxLink">
            <a:rPr lang="en-US" sz="800" b="0" i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jueves, 19 de Marzo de 2026</a:t>
          </a:fld>
          <a:endParaRPr lang="es-PE" sz="1050" b="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38102</xdr:colOff>
          <xdr:row>13</xdr:row>
          <xdr:rowOff>32659</xdr:rowOff>
        </xdr:from>
        <xdr:to>
          <xdr:col>8</xdr:col>
          <xdr:colOff>762000</xdr:colOff>
          <xdr:row>14</xdr:row>
          <xdr:rowOff>136072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7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24494</xdr:colOff>
          <xdr:row>13</xdr:row>
          <xdr:rowOff>57151</xdr:rowOff>
        </xdr:from>
        <xdr:to>
          <xdr:col>10</xdr:col>
          <xdr:colOff>400052</xdr:colOff>
          <xdr:row>14</xdr:row>
          <xdr:rowOff>111580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7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Project start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5446</xdr:colOff>
          <xdr:row>13</xdr:row>
          <xdr:rowOff>51707</xdr:rowOff>
        </xdr:from>
        <xdr:to>
          <xdr:col>12</xdr:col>
          <xdr:colOff>435430</xdr:colOff>
          <xdr:row>14</xdr:row>
          <xdr:rowOff>117023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7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 month ago</a:t>
              </a:r>
            </a:p>
          </xdr:txBody>
        </xdr:sp>
        <xdr:clientData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Gian" refreshedDate="46100.533189467591" createdVersion="3" refreshedVersion="8" minRefreshableVersion="3" recordCount="0" tupleCache="1" supportSubquery="1" supportAdvancedDrill="1" xr:uid="{A1C62C64-3A98-44BC-BB2F-3FBCB87271E6}">
  <cacheSource type="external" connectionId="7"/>
  <cacheFields count="3">
    <cacheField name="[DimProject].[Name_Project].[Name_Project]" caption="Name_Project" numFmtId="0" hierarchy="17" level="1">
      <sharedItems count="10">
        <s v="[DimProject].[Name_Project].&amp;[Edificio Residencial San Isidro]" c="Edificio Residencial San Isidro"/>
        <s v="[DimProject].[Name_Project].&amp;[Almacenes Callao]" c="Almacenes Callao"/>
        <s v="[DimProject].[Name_Project].&amp;[Residencial Los Parques]" c="Residencial Los Parques"/>
        <s v="[DimProject].[Name_Project].&amp;[Torre Lince Park]" c="Torre Lince Park"/>
        <s v="[DimProject].[Name_Project].&amp;[Edificio Costanera]" c="Edificio Costanera"/>
        <s v="[DimProject].[Name_Project].&amp;[Condominio Las Praderas]" c="Condominio Las Praderas"/>
        <s v="[DimProject].[Name_Project].&amp;[Plaza Comercial Surco]" c="Plaza Comercial Surco"/>
        <s v="[DimProject].[Name_Project].&amp;[Centro Empresarial Miraflores]" c="Centro Empresarial Miraflores"/>
        <s v="[DimProject].[Name_Project].&amp;[Clínica San Borja]" c="Clínica San Borja"/>
        <s v="[DimProject].[Name_Project].&amp;[Condominio La Marina]" c="Condominio La Marina"/>
      </sharedItems>
    </cacheField>
    <cacheField name="[Measures].[MeasuresLevel]" caption="MeasuresLevel" numFmtId="0" hierarchy="49">
      <sharedItems count="19">
        <s v="[Measures].[#Critical Items]" c="#Critical Items"/>
        <s v="[Measures].[#Total Days Overdue]" c="#Total Days Overdue"/>
        <s v="[Measures].[#At-Risk Projects]" c="#At-Risk Projects"/>
        <s v="[Measures].[#Planned Cost]" c="#Planned Cost"/>
        <s v="[Measures].[#Cost Progress(%)]" c="#Cost Progress(%)"/>
        <s v="[Measures].[#Finishes Progress]" c="#Finishes Progress"/>
        <s v="[Measures].[#BudgetvsActual]" c="#BudgetvsActual"/>
        <s v="[Measures].[#Real Progress(%)]" c="#Real Progress(%)"/>
        <s v="[Measures].[#Planned_DateMin]" c="#Planned_DateMin"/>
        <s v="[Measures].[#Planned_DateMax]" c="#Planned_DateMax"/>
        <s v="[Measures].[#Temporary Works Progress]" c="#Temporary Works Progress"/>
        <s v="[Measures].[#CV]" c="#CV"/>
        <s v="[Measures].[#Structural Works Progress]" c="#Structural Works Progress"/>
        <s v="[Measures].[#Total Projects]" c="#Total Projects"/>
        <s v="[Measures].[#Planned Days]" c="#Planned Days"/>
        <s v="[Measures].[#Budget]" c="#Budget"/>
        <s v="[Measures].[#MEP Progress]" c="#MEP Progress"/>
        <s v="[Measures].[#Total Items]" c="#Total Items"/>
        <s v="[Measures].[#Actual Cost]" c="#Actual Cost"/>
      </sharedItems>
    </cacheField>
    <cacheField name="[DimProject].[Project_Type].[Project_Type]" caption="Project_Type" numFmtId="0" hierarchy="19" level="1">
      <sharedItems count="1">
        <s v="[DimProject].[Project_Type].&amp;[Multifamiliar]" c="Multifamiliar"/>
      </sharedItems>
    </cacheField>
  </cacheFields>
  <cacheHierarchies count="99">
    <cacheHierarchy uniqueName="[DimCalendar].[DATE]" caption="DATE" attribute="1" time="1" defaultMemberUniqueName="[DimCalendar].[DATE].[All]" allUniqueName="[DimCalendar].[DATE].[All]" dimensionUniqueName="[DimCalendar]" displayFolder="" count="2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2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2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2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2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2" memberValueDatatype="20" unbalanced="0"/>
    <cacheHierarchy uniqueName="[DimCalendar].[DAY]" caption="DAY" attribute="1" defaultMemberUniqueName="[DimCalendar].[DAY].[All]" allUniqueName="[DimCalendar].[DAY].[All]" dimensionUniqueName="[DimCalendar]" displayFolder="" count="2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2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2" memberValueDatatype="20" unbalanced="0"/>
    <cacheHierarchy uniqueName="[DimItems].[Phase]" caption="Phase" attribute="1" defaultMemberUniqueName="[DimItems].[Phase].[All]" allUniqueName="[DimItems].[Phase].[All]" allCaption="All" dimensionUniqueName="[DimItems]" displayFolder="" count="2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2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2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2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2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2" memberValueDatatype="20" unbalanced="0"/>
    <cacheHierarchy uniqueName="[DimProject].[Name_Project]" caption="Name_Project" attribute="1" defaultMemberUniqueName="[DimProject].[Name_Project].[All]" allUniqueName="[DimProject].[Name_Project].[All]" allCaption="All" dimensionUniqueName="[DimProject]" displayFolder="" count="2" memberValueDatatype="130" unbalanced="0">
      <fieldsUsage count="2">
        <fieldUsage x="-1"/>
        <fieldUsage x="0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2" memberValueDatatype="130" unbalanced="0"/>
    <cacheHierarchy uniqueName="[DimProject].[Project_Type]" caption="Project_Type" attribute="1" defaultMemberUniqueName="[DimProject].[Project_Type].[All]" allUniqueName="[DimProject].[Project_Type].[All]" allCaption="All" dimensionUniqueName="[DimProject]" displayFolder="" count="2" memberValueDatatype="130" unbalanced="0">
      <fieldsUsage count="2">
        <fieldUsage x="-1"/>
        <fieldUsage x="2"/>
      </fieldsUsage>
    </cacheHierarchy>
    <cacheHierarchy uniqueName="[DimProject].[Floor_Number]" caption="Floor_Number" attribute="1" defaultMemberUniqueName="[DimProject].[Floor_Number].[All]" allUniqueName="[DimProject].[Floor_Number].[All]" dimensionUniqueName="[DimProject]" displayFolder="" count="2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2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2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2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2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2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2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2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2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2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2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2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2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2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2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2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2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2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2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2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2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2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2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2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2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2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2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2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2" memberValueDatatype="2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1"/>
      </fieldsUsage>
    </cacheHierarchy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tupleCache>
    <entries count="188">
      <n v="2" in="0">
        <tpls c="4">
          <tpl hier="11" item="2"/>
          <tpl hier="17" item="1"/>
          <tpl hier="19" item="0"/>
          <tpl fld="1" item="0"/>
        </tpls>
      </n>
      <n v="76" in="1">
        <tpls c="2">
          <tpl hier="17" item="1"/>
          <tpl fld="1" item="1"/>
        </tpls>
      </n>
      <n v="4" in="0">
        <tpls c="3">
          <tpl hier="17" item="3"/>
          <tpl hier="19" item="0"/>
          <tpl fld="1" item="2"/>
        </tpls>
      </n>
      <n v="51233000" in="4">
        <tpls c="3">
          <tpl hier="17" item="3"/>
          <tpl hier="19" item="0"/>
          <tpl fld="1" item="3"/>
        </tpls>
      </n>
      <n v="0.43227021646204594" in="3">
        <tpls c="3">
          <tpl hier="17" item="3"/>
          <tpl hier="19" item="0"/>
          <tpl fld="1" item="4"/>
        </tpls>
      </n>
      <n v="1" in="3">
        <tpls c="3">
          <tpl hier="17" item="1"/>
          <tpl hier="19" item="0"/>
          <tpl fld="1" item="5"/>
        </tpls>
      </n>
      <n v="0.28650064683053039" in="3">
        <tpls c="3">
          <tpl hier="17" item="3"/>
          <tpl hier="19" item="0"/>
          <tpl fld="1" item="6"/>
        </tpls>
      </n>
      <n v="0.61466821885913858" in="3">
        <tpls c="3">
          <tpl hier="17" item="3"/>
          <tpl hier="19" item="0"/>
          <tpl fld="1" item="7"/>
        </tpls>
      </n>
      <n v="45658" in="2">
        <tpls c="2">
          <tpl hier="17" item="1"/>
          <tpl fld="1" item="8"/>
        </tpls>
      </n>
      <n v="46081" in="2">
        <tpls c="2">
          <tpl hier="17" item="1"/>
          <tpl fld="1" item="9"/>
        </tpls>
      </n>
      <n v="1" in="3">
        <tpls c="3">
          <tpl hier="17" item="1"/>
          <tpl hier="19" item="0"/>
          <tpl fld="1" item="10"/>
        </tpls>
      </n>
      <n v="2.4939172749391725E-2" in="3">
        <tpls c="2">
          <tpl hier="17" item="1"/>
          <tpl fld="1" item="11"/>
        </tpls>
      </n>
      <n v="1" in="3">
        <tpls c="3">
          <tpl hier="17" item="1"/>
          <tpl hier="19" item="0"/>
          <tpl fld="1" item="12"/>
        </tpls>
      </n>
      <n v="10" in="0">
        <tpls c="2">
          <tpl hier="19" item="0"/>
          <tpl fld="1" item="13"/>
        </tpls>
      </n>
      <n v="0.98399999999999999" in="3">
        <tpls c="2">
          <tpl hier="17" item="1"/>
          <tpl fld="1" item="7"/>
        </tpls>
      </n>
      <n v="424" in="1">
        <tpls c="2">
          <tpl hier="17" item="1"/>
          <tpl fld="1" item="14"/>
        </tpls>
      </n>
      <n v="77300000" in="4">
        <tpls c="3">
          <tpl hier="17" item="3"/>
          <tpl hier="19" item="0"/>
          <tpl fld="1" item="15"/>
        </tpls>
      </n>
      <n v="1" in="3">
        <tpls c="3">
          <tpl hier="17" item="1"/>
          <tpl hier="19" item="0"/>
          <tpl fld="1" item="16"/>
        </tpls>
      </n>
      <n v="15" in="0">
        <tpls c="4">
          <tpl hier="11" item="2"/>
          <tpl hier="17" item="1"/>
          <tpl hier="19" item="0"/>
          <tpl fld="1" item="17"/>
        </tpls>
      </n>
      <n v="22146500" in="4">
        <tpls c="3">
          <tpl hier="17" item="3"/>
          <tpl hier="19" item="0"/>
          <tpl fld="1" item="18"/>
        </tpls>
      </n>
      <n v="0" in="1">
        <tpls c="2">
          <tpl hier="17" item="4"/>
          <tpl fld="1" item="1"/>
        </tpls>
      </n>
      <n v="45962" in="2">
        <tpls c="2">
          <tpl hier="17" item="4"/>
          <tpl fld="1" item="8"/>
        </tpls>
      </n>
      <n v="46356" in="2">
        <tpls c="2">
          <tpl hier="17" item="4"/>
          <tpl fld="1" item="9"/>
        </tpls>
      </n>
      <n v="-0.82020202020202015" in="3">
        <tpls c="2">
          <tpl hier="17" item="4"/>
          <tpl fld="1" item="11"/>
        </tpls>
      </n>
      <n v="0.54893617021276597" in="3">
        <tpls c="2">
          <tpl hier="17" item="4"/>
          <tpl fld="1" item="7"/>
        </tpls>
      </n>
      <n v="395" in="1">
        <tpls c="2">
          <tpl hier="17" item="4"/>
          <tpl fld="1" item="14"/>
        </tpls>
      </n>
      <n v="152" in="1">
        <tpls c="2">
          <tpl hier="17" item="5"/>
          <tpl fld="1" item="1"/>
        </tpls>
      </n>
      <n v="46023" in="2">
        <tpls c="2">
          <tpl hier="17" item="5"/>
          <tpl fld="1" item="8"/>
        </tpls>
      </n>
      <n v="46417" in="2">
        <tpls c="2">
          <tpl hier="17" item="5"/>
          <tpl fld="1" item="9"/>
        </tpls>
      </n>
      <n v="-0.91414289914730962" in="3">
        <tpls c="2">
          <tpl hier="17" item="5"/>
          <tpl fld="1" item="11"/>
        </tpls>
      </n>
      <n v="0.13162705667276051" in="3">
        <tpls c="2">
          <tpl hier="17" item="5"/>
          <tpl fld="1" item="7"/>
        </tpls>
      </n>
      <n v="395" in="1">
        <tpls c="2">
          <tpl hier="17" item="5"/>
          <tpl fld="1" item="14"/>
        </tpls>
      </n>
      <n v="47" in="1">
        <tpls c="2">
          <tpl hier="17" item="6"/>
          <tpl fld="1" item="1"/>
        </tpls>
      </n>
      <n v="45809" in="2">
        <tpls c="2">
          <tpl hier="17" item="6"/>
          <tpl fld="1" item="8"/>
        </tpls>
      </n>
      <n v="46203" in="2">
        <tpls c="2">
          <tpl hier="17" item="6"/>
          <tpl fld="1" item="9"/>
        </tpls>
      </n>
      <n v="-0.21303023201312399" in="3">
        <tpls c="2">
          <tpl hier="17" item="6"/>
          <tpl fld="1" item="11"/>
        </tpls>
      </n>
      <n v="0.79864253393665163" in="3">
        <tpls c="2">
          <tpl hier="17" item="6"/>
          <tpl fld="1" item="7"/>
        </tpls>
      </n>
      <n v="395" in="1">
        <tpls c="2">
          <tpl hier="17" item="6"/>
          <tpl fld="1" item="14"/>
        </tpls>
      </n>
      <n v="301" in="1">
        <tpls c="2">
          <tpl hier="17" item="7"/>
          <tpl fld="1" item="1"/>
        </tpls>
      </n>
      <n v="45717" in="2">
        <tpls c="2">
          <tpl hier="17" item="7"/>
          <tpl fld="1" item="8"/>
        </tpls>
      </n>
      <n v="46142" in="2">
        <tpls c="2">
          <tpl hier="17" item="7"/>
          <tpl fld="1" item="9"/>
        </tpls>
      </n>
      <n v="-5.6719367588932812E-2" in="3">
        <tpls c="2">
          <tpl hier="17" item="7"/>
          <tpl fld="1" item="11"/>
        </tpls>
      </n>
      <n v="0.67950481430536447" in="3">
        <tpls c="2">
          <tpl hier="17" item="7"/>
          <tpl fld="1" item="7"/>
        </tpls>
      </n>
      <n v="426" in="1">
        <tpls c="2">
          <tpl hier="17" item="7"/>
          <tpl fld="1" item="14"/>
        </tpls>
      </n>
      <n v="0" in="1">
        <tpls c="2">
          <tpl hier="17" item="8"/>
          <tpl fld="1" item="1"/>
        </tpls>
      </n>
      <n v="45931" in="2">
        <tpls c="2">
          <tpl hier="17" item="8"/>
          <tpl fld="1" item="8"/>
        </tpls>
      </n>
      <n v="46325" in="2">
        <tpls c="2">
          <tpl hier="17" item="8"/>
          <tpl fld="1" item="9"/>
        </tpls>
      </n>
      <n v="-0.55439856373429086" in="3">
        <tpls c="2">
          <tpl hier="17" item="8"/>
          <tpl fld="1" item="11"/>
        </tpls>
      </n>
      <n v="0.89823008849557517" in="3">
        <tpls c="2">
          <tpl hier="17" item="8"/>
          <tpl fld="1" item="7"/>
        </tpls>
      </n>
      <n v="395" in="1">
        <tpls c="2">
          <tpl hier="17" item="8"/>
          <tpl fld="1" item="14"/>
        </tpls>
      </n>
      <n v="0" in="1">
        <tpls c="2">
          <tpl hier="17" item="9"/>
          <tpl fld="1" item="1"/>
        </tpls>
      </n>
      <n v="46096" in="2">
        <tpls c="2">
          <tpl hier="17" item="9"/>
          <tpl fld="1" item="8"/>
        </tpls>
      </n>
      <n v="46446" in="2">
        <tpls c="2">
          <tpl hier="17" item="9"/>
          <tpl fld="1" item="9"/>
        </tpls>
      </n>
      <n v="0" in="3">
        <tpls c="2">
          <tpl hier="17" item="9"/>
          <tpl fld="1" item="11"/>
        </tpls>
      </n>
      <n v="0" in="3">
        <tpls c="2">
          <tpl hier="17" item="9"/>
          <tpl fld="1" item="7"/>
        </tpls>
      </n>
      <n v="351" in="1">
        <tpls c="2">
          <tpl hier="17" item="9"/>
          <tpl fld="1" item="14"/>
        </tpls>
      </n>
      <n v="0" in="1">
        <tpls c="2">
          <tpl hier="17" item="10"/>
          <tpl fld="1" item="1"/>
        </tpls>
      </n>
      <n v="46054" in="2">
        <tpls c="2">
          <tpl hier="17" item="10"/>
          <tpl fld="1" item="8"/>
        </tpls>
      </n>
      <n v="46476" in="2">
        <tpls c="2">
          <tpl hier="17" item="10"/>
          <tpl fld="1" item="9"/>
        </tpls>
      </n>
      <n v="-0.98045397225725095" in="3">
        <tpls c="2">
          <tpl hier="17" item="10"/>
          <tpl fld="1" item="11"/>
        </tpls>
      </n>
      <n v="0.36619718309859156" in="3">
        <tpls c="2">
          <tpl hier="17" item="10"/>
          <tpl fld="1" item="7"/>
        </tpls>
      </n>
      <n v="423" in="1">
        <tpls c="2">
          <tpl hier="17" item="10"/>
          <tpl fld="1" item="14"/>
        </tpls>
      </n>
      <n v="151" in="1">
        <tpls c="2">
          <tpl hier="17" item="11"/>
          <tpl fld="1" item="1"/>
        </tpls>
      </n>
      <n v="45870" in="2">
        <tpls c="2">
          <tpl hier="17" item="11"/>
          <tpl fld="1" item="8"/>
        </tpls>
      </n>
      <n v="46264" in="2">
        <tpls c="2">
          <tpl hier="17" item="11"/>
          <tpl fld="1" item="9"/>
        </tpls>
      </n>
      <n v="-0.20021384656508956" in="3">
        <tpls c="2">
          <tpl hier="17" item="11"/>
          <tpl fld="1" item="11"/>
        </tpls>
      </n>
      <n v="0.53296703296703296" in="3">
        <tpls c="2">
          <tpl hier="17" item="11"/>
          <tpl fld="1" item="7"/>
        </tpls>
      </n>
      <n v="395" in="1">
        <tpls c="2">
          <tpl hier="17" item="11"/>
          <tpl fld="1" item="14"/>
        </tpls>
      </n>
      <n v="0" in="1">
        <tpls c="2">
          <tpl hier="17" item="12"/>
          <tpl fld="1" item="1"/>
        </tpls>
      </n>
      <n v="46143" in="2">
        <tpls c="2">
          <tpl hier="17" item="12"/>
          <tpl fld="1" item="8"/>
        </tpls>
      </n>
      <n v="46538" in="2">
        <tpls c="2">
          <tpl hier="17" item="12"/>
          <tpl fld="1" item="9"/>
        </tpls>
      </n>
      <n v="0" in="3">
        <tpls c="2">
          <tpl hier="17" item="12"/>
          <tpl fld="1" item="11"/>
        </tpls>
      </n>
      <n v="0" in="3">
        <tpls c="2">
          <tpl hier="17" item="12"/>
          <tpl fld="1" item="7"/>
        </tpls>
      </n>
      <n v="396" in="1">
        <tpls c="2">
          <tpl hier="17" item="12"/>
          <tpl fld="1" item="14"/>
        </tpls>
      </n>
      <n v="12" in="0">
        <tpls c="4">
          <tpl hier="11" item="2"/>
          <tpl hier="17" item="3"/>
          <tpl hier="19" item="0"/>
          <tpl fld="1" item="0"/>
        </tpls>
      </n>
      <n v="0.49156118143459915" in="3">
        <tpls c="3">
          <tpl hier="17" item="3"/>
          <tpl hier="19" item="0"/>
          <tpl fld="1" item="5"/>
        </tpls>
      </n>
      <n v="0.85852090032154338" in="3">
        <tpls c="3">
          <tpl hier="17" item="3"/>
          <tpl hier="19" item="0"/>
          <tpl fld="1" item="10"/>
        </tpls>
      </n>
      <n v="0.58770883054892598" in="3">
        <tpls c="3">
          <tpl hier="17" item="3"/>
          <tpl hier="19" item="0"/>
          <tpl fld="1" item="12"/>
        </tpls>
      </n>
      <n v="0.78617710583153344" in="3">
        <tpls c="3">
          <tpl hier="17" item="3"/>
          <tpl hier="19" item="0"/>
          <tpl fld="1" item="16"/>
        </tpls>
      </n>
      <n v="15" in="0">
        <tpls c="4">
          <tpl hier="11" item="2"/>
          <tpl hier="17" item="3"/>
          <tpl hier="19" item="0"/>
          <tpl fld="1" item="17"/>
        </tpls>
      </n>
      <n v="0" in="0">
        <tpls c="4">
          <tpl hier="11" item="2"/>
          <tpl hier="17" item="9"/>
          <tpl hier="19" item="0"/>
          <tpl fld="1" item="0"/>
        </tpls>
      </n>
      <n v="0" in="3">
        <tpls c="3">
          <tpl hier="17" item="9"/>
          <tpl hier="19" item="0"/>
          <tpl fld="1" item="5"/>
        </tpls>
      </n>
      <n v="0" in="3">
        <tpls c="3">
          <tpl hier="17" item="9"/>
          <tpl hier="19" item="0"/>
          <tpl fld="1" item="10"/>
        </tpls>
      </n>
      <n v="0" in="3">
        <tpls c="3">
          <tpl hier="17" item="9"/>
          <tpl hier="19" item="0"/>
          <tpl fld="1" item="12"/>
        </tpls>
      </n>
      <n v="0" in="3">
        <tpls c="3">
          <tpl hier="17" item="9"/>
          <tpl hier="19" item="0"/>
          <tpl fld="1" item="16"/>
        </tpls>
      </n>
      <n v="15" in="0">
        <tpls c="4">
          <tpl hier="11" item="2"/>
          <tpl hier="17" item="9"/>
          <tpl hier="19" item="0"/>
          <tpl fld="1" item="17"/>
        </tpls>
      </n>
      <n v="0" in="0">
        <tpls c="4">
          <tpl hier="11" item="2"/>
          <tpl hier="17" item="5"/>
          <tpl hier="19" item="0"/>
          <tpl fld="1" item="0"/>
        </tpls>
      </n>
      <n v="0" in="3">
        <tpls c="3">
          <tpl hier="17" item="5"/>
          <tpl hier="19" item="0"/>
          <tpl fld="1" item="5"/>
        </tpls>
      </n>
      <n v="1" in="3">
        <tpls c="3">
          <tpl hier="17" item="5"/>
          <tpl hier="19" item="0"/>
          <tpl fld="1" item="10"/>
        </tpls>
      </n>
      <n v="7.7669902912621352E-2" in="3">
        <tpls c="3">
          <tpl hier="17" item="5"/>
          <tpl hier="19" item="0"/>
          <tpl fld="1" item="12"/>
        </tpls>
      </n>
      <n v="0" in="3">
        <tpls c="3">
          <tpl hier="17" item="5"/>
          <tpl hier="19" item="0"/>
          <tpl fld="1" item="16"/>
        </tpls>
      </n>
      <n v="15" in="0">
        <tpls c="4">
          <tpl hier="11" item="2"/>
          <tpl hier="17" item="5"/>
          <tpl hier="19" item="0"/>
          <tpl fld="1" item="17"/>
        </tpls>
      </n>
      <n v="1" in="0">
        <tpls c="4">
          <tpl hier="11" item="2"/>
          <tpl hier="17" item="6"/>
          <tpl hier="19" item="0"/>
          <tpl fld="1" item="0"/>
        </tpls>
      </n>
      <n v="0.41059602649006621" in="3">
        <tpls c="3">
          <tpl hier="17" item="6"/>
          <tpl hier="19" item="0"/>
          <tpl fld="1" item="5"/>
        </tpls>
      </n>
      <n v="1" in="3">
        <tpls c="3">
          <tpl hier="17" item="6"/>
          <tpl hier="19" item="0"/>
          <tpl fld="1" item="10"/>
        </tpls>
      </n>
      <n v="1" in="3">
        <tpls c="3">
          <tpl hier="17" item="6"/>
          <tpl hier="19" item="0"/>
          <tpl fld="1" item="12"/>
        </tpls>
      </n>
      <n v="1" in="3">
        <tpls c="3">
          <tpl hier="17" item="6"/>
          <tpl hier="19" item="0"/>
          <tpl fld="1" item="16"/>
        </tpls>
      </n>
      <n v="15" in="0">
        <tpls c="4">
          <tpl hier="11" item="2"/>
          <tpl hier="17" item="6"/>
          <tpl hier="19" item="0"/>
          <tpl fld="1" item="17"/>
        </tpls>
      </n>
      <n v="2" in="0">
        <tpls c="4">
          <tpl hier="11" item="2"/>
          <tpl hier="17" item="8"/>
          <tpl hier="19" item="0"/>
          <tpl fld="1" item="0"/>
        </tpls>
      </n>
      <n v="0" in="3">
        <tpls c="3">
          <tpl hier="17" item="8"/>
          <tpl hier="19" item="0"/>
          <tpl fld="1" item="5"/>
        </tpls>
      </n>
      <n v="1" in="3">
        <tpls c="3">
          <tpl hier="17" item="8"/>
          <tpl hier="19" item="0"/>
          <tpl fld="1" item="10"/>
        </tpls>
      </n>
      <n v="0.87581699346405228" in="3">
        <tpls c="3">
          <tpl hier="17" item="8"/>
          <tpl hier="19" item="0"/>
          <tpl fld="1" item="12"/>
        </tpls>
      </n>
      <n v="0.9" in="3">
        <tpls c="3">
          <tpl hier="17" item="8"/>
          <tpl hier="19" item="0"/>
          <tpl fld="1" item="16"/>
        </tpls>
      </n>
      <n v="15" in="0">
        <tpls c="4">
          <tpl hier="11" item="2"/>
          <tpl hier="17" item="8"/>
          <tpl hier="19" item="0"/>
          <tpl fld="1" item="17"/>
        </tpls>
      </n>
      <n v="0" in="0">
        <tpls c="3">
          <tpl hier="17" item="4"/>
          <tpl hier="19" item="0"/>
          <tpl fld="1" item="2"/>
        </tpls>
      </n>
      <n v="4950000" in="4">
        <tpls c="3">
          <tpl hier="17" item="4"/>
          <tpl hier="19" item="0"/>
          <tpl fld="1" item="3"/>
        </tpls>
      </n>
      <n v="0.17979797979797979" in="3">
        <tpls c="3">
          <tpl hier="17" item="4"/>
          <tpl hier="19" item="0"/>
          <tpl fld="1" item="4"/>
        </tpls>
      </n>
      <n v="0.19777777777777777" in="3">
        <tpls c="3">
          <tpl hier="17" item="4"/>
          <tpl hier="19" item="0"/>
          <tpl fld="1" item="6"/>
        </tpls>
      </n>
      <n v="0.54893617021276597" in="3">
        <tpls c="3">
          <tpl hier="17" item="4"/>
          <tpl hier="19" item="0"/>
          <tpl fld="1" item="7"/>
        </tpls>
      </n>
      <n v="4500000" in="4">
        <tpls c="3">
          <tpl hier="17" item="4"/>
          <tpl hier="19" item="0"/>
          <tpl fld="1" item="15"/>
        </tpls>
      </n>
      <n v="890000" in="4">
        <tpls c="3">
          <tpl hier="17" item="4"/>
          <tpl hier="19" item="0"/>
          <tpl fld="1" item="18"/>
        </tpls>
      </n>
      <n v="0" in="0">
        <tpls c="3">
          <tpl hier="17" item="10"/>
          <tpl hier="19" item="0"/>
          <tpl fld="1" item="2"/>
        </tpls>
      </n>
      <n v="7930000" in="4">
        <tpls c="3">
          <tpl hier="17" item="10"/>
          <tpl hier="19" item="0"/>
          <tpl fld="1" item="3"/>
        </tpls>
      </n>
      <n v="1.9546027742749054E-2" in="3">
        <tpls c="3">
          <tpl hier="17" item="10"/>
          <tpl hier="19" item="0"/>
          <tpl fld="1" item="4"/>
        </tpls>
      </n>
      <n v="1.24E-2" in="3">
        <tpls c="3">
          <tpl hier="17" item="10"/>
          <tpl hier="19" item="0"/>
          <tpl fld="1" item="6"/>
        </tpls>
      </n>
      <n v="0.36619718309859156" in="3">
        <tpls c="3">
          <tpl hier="17" item="10"/>
          <tpl hier="19" item="0"/>
          <tpl fld="1" item="7"/>
        </tpls>
      </n>
      <n v="12500000" in="4">
        <tpls c="3">
          <tpl hier="17" item="10"/>
          <tpl hier="19" item="0"/>
          <tpl fld="1" item="15"/>
        </tpls>
      </n>
      <n v="155000" in="4">
        <tpls c="3">
          <tpl hier="17" item="10"/>
          <tpl hier="19" item="0"/>
          <tpl fld="1" item="18"/>
        </tpls>
      </n>
      <n v="1" in="0">
        <tpls c="3">
          <tpl hier="17" item="11"/>
          <tpl hier="19" item="0"/>
          <tpl fld="1" item="2"/>
        </tpls>
      </n>
      <n v="7482000" in="4">
        <tpls c="3">
          <tpl hier="17" item="11"/>
          <tpl hier="19" item="0"/>
          <tpl fld="1" item="3"/>
        </tpls>
      </n>
      <n v="0.79978615343491044" in="3">
        <tpls c="3">
          <tpl hier="17" item="11"/>
          <tpl hier="19" item="0"/>
          <tpl fld="1" item="4"/>
        </tpls>
      </n>
      <n v="0.54400000000000004" in="3">
        <tpls c="3">
          <tpl hier="17" item="11"/>
          <tpl hier="19" item="0"/>
          <tpl fld="1" item="6"/>
        </tpls>
      </n>
      <n v="0.53296703296703296" in="3">
        <tpls c="3">
          <tpl hier="17" item="11"/>
          <tpl hier="19" item="0"/>
          <tpl fld="1" item="7"/>
        </tpls>
      </n>
      <n v="11000000" in="4">
        <tpls c="3">
          <tpl hier="17" item="11"/>
          <tpl hier="19" item="0"/>
          <tpl fld="1" item="15"/>
        </tpls>
      </n>
      <n v="5984000" in="4">
        <tpls c="3">
          <tpl hier="17" item="11"/>
          <tpl hier="19" item="0"/>
          <tpl fld="1" item="18"/>
        </tpls>
      </n>
      <n v="0" in="0">
        <tpls c="3">
          <tpl hier="17" item="12"/>
          <tpl hier="19" item="0"/>
          <tpl fld="1" item="2"/>
        </tpls>
      </n>
      <n v="2427000" in="4">
        <tpls c="3">
          <tpl hier="17" item="12"/>
          <tpl hier="19" item="0"/>
          <tpl fld="1" item="3"/>
        </tpls>
      </n>
      <n v="0" in="3">
        <tpls c="3">
          <tpl hier="17" item="12"/>
          <tpl hier="19" item="0"/>
          <tpl fld="1" item="4"/>
        </tpls>
      </n>
      <n v="0" in="3">
        <tpls c="3">
          <tpl hier="17" item="12"/>
          <tpl hier="19" item="0"/>
          <tpl fld="1" item="6"/>
        </tpls>
      </n>
      <n v="0" in="3">
        <tpls c="3">
          <tpl hier="17" item="12"/>
          <tpl hier="19" item="0"/>
          <tpl fld="1" item="7"/>
        </tpls>
      </n>
      <n v="4200000" in="4">
        <tpls c="3">
          <tpl hier="17" item="12"/>
          <tpl hier="19" item="0"/>
          <tpl fld="1" item="15"/>
        </tpls>
      </n>
      <n v="0" in="4">
        <tpls c="3">
          <tpl hier="17" item="12"/>
          <tpl hier="19" item="0"/>
          <tpl fld="1" item="18"/>
        </tpls>
      </n>
      <n v="0" in="0">
        <tpls c="3">
          <tpl hier="17" item="8"/>
          <tpl hier="19" item="0"/>
          <tpl fld="1" item="2"/>
        </tpls>
      </n>
      <n v="5570000" in="4">
        <tpls c="3">
          <tpl hier="17" item="8"/>
          <tpl hier="19" item="0"/>
          <tpl fld="1" item="3"/>
        </tpls>
      </n>
      <n v="0.44560143626570914" in="3">
        <tpls c="3">
          <tpl hier="17" item="8"/>
          <tpl hier="19" item="0"/>
          <tpl fld="1" item="4"/>
        </tpls>
      </n>
      <n v="0.30268292682926828" in="3">
        <tpls c="3">
          <tpl hier="17" item="8"/>
          <tpl hier="19" item="0"/>
          <tpl fld="1" item="6"/>
        </tpls>
      </n>
      <n v="0.89823008849557517" in="3">
        <tpls c="3">
          <tpl hier="17" item="8"/>
          <tpl hier="19" item="0"/>
          <tpl fld="1" item="7"/>
        </tpls>
      </n>
      <n v="8200000" in="4">
        <tpls c="3">
          <tpl hier="17" item="8"/>
          <tpl hier="19" item="0"/>
          <tpl fld="1" item="15"/>
        </tpls>
      </n>
      <n v="2482000" in="4">
        <tpls c="3">
          <tpl hier="17" item="8"/>
          <tpl hier="19" item="0"/>
          <tpl fld="1" item="18"/>
        </tpls>
      </n>
      <m in="0">
        <tpls c="3">
          <tpl hier="17" item="8"/>
          <tpl hier="19" item="13"/>
          <tpl fld="1" item="2"/>
        </tpls>
      </m>
      <m in="4">
        <tpls c="3">
          <tpl hier="17" item="8"/>
          <tpl hier="19" item="13"/>
          <tpl fld="1" item="3"/>
        </tpls>
      </m>
      <m in="3">
        <tpls c="3">
          <tpl hier="17" item="8"/>
          <tpl hier="19" item="13"/>
          <tpl fld="1" item="4"/>
        </tpls>
      </m>
      <m in="3">
        <tpls c="3">
          <tpl hier="17" item="8"/>
          <tpl hier="19" item="13"/>
          <tpl fld="1" item="6"/>
        </tpls>
      </m>
      <m in="3">
        <tpls c="3">
          <tpl hier="17" item="8"/>
          <tpl hier="19" item="13"/>
          <tpl fld="1" item="7"/>
        </tpls>
      </m>
      <n v="4" in="0">
        <tpls c="2">
          <tpl hier="19" item="13"/>
          <tpl fld="1" item="13"/>
        </tpls>
      </n>
      <m in="4">
        <tpls c="3">
          <tpl hier="17" item="8"/>
          <tpl hier="19" item="13"/>
          <tpl fld="1" item="15"/>
        </tpls>
      </m>
      <m in="4">
        <tpls c="3">
          <tpl hier="17" item="8"/>
          <tpl hier="19" item="13"/>
          <tpl fld="1" item="18"/>
        </tpls>
      </m>
      <n v="1" in="0">
        <tpls c="3">
          <tpl hier="17" item="7"/>
          <tpl hier="19" item="0"/>
          <tpl fld="1" item="2"/>
        </tpls>
      </n>
      <n v="5060000" in="4">
        <tpls c="3">
          <tpl hier="17" item="7"/>
          <tpl hier="19" item="0"/>
          <tpl fld="1" item="3"/>
        </tpls>
      </n>
      <n v="0.94328063241106719" in="3">
        <tpls c="3">
          <tpl hier="17" item="7"/>
          <tpl hier="19" item="0"/>
          <tpl fld="1" item="4"/>
        </tpls>
      </n>
      <n v="0.56152941176470583" in="3">
        <tpls c="3">
          <tpl hier="17" item="7"/>
          <tpl hier="19" item="0"/>
          <tpl fld="1" item="6"/>
        </tpls>
      </n>
      <n v="0.67950481430536447" in="3">
        <tpls c="3">
          <tpl hier="17" item="7"/>
          <tpl hier="19" item="0"/>
          <tpl fld="1" item="7"/>
        </tpls>
      </n>
      <n v="8500000" in="4">
        <tpls c="3">
          <tpl hier="17" item="7"/>
          <tpl hier="19" item="0"/>
          <tpl fld="1" item="15"/>
        </tpls>
      </n>
      <n v="4773000" in="4">
        <tpls c="3">
          <tpl hier="17" item="7"/>
          <tpl hier="19" item="0"/>
          <tpl fld="1" item="18"/>
        </tpls>
      </n>
      <n v="1" in="0">
        <tpls c="3">
          <tpl hier="17" item="1"/>
          <tpl hier="19" item="0"/>
          <tpl fld="1" item="2"/>
        </tpls>
      </n>
      <n v="4110000" in="4">
        <tpls c="3">
          <tpl hier="17" item="1"/>
          <tpl hier="19" item="0"/>
          <tpl fld="1" item="3"/>
        </tpls>
      </n>
      <n v="1.0249391727493917" in="3">
        <tpls c="3">
          <tpl hier="17" item="1"/>
          <tpl hier="19" item="0"/>
          <tpl fld="1" item="4"/>
        </tpls>
      </n>
      <n v="0.76590909090909087" in="3">
        <tpls c="3">
          <tpl hier="17" item="1"/>
          <tpl hier="19" item="0"/>
          <tpl fld="1" item="6"/>
        </tpls>
      </n>
      <n v="0.98399999999999999" in="3">
        <tpls c="3">
          <tpl hier="17" item="1"/>
          <tpl hier="19" item="0"/>
          <tpl fld="1" item="7"/>
        </tpls>
      </n>
      <n v="5500000" in="4">
        <tpls c="3">
          <tpl hier="17" item="1"/>
          <tpl hier="19" item="0"/>
          <tpl fld="1" item="15"/>
        </tpls>
      </n>
      <n v="4212500" in="4">
        <tpls c="3">
          <tpl hier="17" item="1"/>
          <tpl hier="19" item="0"/>
          <tpl fld="1" item="18"/>
        </tpls>
      </n>
      <n v="0" in="0">
        <tpls c="3">
          <tpl hier="17" item="9"/>
          <tpl hier="19" item="0"/>
          <tpl fld="1" item="2"/>
        </tpls>
      </n>
      <n v="6036000" in="4">
        <tpls c="3">
          <tpl hier="17" item="9"/>
          <tpl hier="19" item="0"/>
          <tpl fld="1" item="3"/>
        </tpls>
      </n>
      <n v="0" in="3">
        <tpls c="3">
          <tpl hier="17" item="9"/>
          <tpl hier="19" item="0"/>
          <tpl fld="1" item="4"/>
        </tpls>
      </n>
      <n v="0" in="3">
        <tpls c="3">
          <tpl hier="17" item="9"/>
          <tpl hier="19" item="0"/>
          <tpl fld="1" item="6"/>
        </tpls>
      </n>
      <n v="0" in="3">
        <tpls c="3">
          <tpl hier="17" item="9"/>
          <tpl hier="19" item="0"/>
          <tpl fld="1" item="7"/>
        </tpls>
      </n>
      <n v="9800000" in="4">
        <tpls c="3">
          <tpl hier="17" item="9"/>
          <tpl hier="19" item="0"/>
          <tpl fld="1" item="15"/>
        </tpls>
      </n>
      <n v="0" in="4">
        <tpls c="3">
          <tpl hier="17" item="9"/>
          <tpl hier="19" item="0"/>
          <tpl fld="1" item="18"/>
        </tpls>
      </n>
      <n v="0" in="0">
        <tpls c="3">
          <tpl hier="17" item="5"/>
          <tpl hier="19" item="0"/>
          <tpl fld="1" item="2"/>
        </tpls>
      </n>
      <n v="3401000" in="4">
        <tpls c="3">
          <tpl hier="17" item="5"/>
          <tpl hier="19" item="0"/>
          <tpl fld="1" item="3"/>
        </tpls>
      </n>
      <n v="8.5857100852690382E-2" in="3">
        <tpls c="3">
          <tpl hier="17" item="5"/>
          <tpl hier="19" item="0"/>
          <tpl fld="1" item="4"/>
        </tpls>
      </n>
      <n v="4.1714285714285718E-2" in="3">
        <tpls c="3">
          <tpl hier="17" item="5"/>
          <tpl hier="19" item="0"/>
          <tpl fld="1" item="6"/>
        </tpls>
      </n>
      <n v="0.13162705667276051" in="3">
        <tpls c="3">
          <tpl hier="17" item="5"/>
          <tpl hier="19" item="0"/>
          <tpl fld="1" item="7"/>
        </tpls>
      </n>
      <n v="7000000" in="4">
        <tpls c="3">
          <tpl hier="17" item="5"/>
          <tpl hier="19" item="0"/>
          <tpl fld="1" item="15"/>
        </tpls>
      </n>
      <n v="292000" in="4">
        <tpls c="3">
          <tpl hier="17" item="5"/>
          <tpl hier="19" item="0"/>
          <tpl fld="1" item="18"/>
        </tpls>
      </n>
      <n v="1" in="0">
        <tpls c="3">
          <tpl hier="17" item="6"/>
          <tpl hier="19" item="0"/>
          <tpl fld="1" item="2"/>
        </tpls>
      </n>
      <n v="4267000" in="4">
        <tpls c="3">
          <tpl hier="17" item="6"/>
          <tpl hier="19" item="0"/>
          <tpl fld="1" item="3"/>
        </tpls>
      </n>
      <n v="0.78696976798687601" in="3">
        <tpls c="3">
          <tpl hier="17" item="6"/>
          <tpl hier="19" item="0"/>
          <tpl fld="1" item="4"/>
        </tpls>
      </n>
      <n v="0.55049180327868852" in="3">
        <tpls c="3">
          <tpl hier="17" item="6"/>
          <tpl hier="19" item="0"/>
          <tpl fld="1" item="6"/>
        </tpls>
      </n>
      <n v="0.79864253393665163" in="3">
        <tpls c="3">
          <tpl hier="17" item="6"/>
          <tpl hier="19" item="0"/>
          <tpl fld="1" item="7"/>
        </tpls>
      </n>
      <n v="6100000" in="4">
        <tpls c="3">
          <tpl hier="17" item="6"/>
          <tpl hier="19" item="0"/>
          <tpl fld="1" item="15"/>
        </tpls>
      </n>
      <n v="3358000" in="4">
        <tpls c="3">
          <tpl hier="17" item="6"/>
          <tpl hier="19" item="0"/>
          <tpl fld="1" item="18"/>
        </tpls>
      </n>
      <n v="1" in="0">
        <tpls c="4">
          <tpl hier="11" item="2"/>
          <tpl hier="17" item="4"/>
          <tpl hier="19" item="0"/>
          <tpl fld="1" item="0"/>
        </tpls>
      </n>
      <n v="0" in="3">
        <tpls c="3">
          <tpl hier="17" item="4"/>
          <tpl hier="19" item="0"/>
          <tpl fld="1" item="5"/>
        </tpls>
      </n>
      <n v="1" in="3">
        <tpls c="3">
          <tpl hier="17" item="4"/>
          <tpl hier="19" item="0"/>
          <tpl fld="1" item="10"/>
        </tpls>
      </n>
      <n v="0.48792270531400966" in="3">
        <tpls c="3">
          <tpl hier="17" item="4"/>
          <tpl hier="19" item="0"/>
          <tpl fld="1" item="12"/>
        </tpls>
      </n>
      <n v="0" in="3">
        <tpls c="3">
          <tpl hier="17" item="4"/>
          <tpl hier="19" item="0"/>
          <tpl fld="1" item="16"/>
        </tpls>
      </n>
      <n v="15" in="0">
        <tpls c="4">
          <tpl hier="11" item="2"/>
          <tpl hier="17" item="4"/>
          <tpl hier="19" item="0"/>
          <tpl fld="1" item="17"/>
        </tpls>
      </n>
    </entries>
    <sets count="14">
      <set count="1" maxRank="1" setDefinition="{[DimProject].[Project_Type].[All]}">
        <tpls c="1">
          <tpl hier="19" item="4294967295"/>
        </tpls>
      </set>
      <set count="1" maxRank="1" setDefinition="{[DimProject].[Name_Project].&amp;[Edificio Residencial San Isidro]}">
        <tpls c="1">
          <tpl fld="0" item="0"/>
        </tpls>
      </set>
      <set count="1" maxRank="1" setDefinition="{[DimItems].[Phase].[All]}">
        <tpls c="1">
          <tpl hier="11" item="4294967295"/>
        </tpls>
      </set>
      <set count="1" maxRank="1" setDefinition="{[DimProject].[Name_Project].[All]}">
        <tpls c="1">
          <tpl hier="17" item="4294967295"/>
        </tpls>
      </set>
      <set count="1" maxRank="1" setDefinition="{[DimProject].[Name_Project].&amp;[Almacenes Callao]}">
        <tpls c="1">
          <tpl fld="0" item="1"/>
        </tpls>
      </set>
      <set count="1" maxRank="1" setDefinition="{[DimProject].[Name_Project].&amp;[Residencial Los Parques]}">
        <tpls c="1">
          <tpl fld="0" item="2"/>
        </tpls>
      </set>
      <set count="1" maxRank="1" setDefinition="{[DimProject].[Name_Project].&amp;[Torre Lince Park]}">
        <tpls c="1">
          <tpl fld="0" item="3"/>
        </tpls>
      </set>
      <set count="1" maxRank="1" setDefinition="{[DimProject].[Name_Project].&amp;[Edificio Costanera]}">
        <tpls c="1">
          <tpl fld="0" item="4"/>
        </tpls>
      </set>
      <set count="1" maxRank="1" setDefinition="{[DimProject].[Name_Project].&amp;[Condominio Las Praderas]}">
        <tpls c="1">
          <tpl fld="0" item="5"/>
        </tpls>
      </set>
      <set count="1" maxRank="1" setDefinition="{[DimProject].[Name_Project].&amp;[Plaza Comercial Surco]}">
        <tpls c="1">
          <tpl fld="0" item="6"/>
        </tpls>
      </set>
      <set count="1" maxRank="1" setDefinition="{[DimProject].[Name_Project].&amp;[Centro Empresarial Miraflores]}">
        <tpls c="1">
          <tpl fld="0" item="7"/>
        </tpls>
      </set>
      <set count="1" maxRank="1" setDefinition="{[DimProject].[Name_Project].&amp;[Clínica San Borja]}">
        <tpls c="1">
          <tpl fld="0" item="8"/>
        </tpls>
      </set>
      <set count="1" maxRank="1" setDefinition="{[DimProject].[Name_Project].&amp;[Condominio La Marina]}">
        <tpls c="1">
          <tpl fld="0" item="9"/>
        </tpls>
      </set>
      <set count="1" maxRank="1" setDefinition="{[DimProject].[Project_Type].&amp;[Multifamiliar]}">
        <tpls c="1">
          <tpl fld="2" item="0"/>
        </tpls>
      </set>
    </sets>
    <queryCache count="19">
      <query mdx="[Measures].[#Critical Items]">
        <tpls c="1">
          <tpl fld="1" item="0"/>
        </tpls>
      </query>
      <query mdx="[Measures].[#Total Days Overdue]">
        <tpls c="1">
          <tpl fld="1" item="1"/>
        </tpls>
      </query>
      <query mdx="[Measures].[#At-Risk Projects]">
        <tpls c="1">
          <tpl fld="1" item="2"/>
        </tpls>
      </query>
      <query mdx="[Measures].[#Planned Cost]">
        <tpls c="1">
          <tpl fld="1" item="3"/>
        </tpls>
      </query>
      <query mdx="[Measures].[#Cost Progress(%)]">
        <tpls c="1">
          <tpl fld="1" item="4"/>
        </tpls>
      </query>
      <query mdx="[Measures].[#Finishes Progress]">
        <tpls c="1">
          <tpl fld="1" item="5"/>
        </tpls>
      </query>
      <query mdx="[Measures].[#BudgetvsActual]">
        <tpls c="1">
          <tpl fld="1" item="6"/>
        </tpls>
      </query>
      <query mdx="[Measures].[#Real Progress(%)]">
        <tpls c="1">
          <tpl fld="1" item="7"/>
        </tpls>
      </query>
      <query mdx="[Measures].[#Planned_DateMin]">
        <tpls c="1">
          <tpl fld="1" item="8"/>
        </tpls>
      </query>
      <query mdx="[Measures].[#Planned_DateMax]">
        <tpls c="1">
          <tpl fld="1" item="9"/>
        </tpls>
      </query>
      <query mdx="[Measures].[#Temporary Works Progress]]">
        <tpls c="1">
          <tpl fld="1" item="10"/>
        </tpls>
      </query>
      <query mdx="[Measures].[#CV]">
        <tpls c="1">
          <tpl fld="1" item="11"/>
        </tpls>
      </query>
      <query mdx="[Measures].[#Structural Works Progress]">
        <tpls c="1">
          <tpl fld="1" item="12"/>
        </tpls>
      </query>
      <query mdx="[Measures].[#Total Projects]">
        <tpls c="1">
          <tpl fld="1" item="13"/>
        </tpls>
      </query>
      <query mdx="[Measures].[#Planned Days]">
        <tpls c="1">
          <tpl fld="1" item="14"/>
        </tpls>
      </query>
      <query mdx="[Measures].[#Budget]">
        <tpls c="1">
          <tpl fld="1" item="15"/>
        </tpls>
      </query>
      <query mdx="[Measures].[#MEP Progress]">
        <tpls c="1">
          <tpl fld="1" item="16"/>
        </tpls>
      </query>
      <query mdx="[Measures].[#Total Items]">
        <tpls c="1">
          <tpl fld="1" item="17"/>
        </tpls>
      </query>
      <query mdx="[Measures].[#Actual Cost]]">
        <tpls c="1">
          <tpl fld="1" item="18"/>
        </tpls>
      </query>
    </queryCache>
    <serverFormats count="5">
      <serverFormat format=""/>
      <serverFormat format="0"/>
      <serverFormat format="d &quot;de&quot; MMMM &quot;de&quot; yyyy"/>
      <serverFormat format="0.00 %;-0.00 %;0.00 %"/>
      <serverFormat format="&quot;S/&quot; #,0.00;-&quot;S/&quot; #,0.00;&quot;S/&quot; #,0.0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575199421299" createdVersion="5" refreshedVersion="8" minRefreshableVersion="3" recordCount="0" supportSubquery="1" supportAdvancedDrill="1" xr:uid="{9859D517-8ED8-44D0-BCFA-E0E4282823C3}">
  <cacheSource type="external" connectionId="7"/>
  <cacheFields count="12">
    <cacheField name="[DimProject].[Name_Project].[Name_Project]" caption="Name_Project" numFmtId="0" hierarchy="17" level="1">
      <sharedItems count="10">
        <s v="Almacenes Callao"/>
        <s v="Centro Empresarial Miraflores"/>
        <s v="Clínica San Borja"/>
        <s v="Condominio La Marina"/>
        <s v="Condominio Las Praderas"/>
        <s v="Edificio Costanera"/>
        <s v="Edificio Residencial San Isidro"/>
        <s v="Plaza Comercial Surco"/>
        <s v="Residencial Los Parques"/>
        <s v="Torre Lince Park"/>
      </sharedItems>
      <extLst>
        <ext xmlns:x15="http://schemas.microsoft.com/office/spreadsheetml/2010/11/main" uri="{4F2E5C28-24EA-4eb8-9CBF-B6C8F9C3D259}">
          <x15:cachedUniqueNames>
            <x15:cachedUniqueName index="0" name="[DimProject].[Name_Project].&amp;[Almacenes Callao]"/>
            <x15:cachedUniqueName index="1" name="[DimProject].[Name_Project].&amp;[Centro Empresarial Miraflores]"/>
            <x15:cachedUniqueName index="2" name="[DimProject].[Name_Project].&amp;[Clínica San Borja]"/>
            <x15:cachedUniqueName index="3" name="[DimProject].[Name_Project].&amp;[Condominio La Marina]"/>
            <x15:cachedUniqueName index="4" name="[DimProject].[Name_Project].&amp;[Condominio Las Praderas]"/>
            <x15:cachedUniqueName index="5" name="[DimProject].[Name_Project].&amp;[Edificio Costanera]"/>
            <x15:cachedUniqueName index="6" name="[DimProject].[Name_Project].&amp;[Edificio Residencial San Isidro]"/>
            <x15:cachedUniqueName index="7" name="[DimProject].[Name_Project].&amp;[Plaza Comercial Surco]"/>
            <x15:cachedUniqueName index="8" name="[DimProject].[Name_Project].&amp;[Residencial Los Parques]"/>
            <x15:cachedUniqueName index="9" name="[DimProject].[Name_Project].&amp;[Torre Lince Park]"/>
          </x15:cachedUniqueNames>
        </ext>
      </extLst>
    </cacheField>
    <cacheField name="[Measures].[#Actual Cost]" caption="#Actual Cost" numFmtId="0" hierarchy="53" level="32767"/>
    <cacheField name="[Measures].[#Real Progress(%)]" caption="#Real Progress(%)" numFmtId="0" hierarchy="61" level="32767"/>
    <cacheField name="[Measures].[#Cost Progress(%)]" caption="#Cost Progress(%)" numFmtId="0" hierarchy="55" level="32767"/>
    <cacheField name="[Measures].[_Alert Progress]" caption="_Alert Progress" numFmtId="0" hierarchy="62" level="32767"/>
    <cacheField name="[Measures].[_Alert Cost]" caption="_Alert Cost" numFmtId="0" hierarchy="63" level="32767"/>
    <cacheField name="[Measures].[_CPI]" caption="_CPI" numFmtId="0" hierarchy="64" level="32767"/>
    <cacheField name="[Measures].[#Planned Cost]" caption="#Planned Cost" numFmtId="0" hierarchy="65" level="32767"/>
    <cacheField name="[Measures].[_KPI Alert Cost Status]" caption="_KPI Alert Cost Status" numFmtId="0" hierarchy="93" level="32767"/>
    <cacheField name="[Measures].[_KPI Progress Status]" caption="_KPI Progress Status" numFmtId="0" hierarchy="97" level="32767"/>
    <cacheField name="[Measures].[_KPI CPI Status]" caption="_KPI CPI Status" numFmtId="0" hierarchy="95" level="32767"/>
    <cacheField name="[Measures].[PM]" caption="PM" numFmtId="0" hierarchy="67" level="32767"/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0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 oneField="1">
      <fieldsUsage count="1">
        <fieldUsage x="1"/>
      </fieldsUsage>
    </cacheHierarchy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 oneField="1">
      <fieldsUsage count="1">
        <fieldUsage x="3"/>
      </fieldsUsage>
    </cacheHierarchy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 oneField="1">
      <fieldsUsage count="1">
        <fieldUsage x="2"/>
      </fieldsUsage>
    </cacheHierarchy>
    <cacheHierarchy uniqueName="[Measures].[_Alert Progress]" caption="_Alert Progress" measure="1" displayFolder="" measureGroup="FactProgress" count="0" oneField="1">
      <fieldsUsage count="1">
        <fieldUsage x="4"/>
      </fieldsUsage>
    </cacheHierarchy>
    <cacheHierarchy uniqueName="[Measures].[_Alert Cost]" caption="_Alert Cost" measure="1" displayFolder="" measureGroup="FactProgress" count="0" oneField="1">
      <fieldsUsage count="1">
        <fieldUsage x="5"/>
      </fieldsUsage>
    </cacheHierarchy>
    <cacheHierarchy uniqueName="[Measures].[_CPI]" caption="_CPI" measure="1" displayFolder="" measureGroup="FactProgress" count="0" oneField="1">
      <fieldsUsage count="1">
        <fieldUsage x="6"/>
      </fieldsUsage>
    </cacheHierarchy>
    <cacheHierarchy uniqueName="[Measures].[#Planned Cost]" caption="#Planned Cost" measure="1" displayFolder="" measureGroup="FactProgress" count="0" oneField="1">
      <fieldsUsage count="1">
        <fieldUsage x="7"/>
      </fieldsUsage>
    </cacheHierarchy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 oneField="1">
      <fieldsUsage count="1">
        <fieldUsage x="11"/>
      </fieldsUsage>
    </cacheHierarchy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oneField="1" hidden="1">
      <fieldsUsage count="1">
        <fieldUsage x="8"/>
      </fieldsUsage>
    </cacheHierarchy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oneField="1" hidden="1">
      <fieldsUsage count="1">
        <fieldUsage x="10"/>
      </fieldsUsage>
    </cacheHierarchy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oneField="1" hidden="1">
      <fieldsUsage count="1">
        <fieldUsage x="9"/>
      </fieldsUsage>
    </cacheHierarchy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1263425928" createdVersion="8" refreshedVersion="8" minRefreshableVersion="3" recordCount="0" supportSubquery="1" supportAdvancedDrill="1" xr:uid="{956FDE24-FF88-4E80-976A-479E4376CF00}">
  <cacheSource type="external" connectionId="7"/>
  <cacheFields count="6">
    <cacheField name="[DimItems].[Phase].[Phase]" caption="Phase" numFmtId="0" hierarchy="11" level="1">
      <sharedItems count="5">
        <s v="1. Obras Provisionales"/>
        <s v="2. Estructuras"/>
        <s v="3. Instalaciones"/>
        <s v="4. Acabados"/>
        <s v="5. Cierre"/>
      </sharedItems>
      <extLst>
        <ext xmlns:x15="http://schemas.microsoft.com/office/spreadsheetml/2010/11/main" uri="{4F2E5C28-24EA-4eb8-9CBF-B6C8F9C3D259}">
          <x15:cachedUniqueNames>
            <x15:cachedUniqueName index="0" name="[DimItems].[Phase].&amp;[1. Obras Provisionales]"/>
            <x15:cachedUniqueName index="1" name="[DimItems].[Phase].&amp;[2. Estructuras]"/>
            <x15:cachedUniqueName index="2" name="[DimItems].[Phase].&amp;[3. Instalaciones]"/>
            <x15:cachedUniqueName index="3" name="[DimItems].[Phase].&amp;[4. Acabados]"/>
            <x15:cachedUniqueName index="4" name="[DimItems].[Phase].&amp;[5. Cierre]"/>
          </x15:cachedUniqueNames>
        </ext>
      </extLst>
    </cacheField>
    <cacheField name="[DimItems].[Description].[Description]" caption="Description" numFmtId="0" hierarchy="12" level="1">
      <sharedItems count="15">
        <s v="1. Limpieza de Terreno y Cerco"/>
        <s v="2. Caseta de Guardiania y Almacen"/>
        <s v="3. Excavacion y Movimiento de Tierras"/>
        <s v="4. Cimentacion y Zapatas"/>
        <s v="5. Columnas y Vigas de Concreto"/>
        <s v="6. Losa Aligerada y Techos"/>
        <s v="7. Tuberias Sanitarias y Desague"/>
        <s v="8. Cableado y Tableros Electricos"/>
        <s v="9. Red de Gas Natural"/>
        <s v="10. Tarrajeo y Revoques"/>
        <s v="11. Colocacion de Pisos y Porcelanato"/>
        <s v="12. Instalacion de Ventaneria y Vidrios"/>
        <s v="13. Pintura Interior y Fachada"/>
        <s v="14. Limpieza Final de Obra"/>
        <s v="15. Entrega de Llaves y Post-Venta"/>
      </sharedItems>
      <extLst>
        <ext xmlns:x15="http://schemas.microsoft.com/office/spreadsheetml/2010/11/main" uri="{4F2E5C28-24EA-4eb8-9CBF-B6C8F9C3D259}">
          <x15:cachedUniqueNames>
            <x15:cachedUniqueName index="0" name="[DimItems].[Description].&amp;[1. Limpieza de Terreno y Cerco]"/>
            <x15:cachedUniqueName index="1" name="[DimItems].[Description].&amp;[2. Caseta de Guardiania y Almacen]"/>
            <x15:cachedUniqueName index="2" name="[DimItems].[Description].&amp;[3. Excavacion y Movimiento de Tierras]"/>
            <x15:cachedUniqueName index="3" name="[DimItems].[Description].&amp;[4. Cimentacion y Zapatas]"/>
            <x15:cachedUniqueName index="4" name="[DimItems].[Description].&amp;[5. Columnas y Vigas de Concreto]"/>
            <x15:cachedUniqueName index="5" name="[DimItems].[Description].&amp;[6. Losa Aligerada y Techos]"/>
            <x15:cachedUniqueName index="6" name="[DimItems].[Description].&amp;[7. Tuberias Sanitarias y Desague]"/>
            <x15:cachedUniqueName index="7" name="[DimItems].[Description].&amp;[8. Cableado y Tableros Electricos]"/>
            <x15:cachedUniqueName index="8" name="[DimItems].[Description].&amp;[9. Red de Gas Natural]"/>
            <x15:cachedUniqueName index="9" name="[DimItems].[Description].&amp;[10. Tarrajeo y Revoques]"/>
            <x15:cachedUniqueName index="10" name="[DimItems].[Description].&amp;[11. Colocacion de Pisos y Porcelanato]"/>
            <x15:cachedUniqueName index="11" name="[DimItems].[Description].&amp;[12. Instalacion de Ventaneria y Vidrios]"/>
            <x15:cachedUniqueName index="12" name="[DimItems].[Description].&amp;[13. Pintura Interior y Fachada]"/>
            <x15:cachedUniqueName index="13" name="[DimItems].[Description].&amp;[14. Limpieza Final de Obra]"/>
            <x15:cachedUniqueName index="14" name="[DimItems].[Description].&amp;[15. Entrega de Llaves y Post-Venta]"/>
          </x15:cachedUniqueNames>
        </ext>
      </extLst>
    </cacheField>
    <cacheField name="[Measures].[#Real Progress(%)]" caption="#Real Progress(%)" numFmtId="0" hierarchy="61" level="32767"/>
    <cacheField name="[Measures].[#Planned Progress(%)]" caption="#Planned Progress(%)" numFmtId="0" hierarchy="56" level="32767"/>
    <cacheField name="[Measures].[#CPI]" caption="#CPI" numFmtId="0" hierarchy="74" level="32767"/>
    <cacheField name="[DimProject].[Name_Project].[Name_Project]" caption="Name_Project" numFmtId="0" hierarchy="17" level="1">
      <sharedItems containsSemiMixedTypes="0" containsNonDate="0" containsString="0"/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>
      <fieldsUsage count="2">
        <fieldUsage x="-1"/>
        <fieldUsage x="0"/>
      </fieldsUsage>
    </cacheHierarchy>
    <cacheHierarchy uniqueName="[DimItems].[Description]" caption="Description" attribute="1" defaultMemberUniqueName="[DimItems].[Description].[All]" allUniqueName="[DimItems].[Description].[All]" dimensionUniqueName="[DimItems]" displayFolder="" count="2" memberValueDatatype="130" unbalanced="0">
      <fieldsUsage count="2">
        <fieldUsage x="-1"/>
        <fieldUsage x="1"/>
      </fieldsUsage>
    </cacheHierarchy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5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 oneField="1">
      <fieldsUsage count="1">
        <fieldUsage x="3"/>
      </fieldsUsage>
    </cacheHierarchy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 oneField="1">
      <fieldsUsage count="1">
        <fieldUsage x="2"/>
      </fieldsUsage>
    </cacheHierarchy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 oneField="1">
      <fieldsUsage count="1">
        <fieldUsage x="4"/>
      </fieldsUsage>
    </cacheHierarchy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1867361115" createdVersion="8" refreshedVersion="8" minRefreshableVersion="3" recordCount="0" supportSubquery="1" supportAdvancedDrill="1" xr:uid="{91F6BC47-423A-4CE1-B6D1-08E7BC0C34EB}">
  <cacheSource type="external" connectionId="7"/>
  <cacheFields count="10">
    <cacheField name="[DimItems].[Phase].[Phase]" caption="Phase" numFmtId="0" hierarchy="11" level="1">
      <sharedItems count="5">
        <s v="1. Obras Provisionales"/>
        <s v="2. Estructuras"/>
        <s v="3. Instalaciones"/>
        <s v="4. Acabados"/>
        <s v="5. Cierre"/>
      </sharedItems>
      <extLst>
        <ext xmlns:x15="http://schemas.microsoft.com/office/spreadsheetml/2010/11/main" uri="{4F2E5C28-24EA-4eb8-9CBF-B6C8F9C3D259}">
          <x15:cachedUniqueNames>
            <x15:cachedUniqueName index="0" name="[DimItems].[Phase].&amp;[1. Obras Provisionales]"/>
            <x15:cachedUniqueName index="1" name="[DimItems].[Phase].&amp;[2. Estructuras]"/>
            <x15:cachedUniqueName index="2" name="[DimItems].[Phase].&amp;[3. Instalaciones]"/>
            <x15:cachedUniqueName index="3" name="[DimItems].[Phase].&amp;[4. Acabados]"/>
            <x15:cachedUniqueName index="4" name="[DimItems].[Phase].&amp;[5. Cierre]"/>
          </x15:cachedUniqueNames>
        </ext>
      </extLst>
    </cacheField>
    <cacheField name="[DimItems].[Description].[Description]" caption="Description" numFmtId="0" hierarchy="12" level="1">
      <sharedItems count="15">
        <s v="1. Limpieza de Terreno y Cerco"/>
        <s v="2. Caseta de Guardiania y Almacen"/>
        <s v="3. Excavacion y Movimiento de Tierras"/>
        <s v="4. Cimentacion y Zapatas"/>
        <s v="5. Columnas y Vigas de Concreto"/>
        <s v="6. Losa Aligerada y Techos"/>
        <s v="7. Tuberias Sanitarias y Desague"/>
        <s v="8. Cableado y Tableros Electricos"/>
        <s v="9. Red de Gas Natural"/>
        <s v="10. Tarrajeo y Revoques"/>
        <s v="11. Colocacion de Pisos y Porcelanato"/>
        <s v="12. Instalacion de Ventaneria y Vidrios"/>
        <s v="13. Pintura Interior y Fachada"/>
        <s v="14. Limpieza Final de Obra"/>
        <s v="15. Entrega de Llaves y Post-Venta"/>
      </sharedItems>
      <extLst>
        <ext xmlns:x15="http://schemas.microsoft.com/office/spreadsheetml/2010/11/main" uri="{4F2E5C28-24EA-4eb8-9CBF-B6C8F9C3D259}">
          <x15:cachedUniqueNames>
            <x15:cachedUniqueName index="0" name="[DimItems].[Description].&amp;[1. Limpieza de Terreno y Cerco]"/>
            <x15:cachedUniqueName index="1" name="[DimItems].[Description].&amp;[2. Caseta de Guardiania y Almacen]"/>
            <x15:cachedUniqueName index="2" name="[DimItems].[Description].&amp;[3. Excavacion y Movimiento de Tierras]"/>
            <x15:cachedUniqueName index="3" name="[DimItems].[Description].&amp;[4. Cimentacion y Zapatas]"/>
            <x15:cachedUniqueName index="4" name="[DimItems].[Description].&amp;[5. Columnas y Vigas de Concreto]"/>
            <x15:cachedUniqueName index="5" name="[DimItems].[Description].&amp;[6. Losa Aligerada y Techos]"/>
            <x15:cachedUniqueName index="6" name="[DimItems].[Description].&amp;[7. Tuberias Sanitarias y Desague]"/>
            <x15:cachedUniqueName index="7" name="[DimItems].[Description].&amp;[8. Cableado y Tableros Electricos]"/>
            <x15:cachedUniqueName index="8" name="[DimItems].[Description].&amp;[9. Red de Gas Natural]"/>
            <x15:cachedUniqueName index="9" name="[DimItems].[Description].&amp;[10. Tarrajeo y Revoques]"/>
            <x15:cachedUniqueName index="10" name="[DimItems].[Description].&amp;[11. Colocacion de Pisos y Porcelanato]"/>
            <x15:cachedUniqueName index="11" name="[DimItems].[Description].&amp;[12. Instalacion de Ventaneria y Vidrios]"/>
            <x15:cachedUniqueName index="12" name="[DimItems].[Description].&amp;[13. Pintura Interior y Fachada]"/>
            <x15:cachedUniqueName index="13" name="[DimItems].[Description].&amp;[14. Limpieza Final de Obra]"/>
            <x15:cachedUniqueName index="14" name="[DimItems].[Description].&amp;[15. Entrega de Llaves y Post-Venta]"/>
          </x15:cachedUniqueNames>
        </ext>
      </extLst>
    </cacheField>
    <cacheField name="[DimProject].[Name_Project].[Name_Project]" caption="Name_Project" numFmtId="0" hierarchy="17" level="1">
      <sharedItems containsSemiMixedTypes="0" containsNonDate="0" containsString="0"/>
    </cacheField>
    <cacheField name="[DimCalendar].[DATE].[DATE]" caption="DATE" numFmtId="0" level="1">
      <sharedItems containsSemiMixedTypes="0" containsNonDate="0" containsString="0"/>
    </cacheField>
    <cacheField name="[Measures].[#Planned_DateMin]" caption="#Planned_DateMin" numFmtId="0" hierarchy="76" level="32767"/>
    <cacheField name="[Measures].[#Planned_DateMax]" caption="#Planned_DateMax" numFmtId="0" hierarchy="77" level="32767"/>
    <cacheField name="[Measures].[#Actual_DateMin]" caption="#Actual_DateMin" numFmtId="0" hierarchy="79" level="32767"/>
    <cacheField name="[Measures].[#Actual_DateMax]" caption="#Actual_DateMax" numFmtId="0" hierarchy="80" level="32767"/>
    <cacheField name="[Measures].[#Real Progress(%)]" caption="#Real Progress(%)" numFmtId="0" hierarchy="61" level="32767"/>
    <cacheField name="[Measures].[_Owner]" caption="_Owner" numFmtId="0" hierarchy="81" level="32767"/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2" memberValueDatatype="7" unbalanced="0">
      <fieldsUsage count="2">
        <fieldUsage x="-1"/>
        <fieldUsage x="3"/>
      </fieldsUsage>
    </cacheHierarchy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>
      <fieldsUsage count="2">
        <fieldUsage x="-1"/>
        <fieldUsage x="0"/>
      </fieldsUsage>
    </cacheHierarchy>
    <cacheHierarchy uniqueName="[DimItems].[Description]" caption="Description" attribute="1" defaultMemberUniqueName="[DimItems].[Description].[All]" allUniqueName="[DimItems].[Description].[All]" dimensionUniqueName="[DimItems]" displayFolder="" count="2" memberValueDatatype="130" unbalanced="0">
      <fieldsUsage count="2">
        <fieldUsage x="-1"/>
        <fieldUsage x="1"/>
      </fieldsUsage>
    </cacheHierarchy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2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0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 oneField="1">
      <fieldsUsage count="1">
        <fieldUsage x="8"/>
      </fieldsUsage>
    </cacheHierarchy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 oneField="1">
      <fieldsUsage count="1">
        <fieldUsage x="4"/>
      </fieldsUsage>
    </cacheHierarchy>
    <cacheHierarchy uniqueName="[Measures].[#Planned_DateMax]" caption="#Planned_DateMax" measure="1" displayFolder="" measureGroup="FactProgress" count="0" oneField="1">
      <fieldsUsage count="1">
        <fieldUsage x="5"/>
      </fieldsUsage>
    </cacheHierarchy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 oneField="1">
      <fieldsUsage count="1">
        <fieldUsage x="6"/>
      </fieldsUsage>
    </cacheHierarchy>
    <cacheHierarchy uniqueName="[Measures].[#Actual_DateMax]" caption="#Actual_DateMax" measure="1" displayFolder="" measureGroup="FactProgress" count="0" oneField="1">
      <fieldsUsage count="1">
        <fieldUsage x="7"/>
      </fieldsUsage>
    </cacheHierarchy>
    <cacheHierarchy uniqueName="[Measures].[_Owner]" caption="_Owner" measure="1" displayFolder="" measureGroup="FactProgress" count="0" oneField="1">
      <fieldsUsage count="1">
        <fieldUsage x="9"/>
      </fieldsUsage>
    </cacheHierarchy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533149537034" createdVersion="3" refreshedVersion="8" minRefreshableVersion="3" recordCount="0" supportSubquery="1" supportAdvancedDrill="1" xr:uid="{FFC38346-0605-4050-8C51-9246EC4D0D0D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/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extLst>
    <ext xmlns:x14="http://schemas.microsoft.com/office/spreadsheetml/2009/9/main" uri="{725AE2AE-9491-48be-B2B4-4EB974FC3084}">
      <x14:pivotCacheDefinition slicerData="1" pivotCacheId="994180395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533193055555" createdVersion="3" refreshedVersion="8" minRefreshableVersion="3" recordCount="0" supportSubquery="1" supportAdvancedDrill="1" xr:uid="{6D0F53CC-C537-4D97-87C0-1EDA2E73001A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/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0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extLst>
    <ext xmlns:x14="http://schemas.microsoft.com/office/spreadsheetml/2009/9/main" uri="{725AE2AE-9491-48be-B2B4-4EB974FC3084}">
      <x14:pivotCacheDefinition slicerData="1" pivotCacheId="872472659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533201851853" createdVersion="3" refreshedVersion="8" minRefreshableVersion="3" recordCount="0" supportSubquery="1" supportAdvancedDrill="1" xr:uid="{DA274B3E-013C-47FF-B9E2-7C64461BC53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/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extLst>
    <ext xmlns:x14="http://schemas.microsoft.com/office/spreadsheetml/2009/9/main" uri="{725AE2AE-9491-48be-B2B4-4EB974FC3084}">
      <x14:pivotCacheDefinition slicerData="1" pivotCacheId="496869445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575200810184" createdVersion="5" refreshedVersion="8" minRefreshableVersion="3" recordCount="0" supportSubquery="1" supportAdvancedDrill="1" xr:uid="{144BD749-729D-4534-BC39-9262B5C0180B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Project].[Name_Project].[Name_Project]" caption="Name_Project" numFmtId="0" hierarchy="17" level="1">
      <sharedItems count="10">
        <s v="Almacenes Callao"/>
        <s v="Centro Empresarial Miraflores"/>
        <s v="Clínica San Borja"/>
        <s v="Condominio La Marina"/>
        <s v="Condominio Las Praderas"/>
        <s v="Edificio Costanera"/>
        <s v="Edificio Residencial San Isidro"/>
        <s v="Plaza Comercial Surco"/>
        <s v="Residencial Los Parques"/>
        <s v="Torre Lince Park"/>
      </sharedItems>
      <extLst>
        <ext xmlns:x15="http://schemas.microsoft.com/office/spreadsheetml/2010/11/main" uri="{4F2E5C28-24EA-4eb8-9CBF-B6C8F9C3D259}">
          <x15:cachedUniqueNames>
            <x15:cachedUniqueName index="0" name="[DimProject].[Name_Project].&amp;[Almacenes Callao]"/>
            <x15:cachedUniqueName index="1" name="[DimProject].[Name_Project].&amp;[Centro Empresarial Miraflores]"/>
            <x15:cachedUniqueName index="2" name="[DimProject].[Name_Project].&amp;[Clínica San Borja]"/>
            <x15:cachedUniqueName index="3" name="[DimProject].[Name_Project].&amp;[Condominio La Marina]"/>
            <x15:cachedUniqueName index="4" name="[DimProject].[Name_Project].&amp;[Condominio Las Praderas]"/>
            <x15:cachedUniqueName index="5" name="[DimProject].[Name_Project].&amp;[Edificio Costanera]"/>
            <x15:cachedUniqueName index="6" name="[DimProject].[Name_Project].&amp;[Edificio Residencial San Isidro]"/>
            <x15:cachedUniqueName index="7" name="[DimProject].[Name_Project].&amp;[Plaza Comercial Surco]"/>
            <x15:cachedUniqueName index="8" name="[DimProject].[Name_Project].&amp;[Residencial Los Parques]"/>
            <x15:cachedUniqueName index="9" name="[DimProject].[Name_Project].&amp;[Torre Lince Park]"/>
          </x15:cachedUniqueNames>
        </ext>
      </extLst>
    </cacheField>
    <cacheField name="[Measures].[#Actual Cost]" caption="#Actual Cost" numFmtId="0" hierarchy="53" level="32767"/>
    <cacheField name="[Measures].[#Planned Cost]" caption="#Planned Cost" numFmtId="0" hierarchy="65" level="32767"/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0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 oneField="1">
      <fieldsUsage count="1">
        <fieldUsage x="1"/>
      </fieldsUsage>
    </cacheHierarchy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 oneField="1">
      <fieldsUsage count="1">
        <fieldUsage x="2"/>
      </fieldsUsage>
    </cacheHierarchy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86055035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1264120367" createdVersion="5" refreshedVersion="8" minRefreshableVersion="3" recordCount="0" supportSubquery="1" supportAdvancedDrill="1" xr:uid="{49BC1AFF-0BCE-41EA-A21F-383C0D1ACB9D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Items].[Description].[Description]" caption="Description" numFmtId="0" hierarchy="12" level="1">
      <sharedItems count="15">
        <s v="1. Limpieza de Terreno y Cerco"/>
        <s v="2. Caseta de Guardiania y Almacen"/>
        <s v="3. Excavacion y Movimiento de Tierras"/>
        <s v="4. Cimentacion y Zapatas"/>
        <s v="5. Columnas y Vigas de Concreto"/>
        <s v="6. Losa Aligerada y Techos"/>
        <s v="7. Tuberias Sanitarias y Desague"/>
        <s v="8. Cableado y Tableros Electricos"/>
        <s v="9. Red de Gas Natural"/>
        <s v="10. Tarrajeo y Revoques"/>
        <s v="11. Colocacion de Pisos y Porcelanato"/>
        <s v="12. Instalacion de Ventaneria y Vidrios"/>
        <s v="13. Pintura Interior y Fachada"/>
        <s v="14. Limpieza Final de Obra"/>
        <s v="15. Entrega de Llaves y Post-Venta"/>
      </sharedItems>
      <extLst>
        <ext xmlns:x15="http://schemas.microsoft.com/office/spreadsheetml/2010/11/main" uri="{4F2E5C28-24EA-4eb8-9CBF-B6C8F9C3D259}">
          <x15:cachedUniqueNames>
            <x15:cachedUniqueName index="0" name="[DimItems].[Description].&amp;[1. Limpieza de Terreno y Cerco]"/>
            <x15:cachedUniqueName index="1" name="[DimItems].[Description].&amp;[2. Caseta de Guardiania y Almacen]"/>
            <x15:cachedUniqueName index="2" name="[DimItems].[Description].&amp;[3. Excavacion y Movimiento de Tierras]"/>
            <x15:cachedUniqueName index="3" name="[DimItems].[Description].&amp;[4. Cimentacion y Zapatas]"/>
            <x15:cachedUniqueName index="4" name="[DimItems].[Description].&amp;[5. Columnas y Vigas de Concreto]"/>
            <x15:cachedUniqueName index="5" name="[DimItems].[Description].&amp;[6. Losa Aligerada y Techos]"/>
            <x15:cachedUniqueName index="6" name="[DimItems].[Description].&amp;[7. Tuberias Sanitarias y Desague]"/>
            <x15:cachedUniqueName index="7" name="[DimItems].[Description].&amp;[8. Cableado y Tableros Electricos]"/>
            <x15:cachedUniqueName index="8" name="[DimItems].[Description].&amp;[9. Red de Gas Natural]"/>
            <x15:cachedUniqueName index="9" name="[DimItems].[Description].&amp;[10. Tarrajeo y Revoques]"/>
            <x15:cachedUniqueName index="10" name="[DimItems].[Description].&amp;[11. Colocacion de Pisos y Porcelanato]"/>
            <x15:cachedUniqueName index="11" name="[DimItems].[Description].&amp;[12. Instalacion de Ventaneria y Vidrios]"/>
            <x15:cachedUniqueName index="12" name="[DimItems].[Description].&amp;[13. Pintura Interior y Fachada]"/>
            <x15:cachedUniqueName index="13" name="[DimItems].[Description].&amp;[14. Limpieza Final de Obra]"/>
            <x15:cachedUniqueName index="14" name="[DimItems].[Description].&amp;[15. Entrega de Llaves y Post-Venta]"/>
          </x15:cachedUniqueNames>
        </ext>
      </extLst>
    </cacheField>
    <cacheField name="[Measures].[#CV]" caption="#CV" numFmtId="0" hierarchy="75" level="32767"/>
    <cacheField name="[DimProject].[Name_Project].[Name_Project]" caption="Name_Project" numFmtId="0" hierarchy="17" level="1">
      <sharedItems containsSemiMixedTypes="0" containsNonDate="0" containsString="0"/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2" memberValueDatatype="130" unbalanced="0">
      <fieldsUsage count="2">
        <fieldUsage x="-1"/>
        <fieldUsage x="0"/>
      </fieldsUsage>
    </cacheHierarchy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2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 oneField="1">
      <fieldsUsage count="1">
        <fieldUsage x="1"/>
      </fieldsUsage>
    </cacheHierarchy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31733045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1264467591" createdVersion="5" refreshedVersion="8" minRefreshableVersion="3" recordCount="0" supportSubquery="1" supportAdvancedDrill="1" xr:uid="{03C188E4-31FD-4ABA-9D93-E2AEB19DC330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#CV]" caption="#CV" numFmtId="0" hierarchy="75" level="32767"/>
    <cacheField name="[DimItems].[Phase].[Phase]" caption="Phase" numFmtId="0" hierarchy="11" level="1">
      <sharedItems count="5">
        <s v="1. Obras Provisionales"/>
        <s v="2. Estructuras"/>
        <s v="3. Instalaciones"/>
        <s v="4. Acabados"/>
        <s v="5. Cierre"/>
      </sharedItems>
      <extLst>
        <ext xmlns:x15="http://schemas.microsoft.com/office/spreadsheetml/2010/11/main" uri="{4F2E5C28-24EA-4eb8-9CBF-B6C8F9C3D259}">
          <x15:cachedUniqueNames>
            <x15:cachedUniqueName index="0" name="[DimItems].[Phase].&amp;[1. Obras Provisionales]"/>
            <x15:cachedUniqueName index="1" name="[DimItems].[Phase].&amp;[2. Estructuras]"/>
            <x15:cachedUniqueName index="2" name="[DimItems].[Phase].&amp;[3. Instalaciones]"/>
            <x15:cachedUniqueName index="3" name="[DimItems].[Phase].&amp;[4. Acabados]"/>
            <x15:cachedUniqueName index="4" name="[DimItems].[Phase].&amp;[5. Cierre]"/>
          </x15:cachedUniqueNames>
        </ext>
      </extLst>
    </cacheField>
    <cacheField name="[DimProject].[Name_Project].[Name_Project]" caption="Name_Project" numFmtId="0" hierarchy="17" level="1">
      <sharedItems containsSemiMixedTypes="0" containsNonDate="0" containsString="0"/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>
      <fieldsUsage count="2">
        <fieldUsage x="-1"/>
        <fieldUsage x="1"/>
      </fieldsUsage>
    </cacheHierarchy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2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 oneField="1">
      <fieldsUsage count="1">
        <fieldUsage x="0"/>
      </fieldsUsage>
    </cacheHierarchy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78134598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1264814814" createdVersion="5" refreshedVersion="8" minRefreshableVersion="3" recordCount="0" supportSubquery="1" supportAdvancedDrill="1" xr:uid="{85EEB863-6915-4967-8159-175F839D242A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#Planned Progress(%)]" caption="#Planned Progress(%)" numFmtId="0" hierarchy="56" level="32767"/>
    <cacheField name="[Measures].[#Real Progress(%)]" caption="#Real Progress(%)" numFmtId="0" hierarchy="61" level="32767"/>
    <cacheField name="[DimItems].[Phase].[Phase]" caption="Phase" numFmtId="0" hierarchy="11" level="1">
      <sharedItems count="5">
        <s v="1. Obras Provisionales"/>
        <s v="2. Estructuras"/>
        <s v="3. Instalaciones"/>
        <s v="4. Acabados"/>
        <s v="5. Cierre"/>
      </sharedItems>
      <extLst>
        <ext xmlns:x15="http://schemas.microsoft.com/office/spreadsheetml/2010/11/main" uri="{4F2E5C28-24EA-4eb8-9CBF-B6C8F9C3D259}">
          <x15:cachedUniqueNames>
            <x15:cachedUniqueName index="0" name="[DimItems].[Phase].&amp;[1. Obras Provisionales]"/>
            <x15:cachedUniqueName index="1" name="[DimItems].[Phase].&amp;[2. Estructuras]"/>
            <x15:cachedUniqueName index="2" name="[DimItems].[Phase].&amp;[3. Instalaciones]"/>
            <x15:cachedUniqueName index="3" name="[DimItems].[Phase].&amp;[4. Acabados]"/>
            <x15:cachedUniqueName index="4" name="[DimItems].[Phase].&amp;[5. Cierre]"/>
          </x15:cachedUniqueNames>
        </ext>
      </extLst>
    </cacheField>
    <cacheField name="[DimProject].[Name_Project].[Name_Project]" caption="Name_Project" numFmtId="0" hierarchy="17" level="1">
      <sharedItems containsSemiMixedTypes="0" containsNonDate="0" containsString="0"/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>
      <fieldsUsage count="2">
        <fieldUsage x="-1"/>
        <fieldUsage x="2"/>
      </fieldsUsage>
    </cacheHierarchy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3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 oneField="1">
      <fieldsUsage count="1">
        <fieldUsage x="0"/>
      </fieldsUsage>
    </cacheHierarchy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 oneField="1">
      <fieldsUsage count="1">
        <fieldUsage x="1"/>
      </fieldsUsage>
    </cacheHierarchy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6114097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4212615738" createdVersion="5" refreshedVersion="8" minRefreshableVersion="3" recordCount="0" supportSubquery="1" supportAdvancedDrill="1" xr:uid="{CEC5CEBE-DABD-49C6-8AE9-87B2A27935CF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#Critical Items]" caption="#Critical Items" numFmtId="0" hierarchy="73" level="32767"/>
    <cacheField name="[DimItems].[Description].[Description]" caption="Description" numFmtId="0" hierarchy="12" level="1">
      <sharedItems count="15">
        <s v="1. Limpieza de Terreno y Cerco"/>
        <s v="2. Caseta de Guardiania y Almacen"/>
        <s v="3. Excavacion y Movimiento de Tierras"/>
        <s v="4. Cimentacion y Zapatas"/>
        <s v="5. Columnas y Vigas de Concreto"/>
        <s v="6. Losa Aligerada y Techos"/>
        <s v="7. Tuberias Sanitarias y Desague"/>
        <s v="8. Cableado y Tableros Electricos"/>
        <s v="9. Red de Gas Natural"/>
        <s v="10. Tarrajeo y Revoques"/>
        <s v="11. Colocacion de Pisos y Porcelanato"/>
        <s v="12. Instalacion de Ventaneria y Vidrios"/>
        <s v="13. Pintura Interior y Fachada"/>
        <s v="14. Limpieza Final de Obra"/>
        <s v="15. Entrega de Llaves y Post-Venta"/>
      </sharedItems>
      <extLst>
        <ext xmlns:x15="http://schemas.microsoft.com/office/spreadsheetml/2010/11/main" uri="{4F2E5C28-24EA-4eb8-9CBF-B6C8F9C3D259}">
          <x15:cachedUniqueNames>
            <x15:cachedUniqueName index="0" name="[DimItems].[Description].&amp;[1. Limpieza de Terreno y Cerco]"/>
            <x15:cachedUniqueName index="1" name="[DimItems].[Description].&amp;[2. Caseta de Guardiania y Almacen]"/>
            <x15:cachedUniqueName index="2" name="[DimItems].[Description].&amp;[3. Excavacion y Movimiento de Tierras]"/>
            <x15:cachedUniqueName index="3" name="[DimItems].[Description].&amp;[4. Cimentacion y Zapatas]"/>
            <x15:cachedUniqueName index="4" name="[DimItems].[Description].&amp;[5. Columnas y Vigas de Concreto]"/>
            <x15:cachedUniqueName index="5" name="[DimItems].[Description].&amp;[6. Losa Aligerada y Techos]"/>
            <x15:cachedUniqueName index="6" name="[DimItems].[Description].&amp;[7. Tuberias Sanitarias y Desague]"/>
            <x15:cachedUniqueName index="7" name="[DimItems].[Description].&amp;[8. Cableado y Tableros Electricos]"/>
            <x15:cachedUniqueName index="8" name="[DimItems].[Description].&amp;[9. Red de Gas Natural]"/>
            <x15:cachedUniqueName index="9" name="[DimItems].[Description].&amp;[10. Tarrajeo y Revoques]"/>
            <x15:cachedUniqueName index="10" name="[DimItems].[Description].&amp;[11. Colocacion de Pisos y Porcelanato]"/>
            <x15:cachedUniqueName index="11" name="[DimItems].[Description].&amp;[12. Instalacion de Ventaneria y Vidrios]"/>
            <x15:cachedUniqueName index="12" name="[DimItems].[Description].&amp;[13. Pintura Interior y Fachada]"/>
            <x15:cachedUniqueName index="13" name="[DimItems].[Description].&amp;[14. Limpieza Final de Obra]"/>
            <x15:cachedUniqueName index="14" name="[DimItems].[Description].&amp;[15. Entrega de Llaves y Post-Venta]"/>
          </x15:cachedUniqueNames>
        </ext>
      </extLst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2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2" memberValueDatatype="130" unbalanced="0">
      <fieldsUsage count="2">
        <fieldUsage x="-1"/>
        <fieldUsage x="1"/>
      </fieldsUsage>
    </cacheHierarchy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/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 oneField="1">
      <fieldsUsage count="1">
        <fieldUsage x="0"/>
      </fieldsUsage>
    </cacheHierarchy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27158628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4578125004" createdVersion="5" refreshedVersion="8" minRefreshableVersion="3" recordCount="0" supportSubquery="1" supportAdvancedDrill="1" xr:uid="{EDE4F018-0B97-40EF-82D3-A6BBB6D5790D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Project].[Project_Type].[Project_Type]" caption="Project_Type" numFmtId="0" hierarchy="19" level="1">
      <sharedItems count="6">
        <s v="Comercial"/>
        <s v="Industrial"/>
        <s v="Interés Social"/>
        <s v="Multifamiliar"/>
        <s v="Oficinas"/>
        <s v="Salud"/>
      </sharedItems>
      <extLst>
        <ext xmlns:x15="http://schemas.microsoft.com/office/spreadsheetml/2010/11/main" uri="{4F2E5C28-24EA-4eb8-9CBF-B6C8F9C3D259}">
          <x15:cachedUniqueNames>
            <x15:cachedUniqueName index="0" name="[DimProject].[Project_Type].&amp;[Comercial]"/>
            <x15:cachedUniqueName index="1" name="[DimProject].[Project_Type].&amp;[Industrial]"/>
            <x15:cachedUniqueName index="2" name="[DimProject].[Project_Type].&amp;[Interés Social]"/>
            <x15:cachedUniqueName index="3" name="[DimProject].[Project_Type].&amp;[Multifamiliar]"/>
            <x15:cachedUniqueName index="4" name="[DimProject].[Project_Type].&amp;[Oficinas]"/>
            <x15:cachedUniqueName index="5" name="[DimProject].[Project_Type].&amp;[Salud]"/>
          </x15:cachedUniqueNames>
        </ext>
      </extLst>
    </cacheField>
    <cacheField name="[Measures].[#Budget]" caption="#Budget" numFmtId="0" hierarchy="52" level="32767"/>
    <cacheField name="[DimProject].[Location].[Location]" caption="Location" numFmtId="0" hierarchy="18" level="1">
      <sharedItems containsSemiMixedTypes="0" containsNonDate="0" containsString="0"/>
    </cacheField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0" memberValueDatatype="130" unbalanced="0"/>
    <cacheHierarchy uniqueName="[DimProject].[Location]" caption="Location" attribute="1" defaultMemberUniqueName="[DimProject].[Location].[All]" allUniqueName="[DimProject].[Location].[All]" dimensionUniqueName="[DimProject]" displayFolder="" count="2" memberValueDatatype="130" unbalanced="0">
      <fieldsUsage count="2">
        <fieldUsage x="-1"/>
        <fieldUsage x="2"/>
      </fieldsUsage>
    </cacheHierarchy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>
      <fieldsUsage count="2">
        <fieldUsage x="-1"/>
        <fieldUsage x="0"/>
      </fieldsUsage>
    </cacheHierarchy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 oneField="1">
      <fieldsUsage count="1">
        <fieldUsage x="1"/>
      </fieldsUsage>
    </cacheHierarchy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/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234947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00.624700694447" createdVersion="5" refreshedVersion="8" minRefreshableVersion="3" recordCount="0" supportSubquery="1" supportAdvancedDrill="1" xr:uid="{715B9035-2688-4784-8220-172BAF54745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imProject].[Name_Project].[Name_Project]" caption="Name_Project" numFmtId="0" hierarchy="17" level="1">
      <sharedItems count="5">
        <s v="Almacenes Callao"/>
        <s v="Condominio Las Praderas"/>
        <s v="Edificio Costanera"/>
        <s v="Edificio Residencial San Isidro"/>
        <s v="Torre Lince Park"/>
      </sharedItems>
      <extLst>
        <ext xmlns:x15="http://schemas.microsoft.com/office/spreadsheetml/2010/11/main" uri="{4F2E5C28-24EA-4eb8-9CBF-B6C8F9C3D259}">
          <x15:cachedUniqueNames>
            <x15:cachedUniqueName index="0" name="[DimProject].[Name_Project].&amp;[Almacenes Callao]"/>
            <x15:cachedUniqueName index="1" name="[DimProject].[Name_Project].&amp;[Condominio Las Praderas]"/>
            <x15:cachedUniqueName index="2" name="[DimProject].[Name_Project].&amp;[Edificio Costanera]"/>
            <x15:cachedUniqueName index="3" name="[DimProject].[Name_Project].&amp;[Edificio Residencial San Isidro]"/>
            <x15:cachedUniqueName index="4" name="[DimProject].[Name_Project].&amp;[Torre Lince Park]"/>
          </x15:cachedUniqueNames>
        </ext>
      </extLst>
    </cacheField>
    <cacheField name="[Measures].[#Real Progress(%)]" caption="#Real Progress(%)" numFmtId="0" hierarchy="61" level="32767"/>
  </cacheFields>
  <cacheHierarchies count="98">
    <cacheHierarchy uniqueName="[DimCalendar].[DATE]" caption="DATE" attribute="1" tim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defaultMemberUniqueName="[DimCalendar].[#WEEK].[All]" allUniqueName="[DimCalendar].[#WEEK].[All]" dimensionUniqueName="[DimCalendar]" displayFolder="" count="0" memberValueDatatype="20" unbalanced="0"/>
    <cacheHierarchy uniqueName="[DimCalendar].[#DAYNUM]" caption="#DAYNUM" attribute="1" defaultMemberUniqueName="[DimCalendar].[#DAYNUM].[All]" allUniqueName="[DimCalendar].[#DAYNUM].[All]" dimensionUniqueName="[DimCalendar]" displayFolder="" count="0" memberValueDatatype="20" unbalanced="0"/>
    <cacheHierarchy uniqueName="[DimCalendar].[DAY]" caption="DAY" attribut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defaultMemberUniqueName="[DimCalendar].[#DAY].[All]" allUniqueName="[DimCalendar].[#DAY].[All]" dimensionUniqueName="[DimCalendar]" displayFolder="" count="0" memberValueDatatype="20" unbalanced="0"/>
    <cacheHierarchy uniqueName="[DimItems].[ID_Item]" caption="ID_Item" attribute="1" defaultMemberUniqueName="[DimItems].[ID_Item].[All]" allUniqueName="[DimItems].[ID_Item].[All]" dimensionUniqueName="[DimItems]" displayFolder="" count="0" memberValueDatatype="20" unbalanced="0"/>
    <cacheHierarchy uniqueName="[DimItems].[Phase]" caption="Phase" attribute="1" defaultMemberUniqueName="[DimItems].[Phase].[All]" allUniqueName="[DimItems].[Phase].[All]" dimensionUniqueName="[DimItems]" displayFolder="" count="0" memberValueDatatype="130" unbalanced="0"/>
    <cacheHierarchy uniqueName="[DimItems].[Description]" caption="Description" attribute="1" defaultMemberUniqueName="[DimItems].[Description].[All]" allUniqueName="[DimItems].[Description].[All]" dimensionUniqueName="[DimItems]" displayFolder="" count="0" memberValueDatatype="130" unbalanced="0"/>
    <cacheHierarchy uniqueName="[DimItems].[Unit_of_measurement]" caption="Unit_of_measurement" attribute="1" defaultMemberUniqueName="[DimItems].[Unit_of_measurement].[All]" allUniqueName="[DimItems].[Unit_of_measurement].[All]" dimensionUniqueName="[DimItems]" displayFolder="" count="0" memberValueDatatype="130" unbalanced="0"/>
    <cacheHierarchy uniqueName="[DimOwner].[Id_Owner]" caption="Id_Owner" attribute="1" defaultMemberUniqueName="[DimOwner].[Id_Owner].[All]" allUniqueName="[DimOwner].[Id_Owner].[All]" dimensionUniqueName="[DimOwner]" displayFolder="" count="0" memberValueDatatype="20" unbalanced="0"/>
    <cacheHierarchy uniqueName="[DimOwner].[Owner_Name]" caption="Owner_Name" attribute="1" defaultMemberUniqueName="[DimOwner].[Owner_Name].[All]" allUniqueName="[DimOwner].[Owner_Name].[All]" dimensionUniqueName="[DimOwner]" displayFolder="" count="0" memberValueDatatype="130" unbalanced="0"/>
    <cacheHierarchy uniqueName="[DimProject].[ID_Project]" caption="ID_Project" attribute="1" defaultMemberUniqueName="[DimProject].[ID_Project].[All]" allUniqueName="[DimProject].[ID_Project].[All]" dimensionUniqueName="[DimProject]" displayFolder="" count="0" memberValueDatatype="20" unbalanced="0"/>
    <cacheHierarchy uniqueName="[DimProject].[Name_Project]" caption="Name_Project" attribute="1" defaultMemberUniqueName="[DimProject].[Name_Project].[All]" allUniqueName="[DimProject].[Name_Project].[All]" dimensionUniqueName="[DimProject]" displayFolder="" count="2" memberValueDatatype="130" unbalanced="0">
      <fieldsUsage count="2">
        <fieldUsage x="-1"/>
        <fieldUsage x="0"/>
      </fieldsUsage>
    </cacheHierarchy>
    <cacheHierarchy uniqueName="[DimProject].[Location]" caption="Location" attribute="1" defaultMemberUniqueName="[DimProject].[Location].[All]" allUniqueName="[DimProject].[Location].[All]" dimensionUniqueName="[DimProject]" displayFolder="" count="0" memberValueDatatype="130" unbalanced="0"/>
    <cacheHierarchy uniqueName="[DimProject].[Project_Type]" caption="Project_Type" attribute="1" defaultMemberUniqueName="[DimProject].[Project_Type].[All]" allUniqueName="[DimProject].[Project_Type].[All]" dimensionUniqueName="[DimProject]" displayFolder="" count="2" memberValueDatatype="130" unbalanced="0"/>
    <cacheHierarchy uniqueName="[DimProject].[Floor_Number]" caption="Floor_Number" attribute="1" defaultMemberUniqueName="[DimProject].[Floor_Number].[All]" allUniqueName="[DimProject].[Floor_Number].[All]" dimensionUniqueName="[DimProject]" displayFolder="" count="0" memberValueDatatype="20" unbalanced="0"/>
    <cacheHierarchy uniqueName="[DimProject].[Dpto_Number]" caption="Dpto_Number" attribute="1" defaultMemberUniqueName="[DimProject].[Dpto_Number].[All]" allUniqueName="[DimProject].[Dpto_Number].[All]" dimensionUniqueName="[DimProject]" displayFolder="" count="0" memberValueDatatype="20" unbalanced="0"/>
    <cacheHierarchy uniqueName="[DimProject].[Parking_Number]" caption="Parking_Number" attribute="1" defaultMemberUniqueName="[DimProject].[Parking_Number].[All]" allUniqueName="[DimProject].[Parking_Number].[All]" dimensionUniqueName="[DimProject]" displayFolder="" count="0" memberValueDatatype="20" unbalanced="0"/>
    <cacheHierarchy uniqueName="[DimProject].[Covered_area]" caption="Covered_area" attribute="1" defaultMemberUniqueName="[DimProject].[Covered_area].[All]" allUniqueName="[DimProject].[Covered_area].[All]" dimensionUniqueName="[DimProject]" displayFolder="" count="0" memberValueDatatype="20" unbalanced="0"/>
    <cacheHierarchy uniqueName="[DimProject].[Budget]" caption="Budget" attribute="1" defaultMemberUniqueName="[DimProject].[Budget].[All]" allUniqueName="[DimProject].[Budget].[All]" dimensionUniqueName="[DimProject]" displayFolder="" count="0" memberValueDatatype="5" unbalanced="0"/>
    <cacheHierarchy uniqueName="[DimProjectManagement].[Id_PM]" caption="Id_PM" attribute="1" defaultMemberUniqueName="[DimProjectManagement].[Id_PM].[All]" allUniqueName="[DimProjectManagement].[Id_PM].[All]" dimensionUniqueName="[DimProjectManagement]" displayFolder="" count="0" memberValueDatatype="20" unbalanced="0"/>
    <cacheHierarchy uniqueName="[DimProjectManagement].[PM_Name]" caption="PM_Name" attribute="1" defaultMemberUniqueName="[DimProjectManagement].[PM_Name].[All]" allUniqueName="[DimProjectManagement].[PM_Name].[All]" dimensionUniqueName="[DimProjectManagement]" displayFolder="" count="0" memberValueDatatype="130" unbalanced="0"/>
    <cacheHierarchy uniqueName="[FactProgress].[ID_Reg]" caption="ID_Reg" attribute="1" defaultMemberUniqueName="[FactProgress].[ID_Reg].[All]" allUniqueName="[FactProgress].[ID_Reg].[All]" dimensionUniqueName="[FactProgress]" displayFolder="" count="0" memberValueDatatype="20" unbalanced="0"/>
    <cacheHierarchy uniqueName="[FactProgress].[ID_Project]" caption="ID_Project" attribute="1" defaultMemberUniqueName="[FactProgress].[ID_Project].[All]" allUniqueName="[FactProgress].[ID_Project].[All]" dimensionUniqueName="[FactProgress]" displayFolder="" count="0" memberValueDatatype="20" unbalanced="0"/>
    <cacheHierarchy uniqueName="[FactProgress].[ID_Item]" caption="ID_Item" attribute="1" defaultMemberUniqueName="[FactProgress].[ID_Item].[All]" allUniqueName="[FactProgress].[ID_Item].[All]" dimensionUniqueName="[FactProgress]" displayFolder="" count="0" memberValueDatatype="20" unbalanced="0"/>
    <cacheHierarchy uniqueName="[FactProgress].[ID_Predecessor]" caption="ID_Predecessor" attribute="1" defaultMemberUniqueName="[FactProgress].[ID_Predecessor].[All]" allUniqueName="[FactProgress].[ID_Predecessor].[All]" dimensionUniqueName="[FactProgress]" displayFolder="" count="0" memberValueDatatype="20" unbalanced="0"/>
    <cacheHierarchy uniqueName="[FactProgress].[Planned_StartDate]" caption="Planned_StartDate" attribute="1" time="1" defaultMemberUniqueName="[FactProgress].[Planned_StartDate].[All]" allUniqueName="[FactProgress].[Planned_StartDate].[All]" dimensionUniqueName="[FactProgress]" displayFolder="" count="0" memberValueDatatype="7" unbalanced="0"/>
    <cacheHierarchy uniqueName="[FactProgress].[Planned_EndDate]" caption="Planned_EndDate" attribute="1" time="1" defaultMemberUniqueName="[FactProgress].[Planned_EndDate].[All]" allUniqueName="[FactProgress].[Planned_EndDate].[All]" dimensionUniqueName="[FactProgress]" displayFolder="" count="0" memberValueDatatype="7" unbalanced="0"/>
    <cacheHierarchy uniqueName="[FactProgress].[Real_StartDate]" caption="Real_StartDate" attribute="1" time="1" defaultMemberUniqueName="[FactProgress].[Real_StartDate].[All]" allUniqueName="[FactProgress].[Real_StartDate].[All]" dimensionUniqueName="[FactProgress]" displayFolder="" count="0" memberValueDatatype="7" unbalanced="0"/>
    <cacheHierarchy uniqueName="[FactProgress].[Real_EndDate]" caption="Real_EndDate" attribute="1" time="1" defaultMemberUniqueName="[FactProgress].[Real_EndDate].[All]" allUniqueName="[FactProgress].[Real_EndDate].[All]" dimensionUniqueName="[FactProgress]" displayFolder="" count="0" memberValueDatatype="7" unbalanced="0"/>
    <cacheHierarchy uniqueName="[FactProgress].[Expected_Cost]" caption="Expected_Cost" attribute="1" defaultMemberUniqueName="[FactProgress].[Expected_Cost].[All]" allUniqueName="[FactProgress].[Expected_Cost].[All]" dimensionUniqueName="[FactProgress]" displayFolder="" count="0" memberValueDatatype="5" unbalanced="0"/>
    <cacheHierarchy uniqueName="[FactProgress].[Real_Cost]" caption="Real_Cost" attribute="1" defaultMemberUniqueName="[FactProgress].[Real_Cost].[All]" allUniqueName="[FactProgress].[Real_Cost].[All]" dimensionUniqueName="[FactProgress]" displayFolder="" count="0" memberValueDatatype="5" unbalanced="0"/>
    <cacheHierarchy uniqueName="[FactProgress].[Theoretical Progress(%)]" caption="Theoretical Progress(%)" attribute="1" defaultMemberUniqueName="[FactProgress].[Theoretical Progress(%)].[All]" allUniqueName="[FactProgress].[Theoretical Progress(%)].[All]" dimensionUniqueName="[FactProgress]" displayFolder="" count="0" memberValueDatatype="5" unbalanced="0"/>
    <cacheHierarchy uniqueName="[FactProgress].[Real Progress(%)]" caption="Real Progress(%)" attribute="1" defaultMemberUniqueName="[FactProgress].[Real Progress(%)].[All]" allUniqueName="[FactProgress].[Real Progress(%)].[All]" dimensionUniqueName="[FactProgress]" displayFolder="" count="0" memberValueDatatype="5" unbalanced="0"/>
    <cacheHierarchy uniqueName="[FactProgress].[Cost Progress(%)]" caption="Cost Progress(%)" attribute="1" defaultMemberUniqueName="[FactProgress].[Cost Progress(%)].[All]" allUniqueName="[FactProgress].[Cost Progress(%)].[All]" dimensionUniqueName="[FactProgress]" displayFolder="" count="0" memberValueDatatype="5" unbalanced="0"/>
    <cacheHierarchy uniqueName="[FactProgress].[Alert Progress]" caption="Alert Progress" attribute="1" defaultMemberUniqueName="[FactProgress].[Alert Progress].[All]" allUniqueName="[FactProgress].[Alert Progress].[All]" dimensionUniqueName="[FactProgress]" displayFolder="" count="0" memberValueDatatype="130" unbalanced="0"/>
    <cacheHierarchy uniqueName="[FactProgress].[Alert Cost]" caption="Alert Cost" attribute="1" defaultMemberUniqueName="[FactProgress].[Alert Cost].[All]" allUniqueName="[FactProgress].[Alert Cost].[All]" dimensionUniqueName="[FactProgress]" displayFolder="" count="0" memberValueDatatype="130" unbalanced="0"/>
    <cacheHierarchy uniqueName="[FactProgress].[CPI]" caption="CPI" attribute="1" defaultMemberUniqueName="[FactProgress].[CPI].[All]" allUniqueName="[FactProgress].[CPI].[All]" dimensionUniqueName="[FactProgress]" displayFolder="" count="0" memberValueDatatype="130" unbalanced="0"/>
    <cacheHierarchy uniqueName="[FactProgress].[Id_OwnerTask]" caption="Id_OwnerTask" attribute="1" defaultMemberUniqueName="[FactProgress].[Id_OwnerTask].[All]" allUniqueName="[FactProgress].[Id_OwnerTask].[All]" dimensionUniqueName="[FactProgress]" displayFolder="" count="0" memberValueDatatype="20" unbalanced="0"/>
    <cacheHierarchy uniqueName="[FactProgress].[Id_PM]" caption="Id_PM" attribute="1" defaultMemberUniqueName="[FactProgress].[Id_PM].[All]" allUniqueName="[FactProgress].[Id_PM].[All]" dimensionUniqueName="[FactProgress]" displayFolder="" count="0" memberValueDatatype="20" unbalanced="0"/>
    <cacheHierarchy uniqueName="[FactProgress].[Plan Today]" caption="Plan Today" attribute="1" defaultMemberUniqueName="[FactProgress].[Plan Today].[All]" allUniqueName="[FactProgress].[Plan Today].[All]" dimensionUniqueName="[FactProgress]" displayFolder="" count="0" memberValueDatatype="20" unbalanced="0"/>
    <cacheHierarchy uniqueName="[FactProgress].[Planned Days]" caption="Planned Days" attribute="1" defaultMemberUniqueName="[FactProgress].[Planned Days].[All]" allUniqueName="[FactProgress].[Planned Days].[All]" dimensionUniqueName="[FactProgress]" displayFolder="" count="0" memberValueDatatype="20" unbalanced="0"/>
    <cacheHierarchy uniqueName="[FactProgress].[Real Today]" caption="Real Today" attribute="1" defaultMemberUniqueName="[FactProgress].[Real Today].[All]" allUniqueName="[FactProgress].[Real Today].[All]" dimensionUniqueName="[FactProgress]" displayFolder="" count="0" memberValueDatatype="20" unbalanced="0"/>
    <cacheHierarchy uniqueName="[FactProgress].[Real Days]" caption="Real Days" attribute="1" defaultMemberUniqueName="[FactProgress].[Real Days].[All]" allUniqueName="[FactProgress].[Real Days].[All]" dimensionUniqueName="[FactProgress]" displayFolder="" count="0" memberValueDatatype="20" unbalanced="0"/>
    <cacheHierarchy uniqueName="[Measures].[Recuento de Name_Project]" caption="Recuento de Name_Project" measure="1" displayFolder="" measureGroup="DimProject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Budget]" caption="Suma de Budget" measure="1" displayFolder="" measureGroup="DimProje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#Total Projects]" caption="#Total Projects" measure="1" displayFolder="" measureGroup="FactProgress" count="0"/>
    <cacheHierarchy uniqueName="[Measures].[#Budget]" caption="#Budget" measure="1" displayFolder="" measureGroup="FactProgress" count="0"/>
    <cacheHierarchy uniqueName="[Measures].[#Actual Cost]" caption="#Actual Cost" measure="1" displayFolder="" measureGroup="FactProgress" count="0"/>
    <cacheHierarchy uniqueName="[Measures].[#At-Risk Projects]" caption="#At-Risk Projects" measure="1" displayFolder="" measureGroup="FactProgress" count="0"/>
    <cacheHierarchy uniqueName="[Measures].[#Cost Progress(%)]" caption="#Cost Progress(%)" measure="1" displayFolder="" measureGroup="FactProgress" count="0"/>
    <cacheHierarchy uniqueName="[Measures].[#Planned Progress(%)]" caption="#Planned Progress(%)" measure="1" displayFolder="" measureGroup="FactProgress" count="0"/>
    <cacheHierarchy uniqueName="[Measures].[#PlanToday]" caption="#PlanToday" measure="1" displayFolder="" measureGroup="FactProgress" count="0"/>
    <cacheHierarchy uniqueName="[Measures].[#Planned Days]" caption="#Planned Days" measure="1" displayFolder="" measureGroup="FactProgress" count="0"/>
    <cacheHierarchy uniqueName="[Measures].[#Real Today]" caption="#Real Today" measure="1" displayFolder="" measureGroup="FactProgress" count="0"/>
    <cacheHierarchy uniqueName="[Measures].[#Real Days]" caption="#Real Days" measure="1" displayFolder="" measureGroup="FactProgress" count="0"/>
    <cacheHierarchy uniqueName="[Measures].[#Real Progress(%)]" caption="#Real Progress(%)" measure="1" displayFolder="" measureGroup="FactProgress" count="0" oneField="1">
      <fieldsUsage count="1">
        <fieldUsage x="1"/>
      </fieldsUsage>
    </cacheHierarchy>
    <cacheHierarchy uniqueName="[Measures].[_Alert Progress]" caption="_Alert Progress" measure="1" displayFolder="" measureGroup="FactProgress" count="0"/>
    <cacheHierarchy uniqueName="[Measures].[_Alert Cost]" caption="_Alert Cost" measure="1" displayFolder="" measureGroup="FactProgress" count="0"/>
    <cacheHierarchy uniqueName="[Measures].[_CPI]" caption="_CPI" measure="1" displayFolder="" measureGroup="FactProgress" count="0"/>
    <cacheHierarchy uniqueName="[Measures].[#Planned Cost]" caption="#Planned Cost" measure="1" displayFolder="" measureGroup="FactProgress" count="0"/>
    <cacheHierarchy uniqueName="[Measures].[#BudgetvsActual]" caption="#BudgetvsActual" measure="1" displayFolder="" measureGroup="FactProgress" count="0"/>
    <cacheHierarchy uniqueName="[Measures].[PM]" caption="PM" measure="1" displayFolder="" measureGroup="FactProgress" count="0"/>
    <cacheHierarchy uniqueName="[Measures].[#Total Items]" caption="#Total Items" measure="1" displayFolder="" measureGroup="FactProgress" count="0"/>
    <cacheHierarchy uniqueName="[Measures].[#Temporary Works Progress]" caption="#Temporary Works Progress" measure="1" displayFolder="" measureGroup="FactProgress" count="0"/>
    <cacheHierarchy uniqueName="[Measures].[#Structural Works Progress]" caption="#Structural Works Progress" measure="1" displayFolder="" measureGroup="FactProgress" count="0"/>
    <cacheHierarchy uniqueName="[Measures].[#MEP Progress]" caption="#MEP Progress" measure="1" displayFolder="" measureGroup="FactProgress" count="0"/>
    <cacheHierarchy uniqueName="[Measures].[#Finishes Progress]" caption="#Finishes Progress" measure="1" displayFolder="" measureGroup="FactProgress" count="0"/>
    <cacheHierarchy uniqueName="[Measures].[#Critical Items]" caption="#Critical Items" measure="1" displayFolder="" measureGroup="FactProgress" count="0"/>
    <cacheHierarchy uniqueName="[Measures].[#CPI]" caption="#CPI" measure="1" displayFolder="" measureGroup="FactProgress" count="0"/>
    <cacheHierarchy uniqueName="[Measures].[#CV]" caption="#CV" measure="1" displayFolder="" measureGroup="FactProgress" count="0"/>
    <cacheHierarchy uniqueName="[Measures].[#Planned_DateMin]" caption="#Planned_DateMin" measure="1" displayFolder="" measureGroup="FactProgress" count="0"/>
    <cacheHierarchy uniqueName="[Measures].[#Planned_DateMax]" caption="#Planned_DateMax" measure="1" displayFolder="" measureGroup="FactProgress" count="0"/>
    <cacheHierarchy uniqueName="[Measures].[#Total Days Overdue]" caption="#Total Days Overdue" measure="1" displayFolder="" measureGroup="FactProgress" count="0"/>
    <cacheHierarchy uniqueName="[Measures].[#Actual_DateMin]" caption="#Actual_DateMin" measure="1" displayFolder="" measureGroup="FactProgress" count="0"/>
    <cacheHierarchy uniqueName="[Measures].[#Actual_DateMax]" caption="#Actual_DateMax" measure="1" displayFolder="" measureGroup="FactProgress" count="0"/>
    <cacheHierarchy uniqueName="[Measures].[_Owner]" caption="_Owner" measure="1" displayFolder="" measureGroup="FactProgress" count="0"/>
    <cacheHierarchy uniqueName="[Measures].[KPI Alert Cost]" caption="KPI Alert Cost" measure="1" displayFolder="" measureGroup="FactProgress" count="0"/>
    <cacheHierarchy uniqueName="[Measures].[KPI CPI]" caption="KPI CPI" measure="1" displayFolder="" measureGroup="FactProgress" count="0"/>
    <cacheHierarchy uniqueName="[Measures].[KPI Progress]" caption="KPI Progress" measure="1" displayFolder="" measureGroup="FactProgress" count="0"/>
    <cacheHierarchy uniqueName="[Measures].[__XL_Count FactProgress]" caption="__XL_Count FactProgress" measure="1" displayFolder="" measureGroup="FactProgress" count="0" hidden="1"/>
    <cacheHierarchy uniqueName="[Measures].[__XL_Count DimCalendar]" caption="__XL_Count DimCalendar" measure="1" displayFolder="" measureGroup="DimCalendar" count="0" hidden="1"/>
    <cacheHierarchy uniqueName="[Measures].[__XL_Count DimItems]" caption="__XL_Count DimItems" measure="1" displayFolder="" measureGroup="DimItems" count="0" hidden="1"/>
    <cacheHierarchy uniqueName="[Measures].[__XL_Count DimProject]" caption="__XL_Count DimProject" measure="1" displayFolder="" measureGroup="DimProject" count="0" hidden="1"/>
    <cacheHierarchy uniqueName="[Measures].[__XL_Count DimProjectManagement]" caption="__XL_Count DimProjectManagement" measure="1" displayFolder="" measureGroup="DimProjectManagement" count="0" hidden="1"/>
    <cacheHierarchy uniqueName="[Measures].[__XL_Count DimOwner]" caption="__XL_Count DimOwner" measure="1" displayFolder="" measureGroup="DimOwner" count="0" hidden="1"/>
    <cacheHierarchy uniqueName="[Measures].[__No measures defined]" caption="__No measures defined" measure="1" displayFolder="" count="0" hidden="1"/>
    <cacheHierarchy uniqueName="[Measures].[_KPI Alert Cost Goal]" caption="_KPI Alert Cost Goal" measure="1" displayFolder="" measureGroup="FactProgress" count="0" hidden="1"/>
    <cacheHierarchy uniqueName="[Measures].[_KPI Alert Cost Status]" caption="_KPI Alert Cost Status" measure="1" iconSet="6" displayFolder="" measureGroup="FactProgress" count="0" hidden="1"/>
    <cacheHierarchy uniqueName="[Measures].[_KPI CPI Goal]" caption="_KPI CPI Goal" measure="1" displayFolder="" measureGroup="FactProgress" count="0" hidden="1"/>
    <cacheHierarchy uniqueName="[Measures].[_KPI CPI Status]" caption="_KPI CPI Status" measure="1" iconSet="6" displayFolder="" measureGroup="FactProgress" count="0" hidden="1"/>
    <cacheHierarchy uniqueName="[Measures].[_KPI Progress Goal]" caption="_KPI Progress Goal" measure="1" displayFolder="" measureGroup="FactProgress" count="0" hidden="1"/>
    <cacheHierarchy uniqueName="[Measures].[_KPI Progress Status]" caption="_KPI Progress Status" measure="1" iconSet="6" displayFolder="" measureGroup="FactProgress" count="0" hidden="1"/>
  </cacheHierarchies>
  <kpis count="3">
    <kpi uniqueName="KPI Alert Cost" caption="KPI Alert Cost" displayFolder="" measureGroup="FactProgress" parent="" value="[Measures].[KPI Alert Cost]" goal="[Measures].[_KPI Alert Cost Goal]" status="[Measures].[_KPI Alert Cost Status]" trend="" weight=""/>
    <kpi uniqueName="KPI CPI" caption="KPI CPI" displayFolder="" measureGroup="FactProgress" parent="" value="[Measures].[KPI CPI]" goal="[Measures].[_KPI CPI Goal]" status="[Measures].[_KPI CPI Status]" trend="" weight=""/>
    <kpi uniqueName="KPI Progress" caption="KPI Progress" displayFolder="" measureGroup="FactProgress" parent="" value="[Measures].[KPI Progress]" goal="[Measures].[_KPI Progress Goal]" status="[Measures].[_KPI Progress Status]" trend="" weight=""/>
  </kpis>
  <dimensions count="7">
    <dimension name="DimCalendar" uniqueName="[DimCalendar]" caption="DimCalendar"/>
    <dimension name="DimItems" uniqueName="[DimItems]" caption="DimItems"/>
    <dimension name="DimOwner" uniqueName="[DimOwner]" caption="DimOwner"/>
    <dimension name="DimProject" uniqueName="[DimProject]" caption="DimProject"/>
    <dimension name="DimProjectManagement" uniqueName="[DimProjectManagement]" caption="DimProjectManagement"/>
    <dimension name="FactProgress" uniqueName="[FactProgress]" caption="FactProgress"/>
    <dimension measure="1" name="Measures" uniqueName="[Measures]" caption="Measures"/>
  </dimensions>
  <measureGroups count="6">
    <measureGroup name="DimCalendar" caption="DimCalendar"/>
    <measureGroup name="DimItems" caption="DimItems"/>
    <measureGroup name="DimOwner" caption="DimOwner"/>
    <measureGroup name="DimProject" caption="DimProject"/>
    <measureGroup name="DimProjectManagement" caption="DimProjectManagement"/>
    <measureGroup name="FactProgress" caption="FactProgres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pivotCacheId="13130804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01A88-50DA-44A5-BF74-FFD6ADD684D4}" name="PivotChartTable5" cacheId="48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1">
  <location ref="A1:B17" firstHeaderRow="1" firstDataRow="1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st Variance" fld="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lanne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st Varianc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16" columnCount="1" cacheId="1317330453">
        <x15:pivotRow count="1">
          <x15:c>
            <x15:v>-0.16642857142857148</x15:v>
            <x15:x in="0"/>
          </x15:c>
        </x15:pivotRow>
        <x15:pivotRow count="1">
          <x15:c>
            <x15:v>-0.15705128205128205</x15:v>
            <x15:x in="0"/>
          </x15:c>
        </x15:pivotRow>
        <x15:pivotRow count="1">
          <x15:c>
            <x15:v>-0.23906705539358597</x15:v>
            <x15:x in="0"/>
          </x15:c>
        </x15:pivotRow>
        <x15:pivotRow count="1">
          <x15:c>
            <x15:v>-0.39947089947089942</x15:v>
            <x15:x in="0"/>
          </x15:c>
        </x15:pivotRow>
        <x15:pivotRow count="1">
          <x15:c>
            <x15:v>-0.51095406360424023</x15:v>
            <x15:x in="0"/>
          </x15:c>
        </x15:pivotRow>
        <x15:pivotRow count="1">
          <x15:c>
            <x15:v>-0.57337367624810898</x15:v>
            <x15:x in="0"/>
          </x15:c>
        </x15:pivotRow>
        <x15:pivotRow count="1">
          <x15:c>
            <x15:v>-0.36764705882352944</x15:v>
            <x15:x in="0"/>
          </x15:c>
        </x15:pivotRow>
        <x15:pivotRow count="1">
          <x15:c>
            <x15:v>-0.63305322128851538</x15:v>
            <x15:x in="0"/>
          </x15:c>
        </x15:pivotRow>
        <x15:pivotRow count="1">
          <x15:c>
            <x15:v>-0.66666666666666674</x15:v>
            <x15:x in="0"/>
          </x15:c>
        </x15:pivotRow>
        <x15:pivotRow count="1">
          <x15:c>
            <x15:v>-0.70101010101010108</x15:v>
            <x15:x in="0"/>
          </x15:c>
        </x15:pivotRow>
        <x15:pivotRow count="1">
          <x15:c>
            <x15:v>-0.85677083333333337</x15:v>
            <x15:x in="0"/>
          </x15:c>
        </x15:pivotRow>
        <x15:pivotRow count="1">
          <x15:c>
            <x15:v>-0.86888454011741678</x15:v>
            <x15:x in="0"/>
          </x15:c>
        </x15:pivotRow>
        <x15:pivotRow count="1">
          <x15:c>
            <x15:v>-0.90731707317073174</x15:v>
            <x15:x in="0"/>
          </x15:c>
        </x15:pivotRow>
        <x15:pivotRow count="1">
          <x15:c>
            <x15:v>-0.94226327944572752</x15:v>
            <x15:x in="0"/>
          </x15:c>
        </x15:pivotRow>
        <x15:pivotRow count="1">
          <x15:c>
            <x15:v>0</x15:v>
            <x15:x in="0"/>
          </x15:c>
        </x15:pivotRow>
        <x15:pivotRow count="1">
          <x15:c>
            <x15:v>-0.567729783537954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Items]"/>
        <x15:activeTabTopLevelEntity name="[FactProgress]"/>
        <x15:activeTabTopLevelEntity name="[DimProje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82DE5-2680-47ED-A44B-A6C51BEEBB32}" name="PivotChartTable1" cacheId="44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A1:C12" firstHeaderRow="0" firstDataRow="1" firstDataCol="1"/>
  <pivotFields count="3">
    <pivotField axis="axisRow" allDrilled="1" subtotalTop="0" showAll="0" sortType="de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1"/>
    </i>
    <i>
      <x v="2"/>
    </i>
    <i>
      <x v="7"/>
    </i>
    <i>
      <x v="4"/>
    </i>
    <i>
      <x v="5"/>
    </i>
    <i>
      <x/>
    </i>
    <i>
      <x v="9"/>
    </i>
    <i>
      <x v="6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lanned Cost" fld="2" subtotal="count" baseField="0" baseItem="2"/>
    <dataField name="Actual Cost" fld="1" subtotal="count" baseField="0" baseItem="2"/>
  </dataFields>
  <chartFormats count="2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ctual Cos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lanned Cos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&quot;S/&quot; #,0.00;-&quot;S/&quot; #,0.00;&quot;S/&quot; #,0.00"/>
      </x15:pivotTableServerFormats>
    </ext>
    <ext xmlns:x15="http://schemas.microsoft.com/office/spreadsheetml/2010/11/main" uri="{44433962-1CF7-4059-B4EE-95C3D5FFCF73}">
      <x15:pivotTableData rowCount="11" columnCount="2" cacheId="1860550359">
        <x15:pivotRow count="2">
          <x15:c>
            <x15:v>7930000</x15:v>
            <x15:x in="0"/>
          </x15:c>
          <x15:c>
            <x15:v>155000</x15:v>
            <x15:x in="0"/>
          </x15:c>
        </x15:pivotRow>
        <x15:pivotRow count="2">
          <x15:c>
            <x15:v>7482000</x15:v>
            <x15:x in="0"/>
          </x15:c>
          <x15:c>
            <x15:v>5984000</x15:v>
            <x15:x in="0"/>
          </x15:c>
        </x15:pivotRow>
        <x15:pivotRow count="2">
          <x15:c>
            <x15:v>6036000</x15:v>
            <x15:x in="0"/>
          </x15:c>
          <x15:c>
            <x15:v>0</x15:v>
            <x15:x in="0"/>
          </x15:c>
        </x15:pivotRow>
        <x15:pivotRow count="2">
          <x15:c>
            <x15:v>5570000</x15:v>
            <x15:x in="0"/>
          </x15:c>
          <x15:c>
            <x15:v>2482000</x15:v>
            <x15:x in="0"/>
          </x15:c>
        </x15:pivotRow>
        <x15:pivotRow count="2">
          <x15:c>
            <x15:v>5060000</x15:v>
            <x15:x in="0"/>
          </x15:c>
          <x15:c>
            <x15:v>4773000</x15:v>
            <x15:x in="0"/>
          </x15:c>
        </x15:pivotRow>
        <x15:pivotRow count="2">
          <x15:c>
            <x15:v>4950000</x15:v>
            <x15:x in="0"/>
          </x15:c>
          <x15:c>
            <x15:v>890000</x15:v>
            <x15:x in="0"/>
          </x15:c>
        </x15:pivotRow>
        <x15:pivotRow count="2">
          <x15:c>
            <x15:v>4267000</x15:v>
            <x15:x in="0"/>
          </x15:c>
          <x15:c>
            <x15:v>3358000</x15:v>
            <x15:x in="0"/>
          </x15:c>
        </x15:pivotRow>
        <x15:pivotRow count="2">
          <x15:c>
            <x15:v>4110000</x15:v>
            <x15:x in="0"/>
          </x15:c>
          <x15:c>
            <x15:v>4212500</x15:v>
            <x15:x in="0"/>
          </x15:c>
        </x15:pivotRow>
        <x15:pivotRow count="2">
          <x15:c>
            <x15:v>3401000</x15:v>
            <x15:x in="0"/>
          </x15:c>
          <x15:c>
            <x15:v>292000</x15:v>
            <x15:x in="0"/>
          </x15:c>
        </x15:pivotRow>
        <x15:pivotRow count="2">
          <x15:c>
            <x15:v>2427000</x15:v>
            <x15:x in="0"/>
          </x15:c>
          <x15:c>
            <x15:v>0</x15:v>
            <x15:x in="0"/>
          </x15:c>
        </x15:pivotRow>
        <x15:pivotRow count="2">
          <x15:c>
            <x15:v>51233000</x15:v>
            <x15:x in="0"/>
          </x15:c>
          <x15:c>
            <x15:v>22146500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Project]"/>
        <x15:activeTabTopLevelEntity name="[FactProgres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6A05A-D667-48C4-B3C4-24CD7F5675DD}" name="PivotChartTable2" cacheId="50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2">
  <location ref="A1:B8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Budget" fld="1" subtotal="count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DimProject].[Location].&amp;[San Borja, Lima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&quot;S/&quot; #,0.00;-&quot;S/&quot; #,0.00;&quot;S/&quot; #,0.00"/>
      </x15:pivotTableServerFormats>
    </ext>
    <ext xmlns:x15="http://schemas.microsoft.com/office/spreadsheetml/2010/11/main" uri="{44433962-1CF7-4059-B4EE-95C3D5FFCF73}">
      <x15:pivotTableData rowCount="7" columnCount="1" cacheId="23494731">
        <x15:pivotRow count="1">
          <x15:c>
            <x15:v>0.12677878395860284</x15:v>
            <x15:x in="0"/>
          </x15:c>
        </x15:pivotRow>
        <x15:pivotRow count="1">
          <x15:c>
            <x15:v>5.8214747736093142E-2</x15:v>
            <x15:x in="0"/>
          </x15:c>
        </x15:pivotRow>
        <x15:pivotRow count="1">
          <x15:c>
            <x15:v>0.19663648124191463</x15:v>
            <x15:x in="0"/>
          </x15:c>
        </x15:pivotRow>
        <x15:pivotRow count="1">
          <x15:c>
            <x15:v>0.314359637774903</x15:v>
            <x15:x in="0"/>
          </x15:c>
        </x15:pivotRow>
        <x15:pivotRow count="1">
          <x15:c>
            <x15:v>0.16170763260025872</x15:v>
            <x15:x in="0"/>
          </x15:c>
        </x15:pivotRow>
        <x15:pivotRow count="1">
          <x15:c>
            <x15:v>0.14230271668822769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Project]"/>
        <x15:activeTabTopLevelEntity name="[FactProgress]"/>
        <x15:activeTabTopLevelEntity name="[DimItems]"/>
        <x15:activeTabTopLevelEntity name="[DimOwner]"/>
        <x15:activeTabTopLevelEntity name="[DimProjectMan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78449-70AC-44AC-9E1B-42ED9012D636}" name="PivotChartTable3" cacheId="50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2">
  <location ref="A1:B7" firstHeaderRow="1" firstDataRow="1" firstDataCol="1"/>
  <pivotFields count="2">
    <pivotField axis="axisRow" allDrilled="1" subtotalTop="0" showAll="0" measureFilter="1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Actual Progress(%)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Progress(%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filters count="1">
    <filter fld="0" type="count" id="3" iMeasureHier="61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6" columnCount="1" cacheId="1313080421">
        <x15:pivotRow count="1">
          <x15:c>
            <x15:v>0.54893617021276597</x15:v>
            <x15:x in="0"/>
          </x15:c>
        </x15:pivotRow>
        <x15:pivotRow count="1">
          <x15:c>
            <x15:v>0.67950481430536447</x15:v>
            <x15:x in="0"/>
          </x15:c>
        </x15:pivotRow>
        <x15:pivotRow count="1">
          <x15:c>
            <x15:v>0.79864253393665163</x15:v>
            <x15:x in="0"/>
          </x15:c>
        </x15:pivotRow>
        <x15:pivotRow count="1">
          <x15:c>
            <x15:v>0.89823008849557517</x15:v>
            <x15:x in="0"/>
          </x15:c>
        </x15:pivotRow>
        <x15:pivotRow count="1">
          <x15:c>
            <x15:v>0.98399999999999999</x15:v>
            <x15:x in="0"/>
          </x15:c>
        </x15:pivotRow>
        <x15:pivotRow count="1">
          <x15:c>
            <x15:v>0.78450704225352108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Project]"/>
        <x15:activeTabTopLevelEntity name="[FactProgres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4E210-2B4F-4F92-A251-06497896E6B3}" name="PivotChartTable4" cacheId="494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6">
  <location ref="A1:C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lanned" fld="0" subtotal="count" baseField="0" baseItem="0"/>
    <dataField name="Actual" fld="1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lanne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6" columnCount="2" cacheId="611409721">
        <x15:pivotRow count="2">
          <x15:c>
            <x15:v>0.43725490196078431</x15:v>
            <x15:x in="0"/>
          </x15:c>
          <x15:c>
            <x15:v>0.85852090032154338</x15:v>
            <x15:x in="0"/>
          </x15:c>
        </x15:pivotRow>
        <x15:pivotRow count="2">
          <x15:c>
            <x15:v>1</x15:v>
            <x15:x in="0"/>
          </x15:c>
          <x15:c>
            <x15:v>0.58770883054892598</x15:v>
            <x15:x in="0"/>
          </x15:c>
        </x15:pivotRow>
        <x15:pivotRow count="2">
          <x15:c>
            <x15:v>0.73722627737226276</x15:v>
            <x15:x in="0"/>
          </x15:c>
          <x15:c>
            <x15:v>0.78617710583153344</x15:v>
            <x15:x in="0"/>
          </x15:c>
        </x15:pivotRow>
        <x15:pivotRow count="2">
          <x15:c>
            <x15:v>0.8039538714991763</x15:v>
            <x15:x in="0"/>
          </x15:c>
          <x15:c>
            <x15:v>0.49156118143459915</x15:v>
            <x15:x in="0"/>
          </x15:c>
        </x15:pivotRow>
        <x15:pivotRow count="2">
          <x15:c>
            <x15:v>5.7731958762886601E-2</x15:v>
            <x15:x in="0"/>
          </x15:c>
          <x15:c>
            <x15:v>0.78947368421052633</x15:v>
            <x15:x in="0"/>
          </x15:c>
        </x15:pivotRow>
        <x15:pivotRow count="2">
          <x15:c>
            <x15:v>1</x15:v>
            <x15:x in="0"/>
          </x15:c>
          <x15:c>
            <x15:v>0.61466821885913858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tProgress]"/>
        <x15:activeTabTopLevelEntity name="[DimItems]"/>
        <x15:activeTabTopLevelEntity name="[DimProje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AB19E-1125-497C-8146-9020533C527B}" name="PivotChartTable6" cacheId="49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5">
  <location ref="A1:B7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st Variance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st Varianc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6" columnCount="1" cacheId="1781345985">
        <x15:pivotRow count="1">
          <x15:c>
            <x15:v>-0.16353754940711462</x15:v>
            <x15:x in="0"/>
          </x15:c>
        </x15:pivotRow>
        <x15:pivotRow count="1">
          <x15:c>
            <x15:v>-0.4811053770600966</x15:v>
            <x15:x in="0"/>
          </x15:c>
        </x15:pivotRow>
        <x15:pivotRow count="1">
          <x15:c>
            <x15:v>-0.49230769230769234</x15:v>
            <x15:x in="0"/>
          </x15:c>
        </x15:pivotRow>
        <x15:pivotRow count="1">
          <x15:c>
            <x15:v>-0.80925718551698389</x15:v>
            <x15:x in="0"/>
          </x15:c>
        </x15:pivotRow>
        <x15:pivotRow count="1">
          <x15:c>
            <x15:v>-0.95941558441558439</x15:v>
            <x15:x in="0"/>
          </x15:c>
        </x15:pivotRow>
        <x15:pivotRow count="1">
          <x15:c>
            <x15:v>-0.567729783537954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Items]"/>
        <x15:activeTabTopLevelEntity name="[FactProgress]"/>
        <x15:activeTabTopLevelEntity name="[DimProje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02D99-1F70-4D68-B6F7-06A6EBCD55A0}" name="PivotChartTable7" cacheId="50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A1:B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ritical Item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ritical Item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16" columnCount="1" cacheId="271586288"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0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0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0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tProgress]"/>
        <x15:activeTabTopLevelEntity name="[DimItems]"/>
        <x15:activeTabTopLevelEntity name="[DimProje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779B3-A865-4918-8C9D-392646363F51}" name="TablaDinámica1" cacheId="446" applyNumberFormats="0" applyBorderFormats="0" applyFontFormats="0" applyPatternFormats="0" applyAlignmentFormats="0" applyWidthHeightFormats="1" dataCaption="Valores" tag="472f4bec-a91c-44fa-bed8-0616b740186a" updatedVersion="8" minRefreshableVersion="3" subtotalHiddenItems="1" rowGrandTotals="0" colGrandTotals="0" itemPrintTitles="1" createdVersion="5" indent="0" outline="1" outlineData="1" multipleFieldFilters="0" rowHeaderCaption="Project Name">
  <location ref="C27:N37" firstHeaderRow="0" firstDataRow="1" firstDataCol="1"/>
  <pivotFields count="12">
    <pivotField axis="axisRow"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howAll="0"/>
  </pivotFields>
  <rowFields count="1">
    <field x="0"/>
  </rowFields>
  <rowItems count="10">
    <i>
      <x v="6"/>
    </i>
    <i>
      <x v="4"/>
    </i>
    <i>
      <x v="9"/>
    </i>
    <i>
      <x v="5"/>
    </i>
    <i>
      <x/>
    </i>
    <i>
      <x v="2"/>
    </i>
    <i>
      <x v="1"/>
    </i>
    <i>
      <x v="8"/>
    </i>
    <i>
      <x v="3"/>
    </i>
    <i>
      <x v="7"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lanned Cost" fld="7" subtotal="count" baseField="0" baseItem="1" numFmtId="166"/>
    <dataField name="Actual Cost" fld="1" subtotal="count" baseField="0" baseItem="2" numFmtId="166"/>
    <dataField name="Cost Progress(%)" fld="3" subtotal="count" baseField="0" baseItem="0"/>
    <dataField name="Alert Cost" fld="5" subtotal="count" baseField="0" baseItem="0"/>
    <dataField name="KPI Cost" fld="8" subtotal="count" baseField="0" baseItem="0"/>
    <dataField name="CPI" fld="6" subtotal="count" baseField="0" baseItem="0"/>
    <dataField name="KPI CPI" fld="10" subtotal="count" baseField="0" baseItem="0"/>
    <dataField name="Actual Progress(%)" fld="2" subtotal="count" baseField="0" baseItem="0"/>
    <dataField name="Alert Progress" fld="4" subtotal="count" baseField="0" baseItem="1" numFmtId="166"/>
    <dataField name="KPI Progress" fld="9" subtotal="count" baseField="0" baseItem="0"/>
    <dataField fld="11" subtotal="count" baseField="0" baseItem="0"/>
  </dataFields>
  <formats count="103">
    <format dxfId="3292">
      <pivotArea type="all" dataOnly="0" outline="0" fieldPosition="0"/>
    </format>
    <format dxfId="3291">
      <pivotArea outline="0" collapsedLevelsAreSubtotals="1" fieldPosition="0"/>
    </format>
    <format dxfId="3290">
      <pivotArea dataOnly="0" labelOnly="1" grandRow="1" outline="0" fieldPosition="0"/>
    </format>
    <format dxfId="328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88">
      <pivotArea type="all" dataOnly="0" outline="0" fieldPosition="0"/>
    </format>
    <format dxfId="3287">
      <pivotArea outline="0" collapsedLevelsAreSubtotals="1" fieldPosition="0"/>
    </format>
    <format dxfId="3286">
      <pivotArea dataOnly="0" labelOnly="1" grandRow="1" outline="0" fieldPosition="0"/>
    </format>
    <format dxfId="328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84">
      <pivotArea type="all" dataOnly="0" outline="0" fieldPosition="0"/>
    </format>
    <format dxfId="3283">
      <pivotArea dataOnly="0" labelOnly="1" grandRow="1" outline="0" fieldPosition="0"/>
    </format>
    <format dxfId="328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81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328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27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278">
      <pivotArea field="0" type="button" dataOnly="0" labelOnly="1" outline="0" axis="axisRow" fieldPosition="0"/>
    </format>
    <format dxfId="327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76">
      <pivotArea field="0" type="button" dataOnly="0" labelOnly="1" outline="0" axis="axisRow" fieldPosition="0"/>
    </format>
    <format dxfId="327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74">
      <pivotArea field="0" type="button" dataOnly="0" labelOnly="1" outline="0" axis="axisRow" fieldPosition="0"/>
    </format>
    <format dxfId="327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72">
      <pivotArea grandRow="1" outline="0" collapsedLevelsAreSubtotals="1" fieldPosition="0"/>
    </format>
    <format dxfId="3271">
      <pivotArea dataOnly="0" labelOnly="1" grandRow="1" outline="0" fieldPosition="0"/>
    </format>
    <format dxfId="3270">
      <pivotArea grandRow="1" outline="0" collapsedLevelsAreSubtotals="1" fieldPosition="0"/>
    </format>
    <format dxfId="3269">
      <pivotArea dataOnly="0" labelOnly="1" grandRow="1" outline="0" fieldPosition="0"/>
    </format>
    <format dxfId="3268">
      <pivotArea field="0" type="button" dataOnly="0" labelOnly="1" outline="0" axis="axisRow" fieldPosition="0"/>
    </format>
    <format dxfId="326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66">
      <pivotArea dataOnly="0" labelOnly="1" grandRow="1" outline="0" fieldPosition="0"/>
    </format>
    <format dxfId="3265">
      <pivotArea type="all" dataOnly="0" outline="0" fieldPosition="0"/>
    </format>
    <format dxfId="3264">
      <pivotArea outline="0" collapsedLevelsAreSubtotals="1" fieldPosition="0"/>
    </format>
    <format dxfId="3263">
      <pivotArea field="0" type="button" dataOnly="0" labelOnly="1" outline="0" axis="axisRow" fieldPosition="0"/>
    </format>
    <format dxfId="3262">
      <pivotArea dataOnly="0" labelOnly="1" fieldPosition="0">
        <references count="1">
          <reference field="0" count="0"/>
        </references>
      </pivotArea>
    </format>
    <format dxfId="3261">
      <pivotArea dataOnly="0" labelOnly="1" grandRow="1" outline="0" fieldPosition="0"/>
    </format>
    <format dxfId="326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59">
      <pivotArea type="all" dataOnly="0" outline="0" fieldPosition="0"/>
    </format>
    <format dxfId="3258">
      <pivotArea outline="0" collapsedLevelsAreSubtotals="1" fieldPosition="0"/>
    </format>
    <format dxfId="3257">
      <pivotArea field="0" type="button" dataOnly="0" labelOnly="1" outline="0" axis="axisRow" fieldPosition="0"/>
    </format>
    <format dxfId="3256">
      <pivotArea dataOnly="0" labelOnly="1" fieldPosition="0">
        <references count="1">
          <reference field="0" count="0"/>
        </references>
      </pivotArea>
    </format>
    <format dxfId="3255">
      <pivotArea dataOnly="0" labelOnly="1" grandRow="1" outline="0" fieldPosition="0"/>
    </format>
    <format dxfId="325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53">
      <pivotArea field="0" type="button" dataOnly="0" labelOnly="1" outline="0" axis="axisRow" fieldPosition="0"/>
    </format>
    <format dxfId="325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51">
      <pivotArea grandRow="1" outline="0" collapsedLevelsAreSubtotals="1" fieldPosition="0"/>
    </format>
    <format dxfId="3250">
      <pivotArea dataOnly="0" labelOnly="1" grandRow="1" outline="0" fieldPosition="0"/>
    </format>
    <format dxfId="3249">
      <pivotArea type="all" dataOnly="0" outline="0" fieldPosition="0"/>
    </format>
    <format dxfId="3248">
      <pivotArea outline="0" collapsedLevelsAreSubtotals="1" fieldPosition="0"/>
    </format>
    <format dxfId="3247">
      <pivotArea field="0" type="button" dataOnly="0" labelOnly="1" outline="0" axis="axisRow" fieldPosition="0"/>
    </format>
    <format dxfId="3246">
      <pivotArea dataOnly="0" labelOnly="1" fieldPosition="0">
        <references count="1">
          <reference field="0" count="0"/>
        </references>
      </pivotArea>
    </format>
    <format dxfId="3245">
      <pivotArea dataOnly="0" labelOnly="1" grandRow="1" outline="0" fieldPosition="0"/>
    </format>
    <format dxfId="32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243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242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241">
      <pivotArea type="all" dataOnly="0" outline="0" fieldPosition="0"/>
    </format>
    <format dxfId="3240">
      <pivotArea outline="0" collapsedLevelsAreSubtotals="1" fieldPosition="0"/>
    </format>
    <format dxfId="3239">
      <pivotArea dataOnly="0" labelOnly="1" fieldPosition="0">
        <references count="1">
          <reference field="0" count="0"/>
        </references>
      </pivotArea>
    </format>
    <format dxfId="3238">
      <pivotArea dataOnly="0" labelOnly="1" grandRow="1" outline="0" fieldPosition="0"/>
    </format>
    <format dxfId="3237">
      <pivotArea field="0" type="button" dataOnly="0" labelOnly="1" outline="0" axis="axisRow" fieldPosition="0"/>
    </format>
    <format dxfId="323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35">
      <pivotArea field="0" type="button" dataOnly="0" labelOnly="1" outline="0" axis="axisRow" fieldPosition="0"/>
    </format>
    <format dxfId="323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33">
      <pivotArea outline="0" fieldPosition="0">
        <references count="1">
          <reference field="4294967294" count="1">
            <x v="8"/>
          </reference>
        </references>
      </pivotArea>
    </format>
    <format dxfId="3232">
      <pivotArea outline="0" fieldPosition="0">
        <references count="1">
          <reference field="4294967294" count="1">
            <x v="1"/>
          </reference>
        </references>
      </pivotArea>
    </format>
    <format dxfId="3231">
      <pivotArea outline="0" fieldPosition="0">
        <references count="1">
          <reference field="4294967294" count="1">
            <x v="0"/>
          </reference>
        </references>
      </pivotArea>
    </format>
    <format dxfId="3230">
      <pivotArea type="all" dataOnly="0" outline="0" fieldPosition="0"/>
    </format>
    <format dxfId="3229">
      <pivotArea outline="0" collapsedLevelsAreSubtotals="1" fieldPosition="0"/>
    </format>
    <format dxfId="3228">
      <pivotArea field="0" type="button" dataOnly="0" labelOnly="1" outline="0" axis="axisRow" fieldPosition="0"/>
    </format>
    <format dxfId="3227">
      <pivotArea dataOnly="0" labelOnly="1" fieldPosition="0">
        <references count="1">
          <reference field="0" count="0"/>
        </references>
      </pivotArea>
    </format>
    <format dxfId="3226">
      <pivotArea dataOnly="0" labelOnly="1" grandRow="1" outline="0" fieldPosition="0"/>
    </format>
    <format dxfId="3225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24">
      <pivotArea collapsedLevelsAreSubtotals="1" fieldPosition="0">
        <references count="1">
          <reference field="0" count="0"/>
        </references>
      </pivotArea>
    </format>
    <format dxfId="3223">
      <pivotArea dataOnly="0" labelOnly="1" fieldPosition="0">
        <references count="1">
          <reference field="0" count="0"/>
        </references>
      </pivotArea>
    </format>
    <format dxfId="3222">
      <pivotArea field="0" type="button" dataOnly="0" labelOnly="1" outline="0" axis="axisRow" fieldPosition="0"/>
    </format>
    <format dxfId="322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20">
      <pivotArea field="0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3219">
      <pivotArea field="0" dataOnly="0" grandRow="1" axis="axisRow" fieldPosition="0">
        <references count="1">
          <reference field="0" count="0"/>
        </references>
      </pivotArea>
    </format>
    <format dxfId="3218">
      <pivotArea field="0" dataOnly="0" grandRow="1" axis="axisRow" fieldPosition="0">
        <references count="1">
          <reference field="0" count="0"/>
        </references>
      </pivotArea>
    </format>
    <format dxfId="3217">
      <pivotArea dataOnly="0" grandRow="1" fieldPosition="0"/>
    </format>
    <format dxfId="3216">
      <pivotArea grandRow="1" outline="0" collapsedLevelsAreSubtotals="1" fieldPosition="0"/>
    </format>
    <format dxfId="3215">
      <pivotArea dataOnly="0" labelOnly="1" grandRow="1" outline="0" fieldPosition="0"/>
    </format>
    <format dxfId="3214">
      <pivotArea type="all" dataOnly="0" outline="0" fieldPosition="0"/>
    </format>
    <format dxfId="3213">
      <pivotArea outline="0" collapsedLevelsAreSubtotals="1" fieldPosition="0"/>
    </format>
    <format dxfId="3212">
      <pivotArea field="0" type="button" dataOnly="0" labelOnly="1" outline="0" axis="axisRow" fieldPosition="0"/>
    </format>
    <format dxfId="3211">
      <pivotArea dataOnly="0" labelOnly="1" fieldPosition="0">
        <references count="1">
          <reference field="0" count="0"/>
        </references>
      </pivotArea>
    </format>
    <format dxfId="321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09">
      <pivotArea dataOnly="0" fieldPosition="0">
        <references count="1">
          <reference field="0" count="0"/>
        </references>
      </pivotArea>
    </format>
    <format dxfId="3208">
      <pivotArea type="all" dataOnly="0" outline="0" fieldPosition="0"/>
    </format>
    <format dxfId="3207">
      <pivotArea field="0" type="button" dataOnly="0" labelOnly="1" outline="0" axis="axisRow" fieldPosition="0"/>
    </format>
    <format dxfId="320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05">
      <pivotArea outline="0" collapsedLevelsAreSubtotals="1" fieldPosition="0"/>
    </format>
    <format dxfId="3204">
      <pivotArea dataOnly="0" labelOnly="1" fieldPosition="0">
        <references count="1">
          <reference field="0" count="0"/>
        </references>
      </pivotArea>
    </format>
    <format dxfId="3203">
      <pivotArea type="all" dataOnly="0" outline="0" fieldPosition="0"/>
    </format>
    <format dxfId="3202">
      <pivotArea outline="0" collapsedLevelsAreSubtotals="1" fieldPosition="0"/>
    </format>
    <format dxfId="3201">
      <pivotArea field="0" type="button" dataOnly="0" labelOnly="1" outline="0" axis="axisRow" fieldPosition="0"/>
    </format>
    <format dxfId="320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9">
      <pivotArea field="0" type="button" dataOnly="0" labelOnly="1" outline="0" axis="axisRow" fieldPosition="0"/>
    </format>
    <format dxfId="3198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7">
      <pivotArea field="0" type="button" dataOnly="0" labelOnly="1" outline="0" axis="axisRow" fieldPosition="0"/>
    </format>
    <format dxfId="319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5">
      <pivotArea field="0" type="button" dataOnly="0" labelOnly="1" outline="0" axis="axisRow" fieldPosition="0"/>
    </format>
    <format dxfId="319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3">
      <pivotArea dataOnly="0" fieldPosition="0">
        <references count="1">
          <reference field="0" count="0"/>
        </references>
      </pivotArea>
    </format>
    <format dxfId="3192">
      <pivotArea field="0" type="button" dataOnly="0" labelOnly="1" outline="0" axis="axisRow" fieldPosition="0"/>
    </format>
    <format dxfId="319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0">
      <pivotArea field="0" dataOnly="0" grandRow="1" axis="axisRow" fieldPosition="0">
        <references count="1">
          <reference field="0" count="1">
            <x v="7"/>
          </reference>
        </references>
      </pivotArea>
    </format>
  </formats>
  <conditionalFormats count="8">
    <conditionalFormat scope="data" priority="9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9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ctual Cost"/>
    <pivotHierarchy dragToRow="0" dragToCol="0" dragToPage="0" dragToData="1"/>
    <pivotHierarchy dragToRow="0" dragToCol="0" dragToPage="0" dragToData="1" caption="Cost Progress(%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Progress(%)"/>
    <pivotHierarchy dragToRow="0" dragToCol="0" dragToPage="0" dragToData="1" caption="Alert Progress"/>
    <pivotHierarchy dragToRow="0" dragToCol="0" dragToPage="0" dragToData="1" caption="Alert Cost"/>
    <pivotHierarchy dragToRow="0" dragToCol="0" dragToPage="0" dragToData="1" caption="CPI"/>
    <pivotHierarchy dragToRow="0" dragToCol="0" dragToPage="0" dragToData="1" caption="Planned Cos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PI Cost"/>
    <pivotHierarchy dragToRow="0" dragToCol="0" dragToPage="0" dragToData="1"/>
    <pivotHierarchy dragToRow="0" dragToCol="0" dragToPage="0" dragToData="1" caption="KPI CPI"/>
    <pivotHierarchy dragToRow="0" dragToCol="0" dragToPage="0" dragToData="1"/>
    <pivotHierarchy dragToRow="0" dragToCol="0" dragToPage="0" dragToData="1" caption="KPI Progress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ject]"/>
        <x15:activeTabTopLevelEntity name="[FactProgress]"/>
        <x15:activeTabTopLevelEntity name="[DimItems]"/>
        <x15:activeTabTopLevelEntity name="FactProgress" type="1"/>
        <x15:activeTabTopLevelEntity name="[DimProjectManagemen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25CE7-F14F-4277-9656-4A3835A0E850}" name="TablaDinámica1" cacheId="482" applyNumberFormats="0" applyBorderFormats="0" applyFontFormats="0" applyPatternFormats="0" applyAlignmentFormats="0" applyWidthHeightFormats="1" dataCaption="Valores" tag="25c43a09-c073-455e-84bc-34b20f913c0d" updatedVersion="8" minRefreshableVersion="3" subtotalHiddenItems="1" rowGrandTotals="0" colGrandTotals="0" itemPrintTitles="1" createdVersion="8" indent="0" compact="0" compactData="0" multipleFieldFilters="0">
  <location ref="C29:G44" firstHeaderRow="0" firstDataRow="1" firstDataCol="2"/>
  <pivotFields count="6">
    <pivotField axis="axisRow" compact="0" allDrilled="1" outline="0" showAll="0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Item " axis="axisRow" compact="0" allDrilled="1" outline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">
    <i>
      <x/>
      <x/>
    </i>
    <i r="1">
      <x v="1"/>
    </i>
    <i>
      <x v="1"/>
      <x v="2"/>
    </i>
    <i r="1">
      <x v="3"/>
    </i>
    <i r="1">
      <x v="4"/>
    </i>
    <i r="1">
      <x v="5"/>
    </i>
    <i>
      <x v="2"/>
      <x v="6"/>
    </i>
    <i r="1">
      <x v="7"/>
    </i>
    <i r="1">
      <x v="8"/>
    </i>
    <i>
      <x v="3"/>
      <x v="9"/>
    </i>
    <i r="1">
      <x v="10"/>
    </i>
    <i r="1">
      <x v="11"/>
    </i>
    <i r="1">
      <x v="12"/>
    </i>
    <i>
      <x v="4"/>
      <x v="13"/>
    </i>
    <i r="1"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Planned Progress" fld="3" subtotal="count" baseField="1" baseItem="0"/>
    <dataField name="Actual Progress" fld="2" subtotal="count" baseField="1" baseItem="0"/>
    <dataField name="CPI" fld="4" subtotal="count" baseField="1" baseItem="8"/>
  </dataFields>
  <formats count="36">
    <format dxfId="3189">
      <pivotArea type="all" dataOnly="0" outline="0" fieldPosition="0"/>
    </format>
    <format dxfId="3188">
      <pivotArea outline="0" collapsedLevelsAreSubtotals="1" fieldPosition="0"/>
    </format>
    <format dxfId="3187">
      <pivotArea field="0" type="button" dataOnly="0" labelOnly="1" outline="0" axis="axisRow" fieldPosition="0"/>
    </format>
    <format dxfId="3186">
      <pivotArea field="1" type="button" dataOnly="0" labelOnly="1" outline="0" axis="axisRow" fieldPosition="1"/>
    </format>
    <format dxfId="3185">
      <pivotArea dataOnly="0" labelOnly="1" outline="0" fieldPosition="0">
        <references count="1">
          <reference field="0" count="0"/>
        </references>
      </pivotArea>
    </format>
    <format dxfId="3184">
      <pivotArea dataOnly="0" labelOnly="1" grandRow="1" outline="0" fieldPosition="0"/>
    </format>
    <format dxfId="31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82">
      <pivotArea type="all" dataOnly="0" outline="0" fieldPosition="0"/>
    </format>
    <format dxfId="3181">
      <pivotArea outline="0" collapsedLevelsAreSubtotals="1" fieldPosition="0"/>
    </format>
    <format dxfId="3180">
      <pivotArea field="0" type="button" dataOnly="0" labelOnly="1" outline="0" axis="axisRow" fieldPosition="0"/>
    </format>
    <format dxfId="3179">
      <pivotArea field="1" type="button" dataOnly="0" labelOnly="1" outline="0" axis="axisRow" fieldPosition="1"/>
    </format>
    <format dxfId="3178">
      <pivotArea dataOnly="0" labelOnly="1" outline="0" fieldPosition="0">
        <references count="1">
          <reference field="0" count="0"/>
        </references>
      </pivotArea>
    </format>
    <format dxfId="3177">
      <pivotArea dataOnly="0" labelOnly="1" grandRow="1" outline="0" fieldPosition="0"/>
    </format>
    <format dxfId="3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75">
      <pivotArea field="0" type="button" dataOnly="0" labelOnly="1" outline="0" axis="axisRow" fieldPosition="0"/>
    </format>
    <format dxfId="3174">
      <pivotArea field="1" type="button" dataOnly="0" labelOnly="1" outline="0" axis="axisRow" fieldPosition="1"/>
    </format>
    <format dxfId="3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72">
      <pivotArea field="0" type="button" dataOnly="0" labelOnly="1" outline="0" axis="axisRow" fieldPosition="0"/>
    </format>
    <format dxfId="3171">
      <pivotArea field="1" type="button" dataOnly="0" labelOnly="1" outline="0" axis="axisRow" fieldPosition="1"/>
    </format>
    <format dxfId="31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69">
      <pivotArea field="0" type="button" dataOnly="0" labelOnly="1" outline="0" axis="axisRow" fieldPosition="0"/>
    </format>
    <format dxfId="3168">
      <pivotArea field="1" type="button" dataOnly="0" labelOnly="1" outline="0" axis="axisRow" fieldPosition="1"/>
    </format>
    <format dxfId="31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66">
      <pivotArea outline="0" collapsedLevelsAreSubtotals="1" fieldPosition="0"/>
    </format>
    <format dxfId="3165">
      <pivotArea dataOnly="0" labelOnly="1" outline="0" fieldPosition="0">
        <references count="1">
          <reference field="0" count="0"/>
        </references>
      </pivotArea>
    </format>
    <format dxfId="3164">
      <pivotArea type="all" dataOnly="0" outline="0" fieldPosition="0"/>
    </format>
    <format dxfId="3163">
      <pivotArea outline="0" collapsedLevelsAreSubtotals="1" fieldPosition="0"/>
    </format>
    <format dxfId="3162">
      <pivotArea field="0" type="button" dataOnly="0" labelOnly="1" outline="0" axis="axisRow" fieldPosition="0"/>
    </format>
    <format dxfId="3161">
      <pivotArea field="1" type="button" dataOnly="0" labelOnly="1" outline="0" axis="axisRow" fieldPosition="1"/>
    </format>
    <format dxfId="3160">
      <pivotArea dataOnly="0" labelOnly="1" outline="0" fieldPosition="0">
        <references count="1">
          <reference field="0" count="0"/>
        </references>
      </pivotArea>
    </format>
    <format dxfId="3159">
      <pivotArea dataOnly="0" labelOnly="1" outline="0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158">
      <pivotArea dataOnly="0" labelOnly="1" outline="0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157">
      <pivotArea dataOnly="0" labelOnly="1" outline="0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156">
      <pivotArea dataOnly="0" labelOnly="1" outline="0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155">
      <pivotArea dataOnly="0" labelOnly="1" outline="0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tem 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lanned Progres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Progres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PI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imItems]"/>
        <x15:activeTabTopLevelEntity name="[FactProgress]"/>
        <x15:activeTabTopLevelEntity name="[DimProje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634E8-4615-4759-9D19-3A84D4D9B550}" name="TablaDinámica3" cacheId="500" applyNumberFormats="0" applyBorderFormats="0" applyFontFormats="0" applyPatternFormats="0" applyAlignmentFormats="0" applyWidthHeightFormats="1" dataCaption="Valores" tag="3fcc94b7-0778-48d6-8c13-6b5032afd1d8" updatedVersion="8" minRefreshableVersion="5" rowGrandTotals="0" colGrandTotals="0" itemPrintTitles="1" createdVersion="8" indent="0" outline="1" outlineData="1" multipleFieldFilters="0" rowHeaderCaption="Task">
  <location ref="C16:I36" firstHeaderRow="0" firstDataRow="1" firstDataCol="1"/>
  <pivotFields count="10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0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r="1">
      <x v="12"/>
    </i>
    <i>
      <x v="4"/>
    </i>
    <i r="1">
      <x v="13"/>
    </i>
    <i r="1">
      <x v="1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lanned Start Date" fld="4" subtotal="count" baseField="1" baseItem="11"/>
    <dataField name="Planned End Date" fld="5" subtotal="count" baseField="1" baseItem="11"/>
    <dataField name="Actual Start Date" fld="6" subtotal="count" baseField="1" baseItem="4"/>
    <dataField name="Actual End Date" fld="7" subtotal="count" baseField="1" baseItem="4"/>
    <dataField name="Actual Progress(%)" fld="8" subtotal="count" baseField="1" baseItem="2" numFmtId="10"/>
    <dataField name="Owner Task" fld="9" subtotal="count" baseField="0" baseItem="0"/>
  </dataFields>
  <formats count="97">
    <format dxfId="3418">
      <pivotArea dataOnly="0" labelOnly="1" fieldPosition="0">
        <references count="1">
          <reference field="0" count="0"/>
        </references>
      </pivotArea>
    </format>
    <format dxfId="341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416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415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414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413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412">
      <pivotArea dataOnly="0" labelOnly="1" fieldPosition="0">
        <references count="1">
          <reference field="0" count="0"/>
        </references>
      </pivotArea>
    </format>
    <format dxfId="341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410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409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408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407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406">
      <pivotArea dataOnly="0" labelOnly="1" fieldPosition="0">
        <references count="1">
          <reference field="0" count="0"/>
        </references>
      </pivotArea>
    </format>
    <format dxfId="3405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404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403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402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401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400">
      <pivotArea dataOnly="0" labelOnly="1" fieldPosition="0">
        <references count="1">
          <reference field="0" count="0"/>
        </references>
      </pivotArea>
    </format>
    <format dxfId="3399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398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397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396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395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394">
      <pivotArea dataOnly="0" labelOnly="1" fieldPosition="0">
        <references count="1">
          <reference field="0" count="0"/>
        </references>
      </pivotArea>
    </format>
    <format dxfId="3393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392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391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390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389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388">
      <pivotArea field="0" type="button" dataOnly="0" labelOnly="1" outline="0" axis="axisRow" fieldPosition="0"/>
    </format>
    <format dxfId="3387">
      <pivotArea field="0" type="button" dataOnly="0" labelOnly="1" outline="0" axis="axisRow" fieldPosition="0"/>
    </format>
    <format dxfId="3386">
      <pivotArea type="all" dataOnly="0" outline="0" fieldPosition="0"/>
    </format>
    <format dxfId="3385">
      <pivotArea field="0" type="button" dataOnly="0" labelOnly="1" outline="0" axis="axisRow" fieldPosition="0"/>
    </format>
    <format dxfId="3384">
      <pivotArea type="all" dataOnly="0" outline="0" fieldPosition="0"/>
    </format>
    <format dxfId="3383">
      <pivotArea field="0" type="button" dataOnly="0" labelOnly="1" outline="0" axis="axisRow" fieldPosition="0"/>
    </format>
    <format dxfId="3382">
      <pivotArea field="0" type="button" dataOnly="0" labelOnly="1" outline="0" axis="axisRow" fieldPosition="0"/>
    </format>
    <format dxfId="3381">
      <pivotArea field="0" type="button" dataOnly="0" labelOnly="1" outline="0" axis="axisRow" fieldPosition="0"/>
    </format>
    <format dxfId="3380">
      <pivotArea type="all" dataOnly="0" outline="0" fieldPosition="0"/>
    </format>
    <format dxfId="3379">
      <pivotArea field="0" type="button" dataOnly="0" labelOnly="1" outline="0" axis="axisRow" fieldPosition="0"/>
    </format>
    <format dxfId="3378">
      <pivotArea dataOnly="0" labelOnly="1" fieldPosition="0">
        <references count="1">
          <reference field="0" count="0"/>
        </references>
      </pivotArea>
    </format>
    <format dxfId="337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376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375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374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373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372">
      <pivotArea type="all" dataOnly="0" outline="0" fieldPosition="0"/>
    </format>
    <format dxfId="3371">
      <pivotArea field="0" type="button" dataOnly="0" labelOnly="1" outline="0" axis="axisRow" fieldPosition="0"/>
    </format>
    <format dxfId="3370">
      <pivotArea dataOnly="0" labelOnly="1" fieldPosition="0">
        <references count="1">
          <reference field="0" count="0"/>
        </references>
      </pivotArea>
    </format>
    <format dxfId="3369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368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367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366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365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364">
      <pivotArea dataOnly="0" fieldPosition="0">
        <references count="2">
          <reference field="0" count="0"/>
          <reference field="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363">
      <pivotArea outline="0" collapsedLevelsAreSubtotals="1" fieldPosition="0"/>
    </format>
    <format dxfId="3362">
      <pivotArea outline="0" collapsedLevelsAreSubtotals="1" fieldPosition="0"/>
    </format>
    <format dxfId="3361">
      <pivotArea outline="0" collapsedLevelsAreSubtotals="1" fieldPosition="0"/>
    </format>
    <format dxfId="33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59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3358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3357">
      <pivotArea outline="0" fieldPosition="0">
        <references count="1">
          <reference field="4294967294" count="1">
            <x v="4"/>
          </reference>
        </references>
      </pivotArea>
    </format>
    <format dxfId="335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35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354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3353">
      <pivotArea dataOnly="0" labelOnly="1" fieldPosition="0">
        <references count="1">
          <reference field="0" count="1">
            <x v="0"/>
          </reference>
        </references>
      </pivotArea>
    </format>
    <format dxfId="3352">
      <pivotArea dataOnly="0" labelOnly="1" fieldPosition="0">
        <references count="1">
          <reference field="0" count="1">
            <x v="1"/>
          </reference>
        </references>
      </pivotArea>
    </format>
    <format dxfId="3351">
      <pivotArea dataOnly="0" labelOnly="1" fieldPosition="0">
        <references count="1">
          <reference field="0" count="1">
            <x v="2"/>
          </reference>
        </references>
      </pivotArea>
    </format>
    <format dxfId="3350">
      <pivotArea dataOnly="0" labelOnly="1" fieldPosition="0">
        <references count="1">
          <reference field="0" count="1">
            <x v="3"/>
          </reference>
        </references>
      </pivotArea>
    </format>
    <format dxfId="3349">
      <pivotArea dataOnly="0" labelOnly="1" fieldPosition="0">
        <references count="1">
          <reference field="0" count="1">
            <x v="4"/>
          </reference>
        </references>
      </pivotArea>
    </format>
    <format dxfId="3348">
      <pivotArea collapsedLevelsAreSubtotals="1" fieldPosition="0">
        <references count="1">
          <reference field="0" count="1">
            <x v="0"/>
          </reference>
        </references>
      </pivotArea>
    </format>
    <format dxfId="3347">
      <pivotArea collapsedLevelsAreSubtotals="1" fieldPosition="0">
        <references count="1">
          <reference field="0" count="1">
            <x v="1"/>
          </reference>
        </references>
      </pivotArea>
    </format>
    <format dxfId="3346">
      <pivotArea collapsedLevelsAreSubtotals="1" fieldPosition="0">
        <references count="1">
          <reference field="0" count="1">
            <x v="2"/>
          </reference>
        </references>
      </pivotArea>
    </format>
    <format dxfId="3345">
      <pivotArea collapsedLevelsAreSubtotals="1" fieldPosition="0">
        <references count="1">
          <reference field="0" count="1">
            <x v="3"/>
          </reference>
        </references>
      </pivotArea>
    </format>
    <format dxfId="3344">
      <pivotArea collapsedLevelsAreSubtotals="1" fieldPosition="0">
        <references count="1">
          <reference field="0" count="1">
            <x v="4"/>
          </reference>
        </references>
      </pivotArea>
    </format>
    <format dxfId="3343">
      <pivotArea collapsedLevelsAreSubtotals="1" fieldPosition="0">
        <references count="1">
          <reference field="0" count="1">
            <x v="0"/>
          </reference>
        </references>
      </pivotArea>
    </format>
    <format dxfId="3342">
      <pivotArea dataOnly="0" labelOnly="1" fieldPosition="0">
        <references count="1">
          <reference field="0" count="1">
            <x v="0"/>
          </reference>
        </references>
      </pivotArea>
    </format>
    <format dxfId="315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152">
      <pivotArea type="all" dataOnly="0" outline="0" fieldPosition="0"/>
    </format>
    <format dxfId="315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150">
      <pivotArea dataOnly="0" labelOnly="1" fieldPosition="0">
        <references count="1">
          <reference field="1" count="0"/>
        </references>
      </pivotArea>
    </format>
    <format dxfId="3149">
      <pivotArea outline="0" collapsedLevelsAreSubtotals="1" fieldPosition="0"/>
    </format>
    <format dxfId="3148">
      <pivotArea dataOnly="0" labelOnly="1" fieldPosition="0">
        <references count="1">
          <reference field="0" count="0"/>
        </references>
      </pivotArea>
    </format>
    <format dxfId="314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146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145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144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143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142">
      <pivotArea outline="0" collapsedLevelsAreSubtotals="1" fieldPosition="0"/>
    </format>
    <format dxfId="3141">
      <pivotArea dataOnly="0" labelOnly="1" fieldPosition="0">
        <references count="1">
          <reference field="0" count="0"/>
        </references>
      </pivotArea>
    </format>
    <format dxfId="314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3139">
      <pivotArea dataOnly="0" labelOnly="1" fieldPosition="0">
        <references count="2">
          <reference field="0" count="1" selected="0">
            <x v="1"/>
          </reference>
          <reference field="1" count="4">
            <x v="2"/>
            <x v="3"/>
            <x v="4"/>
            <x v="5"/>
          </reference>
        </references>
      </pivotArea>
    </format>
    <format dxfId="3138">
      <pivotArea dataOnly="0" labelOnly="1" fieldPosition="0">
        <references count="2">
          <reference field="0" count="1" selected="0">
            <x v="2"/>
          </reference>
          <reference field="1" count="3">
            <x v="6"/>
            <x v="7"/>
            <x v="8"/>
          </reference>
        </references>
      </pivotArea>
    </format>
    <format dxfId="3137">
      <pivotArea dataOnly="0" labelOnly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3136">
      <pivotArea dataOnly="0" labelOnly="1" fieldPosition="0">
        <references count="2">
          <reference field="0" count="1" selected="0">
            <x v="4"/>
          </reference>
          <reference field="1" count="2">
            <x v="13"/>
            <x v="14"/>
          </reference>
        </references>
      </pivotArea>
    </format>
    <format dxfId="3135">
      <pivotArea field="0" type="button" dataOnly="0" labelOnly="1" outline="0" axis="axisRow" fieldPosition="0"/>
    </format>
    <format dxfId="31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Hierarchies count="10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Project].[Name_Project].&amp;[Almacenes Calla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Progress(%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lanned Start Date"/>
    <pivotHierarchy dragToRow="0" dragToCol="0" dragToPage="0" dragToData="1" caption="Planned End Date"/>
    <pivotHierarchy dragToRow="0" dragToCol="0" dragToPage="0" dragToData="1"/>
    <pivotHierarchy dragToRow="0" dragToCol="0" dragToPage="0" dragToData="1" caption="Actual Start Date"/>
    <pivotHierarchy dragToRow="0" dragToCol="0" dragToPage="0" dragToData="1" caption="Actual End Date"/>
    <pivotHierarchy dragToRow="0" dragToCol="0" dragToPage="0" dragToData="1" caption="Owner Task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20 2" showRowHeaders="1" showColHeaders="1" showRowStripes="0" showColStripes="0" showLastColumn="1"/>
  <filters count="1">
    <filter fld="3" type="dateEqual" evalOrder="-1" id="7" name="[DimCalendar].[DATE]">
      <autoFilter ref="A1">
        <filterColumn colId="0">
          <customFilters>
            <customFilter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1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tems]"/>
        <x15:activeTabTopLevelEntity name="[DimProject]"/>
        <x15:activeTabTopLevelEntity name="[FactProgres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ame_Project" xr10:uid="{9B64B7D4-FF94-4C90-AE5C-C579D0138979}" sourceName="[DimProject].[Name_Project]">
  <pivotTables>
    <pivotTable tabId="4" name="TablaDinámica1"/>
  </pivotTables>
  <data>
    <olap pivotCacheId="994180395">
      <levels count="2">
        <level uniqueName="[DimProject].[Name_Project].[(All)]" sourceCaption="(All)" count="0"/>
        <level uniqueName="[DimProject].[Name_Project].[Name_Project]" sourceCaption="Name_Project" count="10">
          <ranges>
            <range startItem="0">
              <i n="[DimProject].[Name_Project].&amp;[Almacenes Callao]" c="Almacenes Callao"/>
              <i n="[DimProject].[Name_Project].&amp;[Centro Empresarial Miraflores]" c="Centro Empresarial Miraflores"/>
              <i n="[DimProject].[Name_Project].&amp;[Clínica San Borja]" c="Clínica San Borja"/>
              <i n="[DimProject].[Name_Project].&amp;[Condominio La Marina]" c="Condominio La Marina"/>
              <i n="[DimProject].[Name_Project].&amp;[Condominio Las Praderas]" c="Condominio Las Praderas"/>
              <i n="[DimProject].[Name_Project].&amp;[Edificio Costanera]" c="Edificio Costanera"/>
              <i n="[DimProject].[Name_Project].&amp;[Edificio Residencial San Isidro]" c="Edificio Residencial San Isidro"/>
              <i n="[DimProject].[Name_Project].&amp;[Plaza Comercial Surco]" c="Plaza Comercial Surco"/>
              <i n="[DimProject].[Name_Project].&amp;[Residencial Los Parques]" c="Residencial Los Parques"/>
              <i n="[DimProject].[Name_Project].&amp;[Torre Lince Park]" c="Torre Lince Park"/>
            </range>
          </ranges>
        </level>
      </levels>
      <selections count="1">
        <selection n="[DimProject].[Name_Project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Project].[Name_Project].[Name_Project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ject_Type" xr10:uid="{53515DBC-0758-40B6-A499-CE5F0B24F048}" sourceName="[DimProject].[Project_Type]">
  <pivotTables>
    <pivotTable tabId="4" name="TablaDinámica1"/>
  </pivotTables>
  <data>
    <olap pivotCacheId="994180395">
      <levels count="2">
        <level uniqueName="[DimProject].[Project_Type].[(All)]" sourceCaption="(All)" count="0"/>
        <level uniqueName="[DimProject].[Project_Type].[Project_Type]" sourceCaption="Project_Type" count="6">
          <ranges>
            <range startItem="0">
              <i n="[DimProject].[Project_Type].&amp;[Comercial]" c="Comercial"/>
              <i n="[DimProject].[Project_Type].&amp;[Industrial]" c="Industrial"/>
              <i n="[DimProject].[Project_Type].&amp;[Interés Social]" c="Interés Social"/>
              <i n="[DimProject].[Project_Type].&amp;[Multifamiliar]" c="Multifamiliar"/>
              <i n="[DimProject].[Project_Type].&amp;[Oficinas]" c="Oficinas"/>
              <i n="[DimProject].[Project_Type].&amp;[Salud]" c="Salud"/>
            </range>
          </ranges>
        </level>
      </levels>
      <selections count="1">
        <selection n="[DimProject].[Project_Typ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  <pivotTable tabId="4294967295" name="PivotChartTable1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Project].[Project_Type].[Project_Type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hase" xr10:uid="{2C5946F2-0567-401A-B9CD-CB88F74B981D}" sourceName="[DimItems].[Phase]">
  <data>
    <olap pivotCacheId="496869445">
      <levels count="2">
        <level uniqueName="[DimItems].[Phase].[(All)]" sourceCaption="(All)" count="0"/>
        <level uniqueName="[DimItems].[Phase].[Phase]" sourceCaption="Phase" count="5">
          <ranges>
            <range startItem="0">
              <i n="[DimItems].[Phase].&amp;[1. Obras Provisionales]" c="1. Obras Provisionales"/>
              <i n="[DimItems].[Phase].&amp;[2. Estructuras]" c="2. Estructuras"/>
              <i n="[DimItems].[Phase].&amp;[3. Instalaciones]" c="3. Instalaciones"/>
              <i n="[DimItems].[Phase].&amp;[4. Acabados]" c="4. Acabados"/>
              <i n="[DimItems].[Phase].&amp;[5. Cierre]" c="5. Cierre"/>
            </range>
          </ranges>
        </level>
      </levels>
      <selections count="1">
        <selection n="[DimItems].[Phas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  <pivotTable tabId="4294967295" name="PivotChartTable5"/>
        <pivotTable tabId="4294967295" name="PivotChartTable4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Items].[Phase].[Phase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ame_Project1" xr10:uid="{5FFF93D1-665F-4819-B5B3-D9DAE8181D94}" sourceName="[DimProject].[Name_Project]">
  <pivotTables>
    <pivotTable tabId="9" name="TablaDinámica1"/>
  </pivotTables>
  <data>
    <olap pivotCacheId="496869445">
      <levels count="2">
        <level uniqueName="[DimProject].[Name_Project].[(All)]" sourceCaption="(All)" count="0"/>
        <level uniqueName="[DimProject].[Name_Project].[Name_Project]" sourceCaption="Name_Project" count="10">
          <ranges>
            <range startItem="0">
              <i n="[DimProject].[Name_Project].&amp;[Almacenes Callao]" c="Almacenes Callao"/>
              <i n="[DimProject].[Name_Project].&amp;[Centro Empresarial Miraflores]" c="Centro Empresarial Miraflores"/>
              <i n="[DimProject].[Name_Project].&amp;[Clínica San Borja]" c="Clínica San Borja"/>
              <i n="[DimProject].[Name_Project].&amp;[Condominio La Marina]" c="Condominio La Marina"/>
              <i n="[DimProject].[Name_Project].&amp;[Condominio Las Praderas]" c="Condominio Las Praderas"/>
              <i n="[DimProject].[Name_Project].&amp;[Edificio Costanera]" c="Edificio Costanera"/>
              <i n="[DimProject].[Name_Project].&amp;[Edificio Residencial San Isidro]" c="Edificio Residencial San Isidro"/>
              <i n="[DimProject].[Name_Project].&amp;[Plaza Comercial Surco]" c="Plaza Comercial Surco"/>
              <i n="[DimProject].[Name_Project].&amp;[Residencial Los Parques]" c="Residencial Los Parques"/>
              <i n="[DimProject].[Name_Project].&amp;[Torre Lince Park]" c="Torre Lince Park"/>
            </range>
          </ranges>
        </level>
      </levels>
      <selections count="1">
        <selection n="[DimProject].[Name_Project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  <pivotTable tabId="4294967295" name="PivotChartTable5"/>
        <pivotTable tabId="4294967295" name="PivotChartTable6"/>
        <pivotTable tabId="4294967295" name="PivotChartTable4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Project].[Name_Project].[Name_Project]" count="0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ject_Type1" xr10:uid="{A5F4E11F-970C-4BFC-B6CA-92BEB6830386}" sourceName="[DimProject].[Project_Type]">
  <pivotTables>
    <pivotTable tabId="9" name="TablaDinámica1"/>
  </pivotTables>
  <data>
    <olap pivotCacheId="496869445">
      <levels count="2">
        <level uniqueName="[DimProject].[Project_Type].[(All)]" sourceCaption="(All)" count="0"/>
        <level uniqueName="[DimProject].[Project_Type].[Project_Type]" sourceCaption="Project_Type" count="6">
          <ranges>
            <range startItem="0">
              <i n="[DimProject].[Project_Type].&amp;[Comercial]" c="Comercial"/>
              <i n="[DimProject].[Project_Type].&amp;[Industrial]" c="Industrial"/>
              <i n="[DimProject].[Project_Type].&amp;[Interés Social]" c="Interés Social"/>
              <i n="[DimProject].[Project_Type].&amp;[Multifamiliar]" c="Multifamiliar"/>
              <i n="[DimProject].[Project_Type].&amp;[Oficinas]" c="Oficinas"/>
              <i n="[DimProject].[Project_Type].&amp;[Salud]" c="Salud"/>
            </range>
          </ranges>
        </level>
      </levels>
      <selections count="1">
        <selection n="[DimProject].[Project_Typ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  <pivotTable tabId="4294967295" name="PivotChartTable5"/>
        <pivotTable tabId="4294967295" name="PivotChartTable6"/>
        <pivotTable tabId="4294967295" name="PivotChartTable4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Project].[Project_Type].[Project_Type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ame_Project2" xr10:uid="{BE44CD51-F2C0-445A-829F-35D14DB1357F}" sourceName="[DimProject].[Name_Project]">
  <pivotTables>
    <pivotTable tabId="10" name="TablaDinámica3"/>
  </pivotTables>
  <data>
    <olap pivotCacheId="872472659">
      <levels count="2">
        <level uniqueName="[DimProject].[Name_Project].[(All)]" sourceCaption="(All)" count="0"/>
        <level uniqueName="[DimProject].[Name_Project].[Name_Project]" sourceCaption="Name_Project" count="10">
          <ranges>
            <range startItem="0">
              <i n="[DimProject].[Name_Project].&amp;[Almacenes Callao]" c="Almacenes Callao"/>
              <i n="[DimProject].[Name_Project].&amp;[Centro Empresarial Miraflores]" c="Centro Empresarial Miraflores"/>
              <i n="[DimProject].[Name_Project].&amp;[Clínica San Borja]" c="Clínica San Borja"/>
              <i n="[DimProject].[Name_Project].&amp;[Condominio La Marina]" c="Condominio La Marina"/>
              <i n="[DimProject].[Name_Project].&amp;[Condominio Las Praderas]" c="Condominio Las Praderas"/>
              <i n="[DimProject].[Name_Project].&amp;[Edificio Costanera]" c="Edificio Costanera"/>
              <i n="[DimProject].[Name_Project].&amp;[Edificio Residencial San Isidro]" c="Edificio Residencial San Isidro"/>
              <i n="[DimProject].[Name_Project].&amp;[Plaza Comercial Surco]" c="Plaza Comercial Surco"/>
              <i n="[DimProject].[Name_Project].&amp;[Residencial Los Parques]" c="Residencial Los Parques"/>
              <i n="[DimProject].[Name_Project].&amp;[Torre Lince Park]" c="Torre Lince Park"/>
            </range>
          </ranges>
        </level>
      </levels>
      <selections count="1">
        <selection n="[DimProject].[Name_Project].&amp;[Almacenes Callao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Project].[Name_Project].[Name_Project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me_Project" xr10:uid="{31B34290-9FC7-417D-8959-1D38C4A08B5F}" cache="SegmentaciónDeDatos_Name_Project" caption="Project" columnCount="5" level="1" style="SlicerStyleOther1 2" rowHeight="227693"/>
  <slicer name="Project_Type" xr10:uid="{263BBE15-CEA2-4246-8A32-19085C8536F1}" cache="SegmentaciónDeDatos_Project_Type" caption="Project Type" columnCount="3" level="1" style="SlicerStyleOther1 2" rowHeight="22769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hase" xr10:uid="{62BE7994-9942-4B63-9C2A-35A7B1C3634D}" cache="SegmentaciónDeDatos_Phase" caption="Phase" columnCount="3" level="1" style="SlicerStyleOther1 2" rowHeight="227693"/>
  <slicer name="Name_Project 1" xr10:uid="{F3785850-FDB6-410A-AC6B-77B80AF37F9A}" cache="SegmentaciónDeDatos_Name_Project1" caption="Project" columnCount="5" level="1" style="SlicerStyleOther1 2" rowHeight="227693"/>
  <slicer name="Project_Type 1" xr10:uid="{24697E58-1AB7-474B-B00B-1652D0874DFF}" cache="SegmentaciónDeDatos_Project_Type1" caption="Project Type" columnCount="3" level="1" style="SlicerStyleOther1 2" rowHeight="22769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me_Project 2" xr10:uid="{DD6FC87C-9D37-4DF9-976E-69DA46462A91}" cache="SegmentaciónDeDatos_Name_Project2" caption="Project" columnCount="10" showCaption="0" level="1" style="SlicerStyleOther1 2 2" rowHeight="22769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C80AC8-C15C-4423-830C-59A2BE085667}" name="DimProject" displayName="DimProject" ref="A1:I11" totalsRowShown="0" headerRowDxfId="3341" dataDxfId="3340">
  <tableColumns count="9">
    <tableColumn id="1" xr3:uid="{91C0F60B-83BC-4CDB-BD09-68F9DD742D32}" name="ID_Project" dataDxfId="3339"/>
    <tableColumn id="2" xr3:uid="{DED1BCD7-CC9D-4932-B0FA-CAC207ACCA22}" name="Name_Project" dataDxfId="3338"/>
    <tableColumn id="3" xr3:uid="{3E5403F2-D8F0-4AC3-8066-DCFB20D7B059}" name="Location" dataDxfId="3337"/>
    <tableColumn id="4" xr3:uid="{50777592-134E-40C9-A267-5A72D9013C58}" name="Project_Type" dataDxfId="3336"/>
    <tableColumn id="5" xr3:uid="{4FC7E4E0-36BA-4EA2-B075-8DB810C6A6B3}" name="Floor_Number" dataDxfId="3335"/>
    <tableColumn id="6" xr3:uid="{1FD416E3-4732-4AEF-93DB-0E61C09B2084}" name="Dpto_Number" dataDxfId="3334"/>
    <tableColumn id="7" xr3:uid="{937B31B2-CEB7-47FD-8078-CF4146C547EC}" name="Parking_Number" dataDxfId="3333"/>
    <tableColumn id="8" xr3:uid="{C0E69ABC-1640-41B9-9BF4-E12DD9FAB347}" name="Covered_area" dataDxfId="3332"/>
    <tableColumn id="9" xr3:uid="{8B784739-7779-4E5C-A745-B840E9480F3C}" name="Budget" dataDxfId="333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6BDD5-3CCF-4388-8995-EFB8D4870A13}" name="DimItems" displayName="DimItems" ref="A1:D16" totalsRowShown="0" headerRowDxfId="3330" dataDxfId="3329">
  <autoFilter ref="A1:D16" xr:uid="{8B16BDD5-3CCF-4388-8995-EFB8D4870A13}"/>
  <tableColumns count="4">
    <tableColumn id="1" xr3:uid="{4D02EBD9-F8AC-4775-9AD3-77E5A92CE77F}" name="ID_Item" dataDxfId="3328"/>
    <tableColumn id="2" xr3:uid="{56DA2DC2-F476-44DA-BEC2-901E8D6F9E1B}" name="Phase" dataDxfId="3327"/>
    <tableColumn id="3" xr3:uid="{86A48D40-945D-4741-8B10-488072A9E5D3}" name="Description" dataDxfId="3326"/>
    <tableColumn id="4" xr3:uid="{1E8C7299-4C94-4215-8D09-1405FB8E6187}" name="Unit_of_measurement" dataDxfId="332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0550D-15AA-48CF-BE22-A1B2C0D0C75D}" name="FactProgress" displayName="FactProgress" ref="A1:V151" totalsRowShown="0" headerRowDxfId="3324" dataDxfId="3323">
  <tableColumns count="22">
    <tableColumn id="1" xr3:uid="{486F6E82-C34F-41B7-BF8E-0425A555E58B}" name="ID_Reg" dataDxfId="3322"/>
    <tableColumn id="2" xr3:uid="{BAA3B1D8-9796-4B8A-9800-32628659B734}" name="ID_Project" dataDxfId="3321"/>
    <tableColumn id="3" xr3:uid="{119601DA-5F0C-4BDC-B2B2-57C94786C1A5}" name="ID_Item" dataDxfId="3320"/>
    <tableColumn id="4" xr3:uid="{719AE89A-13F5-4AF3-907F-382CFB9C8AEF}" name="ID_Predecessor" dataDxfId="3319"/>
    <tableColumn id="5" xr3:uid="{731C184C-FAA9-4DF3-B014-3B69BF232A48}" name="Planned_StartDate" dataDxfId="3318"/>
    <tableColumn id="6" xr3:uid="{2C57831D-343A-46E8-97AA-E0B5DB1D52E8}" name="Planned_EndDate" dataDxfId="3317"/>
    <tableColumn id="7" xr3:uid="{B4780B5B-29C7-4BC6-833A-7839DDEEF896}" name="Real_StartDate" dataDxfId="3316"/>
    <tableColumn id="8" xr3:uid="{CDEE2326-E238-4D88-B679-1B1AC317A9DF}" name="Real_EndDate" dataDxfId="3315"/>
    <tableColumn id="9" xr3:uid="{08B6758E-906C-4A4B-A6BD-F06CB2DFB077}" name="Expected_Cost" dataDxfId="3314"/>
    <tableColumn id="10" xr3:uid="{9FC5DC0E-052B-44D1-922A-B71DDBC59D71}" name="Real_Cost" dataDxfId="3313"/>
    <tableColumn id="11" xr3:uid="{CC3EF491-35D9-485F-94CB-E0FB2773EEC9}" name="Theoretical Progress(%)" dataDxfId="3312" dataCellStyle="Porcentaje">
      <calculatedColumnFormula array="1">_xlfn.SWITCH(TRUE,
ISBLANK(FactProgress[[#This Row],[Planned_EndDate]]),0,
TODAY()&gt;=FactProgress[[#This Row],[Planned_EndDate]],1,
TODAY()&lt;FactProgress[[#This Row],[Planned_StartDate]],0,
E2="",0,
(TODAY()-FactProgress[[#This Row],[Planned_StartDate]])/(FactProgress[[#This Row],[Planned_EndDate]]-FactProgress[[#This Row],[Planned_StartDate]]))</calculatedColumnFormula>
    </tableColumn>
    <tableColumn id="12" xr3:uid="{AB31D388-D953-42AA-A637-86EB624759CE}" name="Real Progress(%)" dataDxfId="3311" dataCellStyle="Porcentaje"/>
    <tableColumn id="16" xr3:uid="{9E47953F-8023-49FD-8966-3F3738E607AD}" name="Cost Progress(%)" dataDxfId="3310" dataCellStyle="Porcentaje">
      <calculatedColumnFormula>IFERROR(FactProgress[[#This Row],[Real_Cost]]/FactProgress[[#This Row],[Expected_Cost]],0)</calculatedColumnFormula>
    </tableColumn>
    <tableColumn id="14" xr3:uid="{60A2C6C6-0FAF-452D-85C5-26108DE42A0B}" name="Alert Progress" dataDxfId="3309">
      <calculatedColumnFormula array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calculatedColumnFormula>
    </tableColumn>
    <tableColumn id="17" xr3:uid="{4ADD7830-1007-4653-9842-022DEAA7691C}" name="Alert Cost" dataDxfId="3308">
      <calculatedColumnFormula array="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calculatedColumnFormula>
    </tableColumn>
    <tableColumn id="18" xr3:uid="{56690E1F-19E2-4479-A451-A2F355F2D2AE}" name="CPI" dataDxfId="3307">
      <calculatedColumnFormula array="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calculatedColumnFormula>
    </tableColumn>
    <tableColumn id="13" xr3:uid="{EFC7D844-30CD-4F5E-8D0D-E9CF771E74F1}" name="Id_OwnerTask" dataDxfId="3306"/>
    <tableColumn id="15" xr3:uid="{77600520-D5C4-4840-9115-DB116A576EF2}" name="Id_PM" dataDxfId="3305"/>
    <tableColumn id="19" xr3:uid="{4C8E9AA8-FCE3-4588-A7EE-773A82DF3C18}" name="Plan Today" dataDxfId="3304">
      <calculatedColumnFormula array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calculatedColumnFormula>
    </tableColumn>
    <tableColumn id="20" xr3:uid="{ACCBF313-1E81-4788-9DED-275AC9709CEC}" name="Planned Days" dataDxfId="3303">
      <calculatedColumnFormula>(FactProgress[[#This Row],[Planned_EndDate]]-FactProgress[[#This Row],[Planned_StartDate]])+1</calculatedColumnFormula>
    </tableColumn>
    <tableColumn id="21" xr3:uid="{DEBC0BAA-90E3-4677-9ECB-DFAA9DB4B4D4}" name="Real Today" dataDxfId="3302">
      <calculatedColumnFormula array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calculatedColumnFormula>
    </tableColumn>
    <tableColumn id="22" xr3:uid="{2602E7C2-4228-4E07-B222-0EBC72F60FC6}" name="Real Days" dataDxfId="3301">
      <calculatedColumnFormula array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10C47-C5BA-4EA7-97B6-2A3613E517DF}" name="DimProjectManagement" displayName="DimProjectManagement" ref="A1:B8" totalsRowShown="0" headerRowDxfId="3300" dataDxfId="3299">
  <autoFilter ref="A1:B8" xr:uid="{D5010C47-C5BA-4EA7-97B6-2A3613E517DF}"/>
  <tableColumns count="2">
    <tableColumn id="1" xr3:uid="{E506B7FA-6430-4553-A097-AC7A47AD3076}" name="Id_PM" dataDxfId="3298"/>
    <tableColumn id="2" xr3:uid="{078958DC-199B-4CB9-ADE1-5ACEB6D1D154}" name="PM_Name" dataDxfId="329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3E97A5-0DDE-4872-B183-0FDC02991E0D}" name="DimOwner" displayName="DimOwner" ref="A1:B31" totalsRowShown="0" headerRowDxfId="3296" dataDxfId="3295">
  <autoFilter ref="A1:B31" xr:uid="{FB3E97A5-0DDE-4872-B183-0FDC02991E0D}"/>
  <tableColumns count="2">
    <tableColumn id="1" xr3:uid="{FB5487C1-01BD-481A-A03F-EADC314CED65}" name="Id_Owner" dataDxfId="3294"/>
    <tableColumn id="2" xr3:uid="{BE9F188B-B42B-4AEB-B3A2-2DF17043F67F}" name="Owner_Name" dataDxfId="329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96A2-EA34-46B9-92DC-46EC505E06C0}">
  <dimension ref="A1:I11"/>
  <sheetViews>
    <sheetView workbookViewId="0">
      <selection activeCell="B10" sqref="B10"/>
    </sheetView>
  </sheetViews>
  <sheetFormatPr baseColWidth="10" defaultRowHeight="12.9" x14ac:dyDescent="0.35"/>
  <cols>
    <col min="1" max="1" width="9.9140625" bestFit="1" customWidth="1"/>
    <col min="2" max="2" width="19.83203125" bestFit="1" customWidth="1"/>
    <col min="3" max="3" width="16.25" bestFit="1" customWidth="1"/>
    <col min="4" max="4" width="11.58203125" bestFit="1" customWidth="1"/>
    <col min="5" max="5" width="12.4140625" bestFit="1" customWidth="1"/>
    <col min="6" max="6" width="12.25" bestFit="1" customWidth="1"/>
    <col min="7" max="7" width="13.9140625" bestFit="1" customWidth="1"/>
    <col min="8" max="8" width="12.1640625" bestFit="1" customWidth="1"/>
    <col min="9" max="9" width="12" bestFit="1" customWidth="1"/>
  </cols>
  <sheetData>
    <row r="1" spans="1:9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15</v>
      </c>
      <c r="F1" s="1" t="s">
        <v>14</v>
      </c>
      <c r="G1" s="1" t="s">
        <v>13</v>
      </c>
      <c r="H1" s="1" t="s">
        <v>16</v>
      </c>
      <c r="I1" s="1" t="s">
        <v>17</v>
      </c>
    </row>
    <row r="2" spans="1:9" x14ac:dyDescent="0.35">
      <c r="A2" s="1">
        <v>1</v>
      </c>
      <c r="B2" s="1" t="s">
        <v>0</v>
      </c>
      <c r="C2" s="1" t="s">
        <v>1</v>
      </c>
      <c r="D2" s="1" t="s">
        <v>2</v>
      </c>
      <c r="E2" s="1">
        <v>10</v>
      </c>
      <c r="F2" s="1">
        <v>40</v>
      </c>
      <c r="G2" s="1">
        <v>30</v>
      </c>
      <c r="H2" s="1">
        <v>4500</v>
      </c>
      <c r="I2" s="4">
        <v>5500000</v>
      </c>
    </row>
    <row r="3" spans="1:9" x14ac:dyDescent="0.35">
      <c r="A3" s="1">
        <v>2</v>
      </c>
      <c r="B3" s="1" t="s">
        <v>3</v>
      </c>
      <c r="C3" s="1" t="s">
        <v>4</v>
      </c>
      <c r="D3" s="1" t="s">
        <v>5</v>
      </c>
      <c r="E3" s="1">
        <v>5</v>
      </c>
      <c r="F3" s="1">
        <v>120</v>
      </c>
      <c r="G3" s="1">
        <v>60</v>
      </c>
      <c r="H3" s="1">
        <v>8200</v>
      </c>
      <c r="I3" s="4">
        <v>8200000</v>
      </c>
    </row>
    <row r="4" spans="1:9" x14ac:dyDescent="0.35">
      <c r="A4" s="1">
        <v>3</v>
      </c>
      <c r="B4" s="1" t="s">
        <v>6</v>
      </c>
      <c r="C4" s="1" t="s">
        <v>7</v>
      </c>
      <c r="D4" s="1" t="s">
        <v>8</v>
      </c>
      <c r="E4" s="1">
        <v>15</v>
      </c>
      <c r="F4" s="1">
        <v>60</v>
      </c>
      <c r="G4" s="1">
        <v>100</v>
      </c>
      <c r="H4" s="1">
        <v>12000</v>
      </c>
      <c r="I4" s="4">
        <v>12500000</v>
      </c>
    </row>
    <row r="5" spans="1:9" x14ac:dyDescent="0.35">
      <c r="A5" s="1">
        <v>4</v>
      </c>
      <c r="B5" s="1" t="s">
        <v>34</v>
      </c>
      <c r="C5" s="1" t="s">
        <v>35</v>
      </c>
      <c r="D5" s="1" t="s">
        <v>36</v>
      </c>
      <c r="E5" s="1">
        <v>3</v>
      </c>
      <c r="F5" s="1">
        <v>0</v>
      </c>
      <c r="G5" s="1">
        <v>150</v>
      </c>
      <c r="H5" s="1">
        <v>9500</v>
      </c>
      <c r="I5" s="4">
        <v>9800000</v>
      </c>
    </row>
    <row r="6" spans="1:9" x14ac:dyDescent="0.35">
      <c r="A6" s="1">
        <v>5</v>
      </c>
      <c r="B6" s="1" t="s">
        <v>37</v>
      </c>
      <c r="C6" s="1" t="s">
        <v>38</v>
      </c>
      <c r="D6" s="1" t="s">
        <v>2</v>
      </c>
      <c r="E6" s="1">
        <v>12</v>
      </c>
      <c r="F6" s="1">
        <v>48</v>
      </c>
      <c r="G6" s="1">
        <v>40</v>
      </c>
      <c r="H6" s="1">
        <v>5200</v>
      </c>
      <c r="I6" s="4">
        <v>6100000</v>
      </c>
    </row>
    <row r="7" spans="1:9" x14ac:dyDescent="0.35">
      <c r="A7" s="1">
        <v>6</v>
      </c>
      <c r="B7" s="1" t="s">
        <v>39</v>
      </c>
      <c r="C7" s="1" t="s">
        <v>40</v>
      </c>
      <c r="D7" s="1" t="s">
        <v>41</v>
      </c>
      <c r="E7" s="1">
        <v>1</v>
      </c>
      <c r="F7" s="1">
        <v>0</v>
      </c>
      <c r="G7" s="1">
        <v>20</v>
      </c>
      <c r="H7" s="1">
        <v>15000</v>
      </c>
      <c r="I7" s="4">
        <v>4500000</v>
      </c>
    </row>
    <row r="8" spans="1:9" x14ac:dyDescent="0.35">
      <c r="A8" s="1">
        <v>7</v>
      </c>
      <c r="B8" s="1" t="s">
        <v>42</v>
      </c>
      <c r="C8" s="1" t="s">
        <v>43</v>
      </c>
      <c r="D8" s="1" t="s">
        <v>5</v>
      </c>
      <c r="E8" s="1">
        <v>6</v>
      </c>
      <c r="F8" s="1">
        <v>90</v>
      </c>
      <c r="G8" s="1">
        <v>45</v>
      </c>
      <c r="H8" s="1">
        <v>7500</v>
      </c>
      <c r="I8" s="4">
        <v>7000000</v>
      </c>
    </row>
    <row r="9" spans="1:9" x14ac:dyDescent="0.35">
      <c r="A9" s="1">
        <v>8</v>
      </c>
      <c r="B9" s="1" t="s">
        <v>44</v>
      </c>
      <c r="C9" s="1" t="s">
        <v>45</v>
      </c>
      <c r="D9" s="1" t="s">
        <v>2</v>
      </c>
      <c r="E9" s="1">
        <v>14</v>
      </c>
      <c r="F9" s="1">
        <v>56</v>
      </c>
      <c r="G9" s="1">
        <v>56</v>
      </c>
      <c r="H9" s="1">
        <v>6800</v>
      </c>
      <c r="I9" s="4">
        <v>8500000</v>
      </c>
    </row>
    <row r="10" spans="1:9" x14ac:dyDescent="0.35">
      <c r="A10" s="1">
        <v>9</v>
      </c>
      <c r="B10" s="1" t="s">
        <v>46</v>
      </c>
      <c r="C10" s="1" t="s">
        <v>47</v>
      </c>
      <c r="D10" s="1" t="s">
        <v>48</v>
      </c>
      <c r="E10" s="1">
        <v>8</v>
      </c>
      <c r="F10" s="1">
        <v>0</v>
      </c>
      <c r="G10" s="1">
        <v>80</v>
      </c>
      <c r="H10" s="1">
        <v>8000</v>
      </c>
      <c r="I10" s="4">
        <v>11000000</v>
      </c>
    </row>
    <row r="11" spans="1:9" x14ac:dyDescent="0.35">
      <c r="A11" s="1">
        <v>10</v>
      </c>
      <c r="B11" s="1" t="s">
        <v>49</v>
      </c>
      <c r="C11" s="1" t="s">
        <v>50</v>
      </c>
      <c r="D11" s="1" t="s">
        <v>2</v>
      </c>
      <c r="E11" s="1">
        <v>5</v>
      </c>
      <c r="F11" s="1">
        <v>60</v>
      </c>
      <c r="G11" s="1">
        <v>30</v>
      </c>
      <c r="H11" s="1">
        <v>4000</v>
      </c>
      <c r="I11" s="4">
        <v>4200000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1DB3-7FA5-4A23-8D6F-38F42BF88AB3}">
  <dimension ref="A1:D16"/>
  <sheetViews>
    <sheetView workbookViewId="0">
      <selection activeCell="B6" sqref="B6"/>
    </sheetView>
  </sheetViews>
  <sheetFormatPr baseColWidth="10" defaultRowHeight="12.9" x14ac:dyDescent="0.35"/>
  <cols>
    <col min="1" max="1" width="10.6640625" bestFit="1" customWidth="1"/>
    <col min="2" max="2" width="13.33203125" bestFit="1" customWidth="1"/>
    <col min="3" max="3" width="23.33203125" bestFit="1" customWidth="1"/>
    <col min="4" max="4" width="20.1640625" bestFit="1" customWidth="1"/>
    <col min="6" max="6" width="10.75" customWidth="1"/>
  </cols>
  <sheetData>
    <row r="1" spans="1:4" x14ac:dyDescent="0.35">
      <c r="A1" s="2" t="s">
        <v>23</v>
      </c>
      <c r="B1" s="2" t="s">
        <v>24</v>
      </c>
      <c r="C1" s="2" t="s">
        <v>25</v>
      </c>
      <c r="D1" s="2" t="s">
        <v>26</v>
      </c>
    </row>
    <row r="2" spans="1:4" x14ac:dyDescent="0.35">
      <c r="A2" s="1">
        <v>1</v>
      </c>
      <c r="B2" s="1" t="s">
        <v>142</v>
      </c>
      <c r="C2" s="1" t="s">
        <v>147</v>
      </c>
      <c r="D2" s="1" t="s">
        <v>18</v>
      </c>
    </row>
    <row r="3" spans="1:4" x14ac:dyDescent="0.35">
      <c r="A3" s="1">
        <v>2</v>
      </c>
      <c r="B3" s="1" t="s">
        <v>142</v>
      </c>
      <c r="C3" s="1" t="s">
        <v>148</v>
      </c>
      <c r="D3" s="1" t="s">
        <v>19</v>
      </c>
    </row>
    <row r="4" spans="1:4" x14ac:dyDescent="0.35">
      <c r="A4" s="1">
        <v>3</v>
      </c>
      <c r="B4" s="1" t="s">
        <v>143</v>
      </c>
      <c r="C4" s="1" t="s">
        <v>149</v>
      </c>
      <c r="D4" s="1" t="s">
        <v>20</v>
      </c>
    </row>
    <row r="5" spans="1:4" x14ac:dyDescent="0.35">
      <c r="A5" s="1">
        <v>4</v>
      </c>
      <c r="B5" s="1" t="s">
        <v>143</v>
      </c>
      <c r="C5" s="1" t="s">
        <v>150</v>
      </c>
      <c r="D5" s="1" t="s">
        <v>20</v>
      </c>
    </row>
    <row r="6" spans="1:4" x14ac:dyDescent="0.35">
      <c r="A6" s="1">
        <v>5</v>
      </c>
      <c r="B6" s="1" t="s">
        <v>143</v>
      </c>
      <c r="C6" s="1" t="s">
        <v>151</v>
      </c>
      <c r="D6" s="1" t="s">
        <v>20</v>
      </c>
    </row>
    <row r="7" spans="1:4" x14ac:dyDescent="0.35">
      <c r="A7" s="1">
        <v>6</v>
      </c>
      <c r="B7" s="1" t="s">
        <v>143</v>
      </c>
      <c r="C7" s="1" t="s">
        <v>152</v>
      </c>
      <c r="D7" s="1" t="s">
        <v>18</v>
      </c>
    </row>
    <row r="8" spans="1:4" x14ac:dyDescent="0.35">
      <c r="A8" s="1">
        <v>7</v>
      </c>
      <c r="B8" s="1" t="s">
        <v>144</v>
      </c>
      <c r="C8" s="1" t="s">
        <v>153</v>
      </c>
      <c r="D8" s="1" t="s">
        <v>21</v>
      </c>
    </row>
    <row r="9" spans="1:4" x14ac:dyDescent="0.35">
      <c r="A9" s="1">
        <v>8</v>
      </c>
      <c r="B9" s="1" t="s">
        <v>144</v>
      </c>
      <c r="C9" s="1" t="s">
        <v>154</v>
      </c>
      <c r="D9" s="1" t="s">
        <v>19</v>
      </c>
    </row>
    <row r="10" spans="1:4" x14ac:dyDescent="0.35">
      <c r="A10" s="1">
        <v>9</v>
      </c>
      <c r="B10" s="1" t="s">
        <v>144</v>
      </c>
      <c r="C10" s="1" t="s">
        <v>155</v>
      </c>
      <c r="D10" s="1" t="s">
        <v>21</v>
      </c>
    </row>
    <row r="11" spans="1:4" x14ac:dyDescent="0.35">
      <c r="A11" s="1">
        <v>10</v>
      </c>
      <c r="B11" s="1" t="s">
        <v>145</v>
      </c>
      <c r="C11" s="1" t="s">
        <v>156</v>
      </c>
      <c r="D11" s="1" t="s">
        <v>18</v>
      </c>
    </row>
    <row r="12" spans="1:4" x14ac:dyDescent="0.35">
      <c r="A12" s="1">
        <v>11</v>
      </c>
      <c r="B12" s="1" t="s">
        <v>145</v>
      </c>
      <c r="C12" s="1" t="s">
        <v>157</v>
      </c>
      <c r="D12" s="1" t="s">
        <v>18</v>
      </c>
    </row>
    <row r="13" spans="1:4" x14ac:dyDescent="0.35">
      <c r="A13" s="1">
        <v>12</v>
      </c>
      <c r="B13" s="1" t="s">
        <v>145</v>
      </c>
      <c r="C13" s="1" t="s">
        <v>158</v>
      </c>
      <c r="D13" s="1" t="s">
        <v>18</v>
      </c>
    </row>
    <row r="14" spans="1:4" x14ac:dyDescent="0.35">
      <c r="A14" s="1">
        <v>13</v>
      </c>
      <c r="B14" s="1" t="s">
        <v>145</v>
      </c>
      <c r="C14" s="1" t="s">
        <v>159</v>
      </c>
      <c r="D14" s="1" t="s">
        <v>18</v>
      </c>
    </row>
    <row r="15" spans="1:4" x14ac:dyDescent="0.35">
      <c r="A15" s="1">
        <v>14</v>
      </c>
      <c r="B15" s="1" t="s">
        <v>146</v>
      </c>
      <c r="C15" s="1" t="s">
        <v>160</v>
      </c>
      <c r="D15" s="1" t="s">
        <v>19</v>
      </c>
    </row>
    <row r="16" spans="1:4" ht="12" customHeight="1" x14ac:dyDescent="0.35">
      <c r="A16" s="1">
        <v>15</v>
      </c>
      <c r="B16" s="1" t="s">
        <v>146</v>
      </c>
      <c r="C16" s="1" t="s">
        <v>161</v>
      </c>
      <c r="D1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2595-0E7F-4B2F-A62F-0E904C999F67}">
  <dimension ref="A1:Z158"/>
  <sheetViews>
    <sheetView showGridLines="0" workbookViewId="0">
      <selection activeCell="E131" sqref="E131"/>
    </sheetView>
  </sheetViews>
  <sheetFormatPr baseColWidth="10" defaultRowHeight="12.9" x14ac:dyDescent="0.35"/>
  <cols>
    <col min="1" max="1" width="5.33203125" bestFit="1" customWidth="1"/>
    <col min="2" max="2" width="7.5" bestFit="1" customWidth="1"/>
    <col min="3" max="3" width="5.83203125" bestFit="1" customWidth="1"/>
    <col min="4" max="4" width="11.08203125" bestFit="1" customWidth="1"/>
    <col min="5" max="5" width="12.9140625" bestFit="1" customWidth="1"/>
    <col min="6" max="6" width="12.33203125" bestFit="1" customWidth="1"/>
    <col min="7" max="7" width="10.5" bestFit="1" customWidth="1"/>
    <col min="8" max="8" width="9.9140625" bestFit="1" customWidth="1"/>
    <col min="9" max="10" width="11.1640625" bestFit="1" customWidth="1"/>
    <col min="11" max="11" width="16.4140625" bestFit="1" customWidth="1"/>
    <col min="12" max="12" width="11.83203125" bestFit="1" customWidth="1"/>
    <col min="13" max="13" width="12" bestFit="1" customWidth="1"/>
    <col min="14" max="14" width="9.9140625" bestFit="1" customWidth="1"/>
    <col min="15" max="15" width="15.33203125" bestFit="1" customWidth="1"/>
    <col min="16" max="16" width="7" bestFit="1" customWidth="1"/>
    <col min="17" max="17" width="10" bestFit="1" customWidth="1"/>
    <col min="18" max="18" width="4.6640625" bestFit="1" customWidth="1"/>
    <col min="19" max="19" width="7.6640625" bestFit="1" customWidth="1"/>
    <col min="20" max="20" width="9.5" bestFit="1" customWidth="1"/>
    <col min="21" max="21" width="7.75" bestFit="1" customWidth="1"/>
    <col min="22" max="22" width="7.08203125" bestFit="1" customWidth="1"/>
  </cols>
  <sheetData>
    <row r="1" spans="1:26" x14ac:dyDescent="0.35">
      <c r="A1" s="2" t="s">
        <v>27</v>
      </c>
      <c r="B1" s="2" t="s">
        <v>9</v>
      </c>
      <c r="C1" s="2" t="s">
        <v>23</v>
      </c>
      <c r="D1" s="2" t="s">
        <v>28</v>
      </c>
      <c r="E1" s="2" t="s">
        <v>29</v>
      </c>
      <c r="F1" s="2" t="s">
        <v>53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52</v>
      </c>
      <c r="L1" s="11" t="s">
        <v>51</v>
      </c>
      <c r="M1" s="2" t="s">
        <v>98</v>
      </c>
      <c r="N1" s="2" t="s">
        <v>97</v>
      </c>
      <c r="O1" s="2" t="s">
        <v>99</v>
      </c>
      <c r="P1" s="2" t="s">
        <v>100</v>
      </c>
      <c r="Q1" s="2" t="s">
        <v>96</v>
      </c>
      <c r="R1" s="8" t="s">
        <v>87</v>
      </c>
      <c r="S1" s="8" t="s">
        <v>101</v>
      </c>
      <c r="T1" s="2" t="s">
        <v>102</v>
      </c>
      <c r="U1" s="2" t="s">
        <v>103</v>
      </c>
      <c r="V1" s="2" t="s">
        <v>104</v>
      </c>
      <c r="Y1" t="s">
        <v>105</v>
      </c>
      <c r="Z1" t="s">
        <v>106</v>
      </c>
    </row>
    <row r="2" spans="1:26" x14ac:dyDescent="0.35">
      <c r="A2" s="1">
        <v>1</v>
      </c>
      <c r="B2" s="1">
        <v>1</v>
      </c>
      <c r="C2" s="1">
        <v>1</v>
      </c>
      <c r="D2" s="1"/>
      <c r="E2" s="3">
        <v>45658</v>
      </c>
      <c r="F2" s="3">
        <v>45667</v>
      </c>
      <c r="G2" s="3">
        <v>45658</v>
      </c>
      <c r="H2" s="3">
        <v>45666</v>
      </c>
      <c r="I2" s="4">
        <v>45000</v>
      </c>
      <c r="J2" s="4">
        <v>42500</v>
      </c>
      <c r="K2" s="5" cm="1">
        <f t="array" aca="1" ref="K2" ca="1">_xlfn.SWITCH(TRUE,
ISBLANK(FactProgress[[#This Row],[Planned_EndDate]]),0,
TODAY()&gt;=FactProgress[[#This Row],[Planned_EndDate]],1,
TODAY()&lt;FactProgress[[#This Row],[Planned_StartDate]],0,
E2="",0,
(TODAY()-FactProgress[[#This Row],[Planned_StartDate]])/(FactProgress[[#This Row],[Planned_EndDate]]-FactProgress[[#This Row],[Planned_StartDate]]))</f>
        <v>1</v>
      </c>
      <c r="L2" s="5">
        <v>1</v>
      </c>
      <c r="M2" s="5">
        <f>IFERROR(FactProgress[[#This Row],[Real_Cost]]/FactProgress[[#This Row],[Expected_Cost]],0)</f>
        <v>0.94444444444444442</v>
      </c>
      <c r="N2" s="1" t="str" cm="1">
        <f t="array" aca="1" ref="N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2" s="1" t="str" cm="1">
        <f t="array" ref="O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2" s="9" t="str" cm="1">
        <f t="array" ref="P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Excelente</v>
      </c>
      <c r="Q2" s="10">
        <v>1</v>
      </c>
      <c r="R2" s="10">
        <v>3</v>
      </c>
      <c r="S2" s="10" cm="1">
        <f t="array" aca="1" ref="S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10</v>
      </c>
      <c r="T2" s="10">
        <f>(FactProgress[[#This Row],[Planned_EndDate]]-FactProgress[[#This Row],[Planned_StartDate]])+1</f>
        <v>10</v>
      </c>
      <c r="U2" s="10" cm="1">
        <f t="array" aca="1" ref="U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9</v>
      </c>
      <c r="V2" s="10" cm="1">
        <f t="array" aca="1" ref="V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9</v>
      </c>
    </row>
    <row r="3" spans="1:26" x14ac:dyDescent="0.35">
      <c r="A3" s="1">
        <v>2</v>
      </c>
      <c r="B3" s="1">
        <v>1</v>
      </c>
      <c r="C3" s="1">
        <v>2</v>
      </c>
      <c r="D3" s="1">
        <v>1</v>
      </c>
      <c r="E3" s="3">
        <v>45668</v>
      </c>
      <c r="F3" s="3">
        <v>45677</v>
      </c>
      <c r="G3" s="3">
        <v>45667</v>
      </c>
      <c r="H3" s="3">
        <v>45678</v>
      </c>
      <c r="I3" s="4">
        <v>25000</v>
      </c>
      <c r="J3" s="4">
        <v>28000</v>
      </c>
      <c r="K3" s="5" cm="1">
        <f t="array" aca="1" ref="K3" ca="1">_xlfn.SWITCH(TRUE,
ISBLANK(FactProgress[[#This Row],[Planned_EndDate]]),0,
TODAY()&gt;=FactProgress[[#This Row],[Planned_EndDate]],1,
TODAY()&lt;FactProgress[[#This Row],[Planned_StartDate]],0,
E3="",0,
(TODAY()-FactProgress[[#This Row],[Planned_StartDate]])/(FactProgress[[#This Row],[Planned_EndDate]]-FactProgress[[#This Row],[Planned_StartDate]]))</f>
        <v>1</v>
      </c>
      <c r="L3" s="5">
        <v>1</v>
      </c>
      <c r="M3" s="5">
        <f>IFERROR(FactProgress[[#This Row],[Real_Cost]]/FactProgress[[#This Row],[Expected_Cost]],0)</f>
        <v>1.1200000000000001</v>
      </c>
      <c r="N3" s="1" t="str" cm="1">
        <f t="array" aca="1" ref="N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3" s="1" t="str" cm="1">
        <f t="array" ref="O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3" s="9" t="str" cm="1">
        <f t="array" ref="P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3" s="10">
        <v>1</v>
      </c>
      <c r="R3" s="10">
        <v>3</v>
      </c>
      <c r="S3" s="10" cm="1">
        <f t="array" aca="1" ref="S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10</v>
      </c>
      <c r="T3" s="10">
        <f>(FactProgress[[#This Row],[Planned_EndDate]]-FactProgress[[#This Row],[Planned_StartDate]])+1</f>
        <v>10</v>
      </c>
      <c r="U3" s="10" cm="1">
        <f t="array" aca="1" ref="U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12</v>
      </c>
      <c r="V3" s="10" cm="1">
        <f t="array" aca="1" ref="V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12</v>
      </c>
    </row>
    <row r="4" spans="1:26" x14ac:dyDescent="0.35">
      <c r="A4" s="1">
        <v>3</v>
      </c>
      <c r="B4" s="1">
        <v>1</v>
      </c>
      <c r="C4" s="1">
        <v>3</v>
      </c>
      <c r="D4" s="1">
        <v>2</v>
      </c>
      <c r="E4" s="3">
        <v>45678</v>
      </c>
      <c r="F4" s="3">
        <v>45698</v>
      </c>
      <c r="G4" s="3">
        <v>45679</v>
      </c>
      <c r="H4" s="3">
        <v>45700</v>
      </c>
      <c r="I4" s="4">
        <v>120000</v>
      </c>
      <c r="J4" s="4">
        <v>125000</v>
      </c>
      <c r="K4" s="5" cm="1">
        <f t="array" aca="1" ref="K4" ca="1">_xlfn.SWITCH(TRUE,
ISBLANK(FactProgress[[#This Row],[Planned_EndDate]]),0,
TODAY()&gt;=FactProgress[[#This Row],[Planned_EndDate]],1,
TODAY()&lt;FactProgress[[#This Row],[Planned_StartDate]],0,
E4="",0,
(TODAY()-FactProgress[[#This Row],[Planned_StartDate]])/(FactProgress[[#This Row],[Planned_EndDate]]-FactProgress[[#This Row],[Planned_StartDate]]))</f>
        <v>1</v>
      </c>
      <c r="L4" s="5">
        <v>1</v>
      </c>
      <c r="M4" s="5">
        <f>IFERROR(FactProgress[[#This Row],[Real_Cost]]/FactProgress[[#This Row],[Expected_Cost]],0)</f>
        <v>1.0416666666666667</v>
      </c>
      <c r="N4" s="1" t="str" cm="1">
        <f t="array" aca="1" ref="N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4" s="1" t="str" cm="1">
        <f t="array" ref="O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4" s="9" t="str" cm="1">
        <f t="array" ref="P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4" s="10">
        <v>2</v>
      </c>
      <c r="R4" s="10">
        <v>3</v>
      </c>
      <c r="S4" s="10" cm="1">
        <f t="array" aca="1" ref="S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21</v>
      </c>
      <c r="T4" s="10">
        <f>(FactProgress[[#This Row],[Planned_EndDate]]-FactProgress[[#This Row],[Planned_StartDate]])+1</f>
        <v>21</v>
      </c>
      <c r="U4" s="10" cm="1">
        <f t="array" aca="1" ref="U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22</v>
      </c>
      <c r="V4" s="10" cm="1">
        <f t="array" aca="1" ref="V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22</v>
      </c>
    </row>
    <row r="5" spans="1:26" x14ac:dyDescent="0.35">
      <c r="A5" s="1">
        <v>4</v>
      </c>
      <c r="B5" s="1">
        <v>1</v>
      </c>
      <c r="C5" s="1">
        <v>4</v>
      </c>
      <c r="D5" s="1">
        <v>3</v>
      </c>
      <c r="E5" s="3">
        <v>45699</v>
      </c>
      <c r="F5" s="3">
        <v>45731</v>
      </c>
      <c r="G5" s="3">
        <v>45702</v>
      </c>
      <c r="H5" s="3">
        <v>45736</v>
      </c>
      <c r="I5" s="4">
        <v>450000</v>
      </c>
      <c r="J5" s="4">
        <v>475000</v>
      </c>
      <c r="K5" s="5" cm="1">
        <f t="array" aca="1" ref="K5" ca="1">_xlfn.SWITCH(TRUE,
ISBLANK(FactProgress[[#This Row],[Planned_EndDate]]),0,
TODAY()&gt;=FactProgress[[#This Row],[Planned_EndDate]],1,
TODAY()&lt;FactProgress[[#This Row],[Planned_StartDate]],0,
E5="",0,
(TODAY()-FactProgress[[#This Row],[Planned_StartDate]])/(FactProgress[[#This Row],[Planned_EndDate]]-FactProgress[[#This Row],[Planned_StartDate]]))</f>
        <v>1</v>
      </c>
      <c r="L5" s="5">
        <v>1</v>
      </c>
      <c r="M5" s="5">
        <f>IFERROR(FactProgress[[#This Row],[Real_Cost]]/FactProgress[[#This Row],[Expected_Cost]],0)</f>
        <v>1.0555555555555556</v>
      </c>
      <c r="N5" s="1" t="str" cm="1">
        <f t="array" aca="1" ref="N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5" s="1" t="str" cm="1">
        <f t="array" ref="O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5" s="9" t="str" cm="1">
        <f t="array" ref="P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5" s="10">
        <v>2</v>
      </c>
      <c r="R5" s="10">
        <v>3</v>
      </c>
      <c r="S5" s="10" cm="1">
        <f t="array" aca="1" ref="S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33</v>
      </c>
      <c r="T5" s="10">
        <f>(FactProgress[[#This Row],[Planned_EndDate]]-FactProgress[[#This Row],[Planned_StartDate]])+1</f>
        <v>33</v>
      </c>
      <c r="U5" s="10" cm="1">
        <f t="array" aca="1" ref="U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35</v>
      </c>
      <c r="V5" s="10" cm="1">
        <f t="array" aca="1" ref="V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35</v>
      </c>
    </row>
    <row r="6" spans="1:26" x14ac:dyDescent="0.35">
      <c r="A6" s="1">
        <v>5</v>
      </c>
      <c r="B6" s="1">
        <v>1</v>
      </c>
      <c r="C6" s="1">
        <v>5</v>
      </c>
      <c r="D6" s="1">
        <v>4</v>
      </c>
      <c r="E6" s="3">
        <v>45732</v>
      </c>
      <c r="F6" s="3">
        <v>45807</v>
      </c>
      <c r="G6" s="3">
        <v>45738</v>
      </c>
      <c r="H6" s="3">
        <v>45818</v>
      </c>
      <c r="I6" s="4">
        <v>1100000</v>
      </c>
      <c r="J6" s="4">
        <v>1150000</v>
      </c>
      <c r="K6" s="5" cm="1">
        <f t="array" aca="1" ref="K6" ca="1">_xlfn.SWITCH(TRUE,
ISBLANK(FactProgress[[#This Row],[Planned_EndDate]]),0,
TODAY()&gt;=FactProgress[[#This Row],[Planned_EndDate]],1,
TODAY()&lt;FactProgress[[#This Row],[Planned_StartDate]],0,
E6="",0,
(TODAY()-FactProgress[[#This Row],[Planned_StartDate]])/(FactProgress[[#This Row],[Planned_EndDate]]-FactProgress[[#This Row],[Planned_StartDate]]))</f>
        <v>1</v>
      </c>
      <c r="L6" s="5">
        <v>1</v>
      </c>
      <c r="M6" s="5">
        <f>IFERROR(FactProgress[[#This Row],[Real_Cost]]/FactProgress[[#This Row],[Expected_Cost]],0)</f>
        <v>1.0454545454545454</v>
      </c>
      <c r="N6" s="1" t="str" cm="1">
        <f t="array" aca="1" ref="N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" s="1" t="str" cm="1">
        <f t="array" ref="O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" s="9" t="str" cm="1">
        <f t="array" ref="P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" s="10">
        <v>2</v>
      </c>
      <c r="R6" s="10">
        <v>3</v>
      </c>
      <c r="S6" s="10" cm="1">
        <f t="array" aca="1" ref="S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76</v>
      </c>
      <c r="T6" s="10">
        <f>(FactProgress[[#This Row],[Planned_EndDate]]-FactProgress[[#This Row],[Planned_StartDate]])+1</f>
        <v>76</v>
      </c>
      <c r="U6" s="10" cm="1">
        <f t="array" aca="1" ref="U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81</v>
      </c>
      <c r="V6" s="10" cm="1">
        <f t="array" aca="1" ref="V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81</v>
      </c>
    </row>
    <row r="7" spans="1:26" x14ac:dyDescent="0.35">
      <c r="A7" s="1">
        <v>6</v>
      </c>
      <c r="B7" s="1">
        <v>1</v>
      </c>
      <c r="C7" s="1">
        <v>6</v>
      </c>
      <c r="D7" s="1">
        <v>5</v>
      </c>
      <c r="E7" s="3">
        <v>45809</v>
      </c>
      <c r="F7" s="3">
        <v>45838</v>
      </c>
      <c r="G7" s="3">
        <v>45820</v>
      </c>
      <c r="H7" s="3">
        <v>45843</v>
      </c>
      <c r="I7" s="4">
        <v>600000</v>
      </c>
      <c r="J7" s="4">
        <v>580000</v>
      </c>
      <c r="K7" s="5" cm="1">
        <f t="array" aca="1" ref="K7" ca="1">_xlfn.SWITCH(TRUE,
ISBLANK(FactProgress[[#This Row],[Planned_EndDate]]),0,
TODAY()&gt;=FactProgress[[#This Row],[Planned_EndDate]],1,
TODAY()&lt;FactProgress[[#This Row],[Planned_StartDate]],0,
E7="",0,
(TODAY()-FactProgress[[#This Row],[Planned_StartDate]])/(FactProgress[[#This Row],[Planned_EndDate]]-FactProgress[[#This Row],[Planned_StartDate]]))</f>
        <v>1</v>
      </c>
      <c r="L7" s="5">
        <v>1</v>
      </c>
      <c r="M7" s="5">
        <f>IFERROR(FactProgress[[#This Row],[Real_Cost]]/FactProgress[[#This Row],[Expected_Cost]],0)</f>
        <v>0.96666666666666667</v>
      </c>
      <c r="N7" s="1" t="str" cm="1">
        <f t="array" aca="1" ref="N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7" s="1" t="str" cm="1">
        <f t="array" ref="O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7" s="9" t="str" cm="1">
        <f t="array" ref="P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7" s="10">
        <v>2</v>
      </c>
      <c r="R7" s="10">
        <v>3</v>
      </c>
      <c r="S7" s="10" cm="1">
        <f t="array" aca="1" ref="S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7" s="10">
        <f>(FactProgress[[#This Row],[Planned_EndDate]]-FactProgress[[#This Row],[Planned_StartDate]])+1</f>
        <v>30</v>
      </c>
      <c r="U7" s="10" cm="1">
        <f t="array" aca="1" ref="U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24</v>
      </c>
      <c r="V7" s="10" cm="1">
        <f t="array" aca="1" ref="V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24</v>
      </c>
    </row>
    <row r="8" spans="1:26" x14ac:dyDescent="0.35">
      <c r="A8" s="1">
        <v>7</v>
      </c>
      <c r="B8" s="1">
        <v>1</v>
      </c>
      <c r="C8" s="1">
        <v>7</v>
      </c>
      <c r="D8" s="1">
        <v>4</v>
      </c>
      <c r="E8" s="3">
        <v>45809</v>
      </c>
      <c r="F8" s="3">
        <v>45853</v>
      </c>
      <c r="G8" s="3">
        <v>45823</v>
      </c>
      <c r="H8" s="3">
        <v>45858</v>
      </c>
      <c r="I8" s="4">
        <v>280000</v>
      </c>
      <c r="J8" s="4">
        <v>300000</v>
      </c>
      <c r="K8" s="5" cm="1">
        <f t="array" aca="1" ref="K8" ca="1">_xlfn.SWITCH(TRUE,
ISBLANK(FactProgress[[#This Row],[Planned_EndDate]]),0,
TODAY()&gt;=FactProgress[[#This Row],[Planned_EndDate]],1,
TODAY()&lt;FactProgress[[#This Row],[Planned_StartDate]],0,
E8="",0,
(TODAY()-FactProgress[[#This Row],[Planned_StartDate]])/(FactProgress[[#This Row],[Planned_EndDate]]-FactProgress[[#This Row],[Planned_StartDate]]))</f>
        <v>1</v>
      </c>
      <c r="L8" s="5">
        <v>1</v>
      </c>
      <c r="M8" s="5">
        <f>IFERROR(FactProgress[[#This Row],[Real_Cost]]/FactProgress[[#This Row],[Expected_Cost]],0)</f>
        <v>1.0714285714285714</v>
      </c>
      <c r="N8" s="1" t="str" cm="1">
        <f t="array" aca="1" ref="N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8" s="1" t="str" cm="1">
        <f t="array" ref="O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8" s="9" t="str" cm="1">
        <f t="array" ref="P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8" s="10">
        <v>4</v>
      </c>
      <c r="R8" s="10">
        <v>3</v>
      </c>
      <c r="S8" s="10" cm="1">
        <f t="array" aca="1" ref="S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45</v>
      </c>
      <c r="T8" s="10">
        <f>(FactProgress[[#This Row],[Planned_EndDate]]-FactProgress[[#This Row],[Planned_StartDate]])+1</f>
        <v>45</v>
      </c>
      <c r="U8" s="10" cm="1">
        <f t="array" aca="1" ref="U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36</v>
      </c>
      <c r="V8" s="10" cm="1">
        <f t="array" aca="1" ref="V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36</v>
      </c>
    </row>
    <row r="9" spans="1:26" x14ac:dyDescent="0.35">
      <c r="A9" s="1">
        <v>8</v>
      </c>
      <c r="B9" s="1">
        <v>1</v>
      </c>
      <c r="C9" s="1">
        <v>8</v>
      </c>
      <c r="D9" s="1">
        <v>6</v>
      </c>
      <c r="E9" s="3">
        <v>45854</v>
      </c>
      <c r="F9" s="3">
        <v>45884</v>
      </c>
      <c r="G9" s="3">
        <v>45860</v>
      </c>
      <c r="H9" s="3">
        <v>45889</v>
      </c>
      <c r="I9" s="4">
        <v>150000</v>
      </c>
      <c r="J9" s="4">
        <v>145000</v>
      </c>
      <c r="K9" s="5" cm="1">
        <f t="array" aca="1" ref="K9" ca="1">_xlfn.SWITCH(TRUE,
ISBLANK(FactProgress[[#This Row],[Planned_EndDate]]),0,
TODAY()&gt;=FactProgress[[#This Row],[Planned_EndDate]],1,
TODAY()&lt;FactProgress[[#This Row],[Planned_StartDate]],0,
E9="",0,
(TODAY()-FactProgress[[#This Row],[Planned_StartDate]])/(FactProgress[[#This Row],[Planned_EndDate]]-FactProgress[[#This Row],[Planned_StartDate]]))</f>
        <v>1</v>
      </c>
      <c r="L9" s="5">
        <v>1</v>
      </c>
      <c r="M9" s="5">
        <f>IFERROR(FactProgress[[#This Row],[Real_Cost]]/FactProgress[[#This Row],[Expected_Cost]],0)</f>
        <v>0.96666666666666667</v>
      </c>
      <c r="N9" s="1" t="str" cm="1">
        <f t="array" aca="1" ref="N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9" s="1" t="str" cm="1">
        <f t="array" ref="O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9" s="9" t="str" cm="1">
        <f t="array" ref="P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9" s="10">
        <v>4</v>
      </c>
      <c r="R9" s="10">
        <v>3</v>
      </c>
      <c r="S9" s="10" cm="1">
        <f t="array" aca="1" ref="S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9" s="10">
        <f>(FactProgress[[#This Row],[Planned_EndDate]]-FactProgress[[#This Row],[Planned_StartDate]])+1</f>
        <v>31</v>
      </c>
      <c r="U9" s="10" cm="1">
        <f t="array" aca="1" ref="U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30</v>
      </c>
      <c r="V9" s="10" cm="1">
        <f t="array" aca="1" ref="V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30</v>
      </c>
    </row>
    <row r="10" spans="1:26" x14ac:dyDescent="0.35">
      <c r="A10" s="1">
        <v>9</v>
      </c>
      <c r="B10" s="1">
        <v>1</v>
      </c>
      <c r="C10" s="1">
        <v>9</v>
      </c>
      <c r="D10" s="1">
        <v>7</v>
      </c>
      <c r="E10" s="3">
        <v>45885</v>
      </c>
      <c r="F10" s="3">
        <v>45899</v>
      </c>
      <c r="G10" s="3">
        <v>45891</v>
      </c>
      <c r="H10" s="3">
        <v>45905</v>
      </c>
      <c r="I10" s="4">
        <v>90000</v>
      </c>
      <c r="J10" s="4">
        <v>92000</v>
      </c>
      <c r="K10" s="5" cm="1">
        <f t="array" aca="1" ref="K10" ca="1">_xlfn.SWITCH(TRUE,
ISBLANK(FactProgress[[#This Row],[Planned_EndDate]]),0,
TODAY()&gt;=FactProgress[[#This Row],[Planned_EndDate]],1,
TODAY()&lt;FactProgress[[#This Row],[Planned_StartDate]],0,
E10="",0,
(TODAY()-FactProgress[[#This Row],[Planned_StartDate]])/(FactProgress[[#This Row],[Planned_EndDate]]-FactProgress[[#This Row],[Planned_StartDate]]))</f>
        <v>1</v>
      </c>
      <c r="L10" s="5">
        <v>1</v>
      </c>
      <c r="M10" s="5">
        <f>IFERROR(FactProgress[[#This Row],[Real_Cost]]/FactProgress[[#This Row],[Expected_Cost]],0)</f>
        <v>1.0222222222222221</v>
      </c>
      <c r="N10" s="1" t="str" cm="1">
        <f t="array" aca="1" ref="N1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0" s="1" t="str" cm="1">
        <f t="array" ref="O1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0" s="9" t="str" cm="1">
        <f t="array" ref="P1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0" s="10">
        <v>4</v>
      </c>
      <c r="R10" s="10">
        <v>3</v>
      </c>
      <c r="S10" s="10" cm="1">
        <f t="array" aca="1" ref="S1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0" s="10">
        <f>(FactProgress[[#This Row],[Planned_EndDate]]-FactProgress[[#This Row],[Planned_StartDate]])+1</f>
        <v>15</v>
      </c>
      <c r="U10" s="10" cm="1">
        <f t="array" aca="1" ref="U1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15</v>
      </c>
      <c r="V10" s="10" cm="1">
        <f t="array" aca="1" ref="V1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15</v>
      </c>
    </row>
    <row r="11" spans="1:26" x14ac:dyDescent="0.35">
      <c r="A11" s="1">
        <v>10</v>
      </c>
      <c r="B11" s="1">
        <v>1</v>
      </c>
      <c r="C11" s="1">
        <v>10</v>
      </c>
      <c r="D11" s="1">
        <v>5</v>
      </c>
      <c r="E11" s="3">
        <v>45901</v>
      </c>
      <c r="F11" s="3">
        <v>45960</v>
      </c>
      <c r="G11" s="3">
        <v>45907</v>
      </c>
      <c r="H11" s="3">
        <v>45976</v>
      </c>
      <c r="I11" s="4">
        <v>450000</v>
      </c>
      <c r="J11" s="4">
        <v>480000</v>
      </c>
      <c r="K11" s="5" cm="1">
        <f t="array" aca="1" ref="K11" ca="1">_xlfn.SWITCH(TRUE,
ISBLANK(FactProgress[[#This Row],[Planned_EndDate]]),0,
TODAY()&gt;=FactProgress[[#This Row],[Planned_EndDate]],1,
TODAY()&lt;FactProgress[[#This Row],[Planned_StartDate]],0,
E11="",0,
(TODAY()-FactProgress[[#This Row],[Planned_StartDate]])/(FactProgress[[#This Row],[Planned_EndDate]]-FactProgress[[#This Row],[Planned_StartDate]]))</f>
        <v>1</v>
      </c>
      <c r="L11" s="5">
        <v>1</v>
      </c>
      <c r="M11" s="5">
        <f>IFERROR(FactProgress[[#This Row],[Real_Cost]]/FactProgress[[#This Row],[Expected_Cost]],0)</f>
        <v>1.0666666666666667</v>
      </c>
      <c r="N11" s="1" t="str" cm="1">
        <f t="array" aca="1" ref="N1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" s="1" t="str" cm="1">
        <f t="array" ref="O1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" s="9" t="str" cm="1">
        <f t="array" ref="P1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" s="10">
        <v>7</v>
      </c>
      <c r="R11" s="10">
        <v>3</v>
      </c>
      <c r="S11" s="10" cm="1">
        <f t="array" aca="1" ref="S1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60</v>
      </c>
      <c r="T11" s="10">
        <f>(FactProgress[[#This Row],[Planned_EndDate]]-FactProgress[[#This Row],[Planned_StartDate]])+1</f>
        <v>60</v>
      </c>
      <c r="U11" s="10" cm="1">
        <f t="array" aca="1" ref="U1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70</v>
      </c>
      <c r="V11" s="10" cm="1">
        <f t="array" aca="1" ref="V1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70</v>
      </c>
    </row>
    <row r="12" spans="1:26" x14ac:dyDescent="0.35">
      <c r="A12" s="1">
        <v>11</v>
      </c>
      <c r="B12" s="1">
        <v>1</v>
      </c>
      <c r="C12" s="1">
        <v>11</v>
      </c>
      <c r="D12" s="1">
        <v>10</v>
      </c>
      <c r="E12" s="3">
        <v>45962</v>
      </c>
      <c r="F12" s="3">
        <v>46006</v>
      </c>
      <c r="G12" s="3">
        <v>45979</v>
      </c>
      <c r="H12" s="3">
        <v>46019</v>
      </c>
      <c r="I12" s="4">
        <v>350000</v>
      </c>
      <c r="J12" s="4">
        <v>365000</v>
      </c>
      <c r="K12" s="5" cm="1">
        <f t="array" aca="1" ref="K12" ca="1">_xlfn.SWITCH(TRUE,
ISBLANK(FactProgress[[#This Row],[Planned_EndDate]]),0,
TODAY()&gt;=FactProgress[[#This Row],[Planned_EndDate]],1,
TODAY()&lt;FactProgress[[#This Row],[Planned_StartDate]],0,
E12="",0,
(TODAY()-FactProgress[[#This Row],[Planned_StartDate]])/(FactProgress[[#This Row],[Planned_EndDate]]-FactProgress[[#This Row],[Planned_StartDate]]))</f>
        <v>1</v>
      </c>
      <c r="L12" s="5">
        <v>1</v>
      </c>
      <c r="M12" s="5">
        <f>IFERROR(FactProgress[[#This Row],[Real_Cost]]/FactProgress[[#This Row],[Expected_Cost]],0)</f>
        <v>1.0428571428571429</v>
      </c>
      <c r="N12" s="1" t="str" cm="1">
        <f t="array" aca="1" ref="N1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" s="1" t="str" cm="1">
        <f t="array" ref="O1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2" s="9" t="str" cm="1">
        <f t="array" ref="P1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2" s="10">
        <v>7</v>
      </c>
      <c r="R12" s="10">
        <v>3</v>
      </c>
      <c r="S12" s="10" cm="1">
        <f t="array" aca="1" ref="S1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45</v>
      </c>
      <c r="T12" s="10">
        <f>(FactProgress[[#This Row],[Planned_EndDate]]-FactProgress[[#This Row],[Planned_StartDate]])+1</f>
        <v>45</v>
      </c>
      <c r="U12" s="10" cm="1">
        <f t="array" aca="1" ref="U1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41</v>
      </c>
      <c r="V12" s="10" cm="1">
        <f t="array" aca="1" ref="V1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41</v>
      </c>
    </row>
    <row r="13" spans="1:26" x14ac:dyDescent="0.35">
      <c r="A13" s="1">
        <v>12</v>
      </c>
      <c r="B13" s="1">
        <v>1</v>
      </c>
      <c r="C13" s="1">
        <v>12</v>
      </c>
      <c r="D13" s="1">
        <v>10</v>
      </c>
      <c r="E13" s="3">
        <v>45962</v>
      </c>
      <c r="F13" s="3">
        <v>46021</v>
      </c>
      <c r="G13" s="3">
        <v>45981</v>
      </c>
      <c r="H13" s="3">
        <v>46032</v>
      </c>
      <c r="I13" s="4">
        <v>220000</v>
      </c>
      <c r="J13" s="4">
        <v>215000</v>
      </c>
      <c r="K13" s="5" cm="1">
        <f t="array" aca="1" ref="K13" ca="1">_xlfn.SWITCH(TRUE,
ISBLANK(FactProgress[[#This Row],[Planned_EndDate]]),0,
TODAY()&gt;=FactProgress[[#This Row],[Planned_EndDate]],1,
TODAY()&lt;FactProgress[[#This Row],[Planned_StartDate]],0,
E13="",0,
(TODAY()-FactProgress[[#This Row],[Planned_StartDate]])/(FactProgress[[#This Row],[Planned_EndDate]]-FactProgress[[#This Row],[Planned_StartDate]]))</f>
        <v>1</v>
      </c>
      <c r="L13" s="5">
        <v>1</v>
      </c>
      <c r="M13" s="5">
        <f>IFERROR(FactProgress[[#This Row],[Real_Cost]]/FactProgress[[#This Row],[Expected_Cost]],0)</f>
        <v>0.97727272727272729</v>
      </c>
      <c r="N13" s="1" t="str" cm="1">
        <f t="array" aca="1" ref="N1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3" s="1" t="str" cm="1">
        <f t="array" ref="O1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13" s="9" t="str" cm="1">
        <f t="array" ref="P1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13" s="10">
        <v>7</v>
      </c>
      <c r="R13" s="10">
        <v>3</v>
      </c>
      <c r="S13" s="10" cm="1">
        <f t="array" aca="1" ref="S1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60</v>
      </c>
      <c r="T13" s="10">
        <f>(FactProgress[[#This Row],[Planned_EndDate]]-FactProgress[[#This Row],[Planned_StartDate]])+1</f>
        <v>60</v>
      </c>
      <c r="U13" s="10" cm="1">
        <f t="array" aca="1" ref="U1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52</v>
      </c>
      <c r="V13" s="10" cm="1">
        <f t="array" aca="1" ref="V1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52</v>
      </c>
    </row>
    <row r="14" spans="1:26" x14ac:dyDescent="0.35">
      <c r="A14" s="1">
        <v>13</v>
      </c>
      <c r="B14" s="1">
        <v>1</v>
      </c>
      <c r="C14" s="1">
        <v>13</v>
      </c>
      <c r="D14" s="1">
        <v>11</v>
      </c>
      <c r="E14" s="3">
        <v>46023</v>
      </c>
      <c r="F14" s="3">
        <v>46052</v>
      </c>
      <c r="G14" s="3">
        <v>46034</v>
      </c>
      <c r="H14" s="3">
        <v>46068</v>
      </c>
      <c r="I14" s="4">
        <v>180000</v>
      </c>
      <c r="J14" s="4">
        <v>190000</v>
      </c>
      <c r="K14" s="5" cm="1">
        <f t="array" aca="1" ref="K14" ca="1">_xlfn.SWITCH(TRUE,
ISBLANK(FactProgress[[#This Row],[Planned_EndDate]]),0,
TODAY()&gt;=FactProgress[[#This Row],[Planned_EndDate]],1,
TODAY()&lt;FactProgress[[#This Row],[Planned_StartDate]],0,
E14="",0,
(TODAY()-FactProgress[[#This Row],[Planned_StartDate]])/(FactProgress[[#This Row],[Planned_EndDate]]-FactProgress[[#This Row],[Planned_StartDate]]))</f>
        <v>1</v>
      </c>
      <c r="L14" s="5">
        <v>1</v>
      </c>
      <c r="M14" s="5">
        <f>IFERROR(FactProgress[[#This Row],[Real_Cost]]/FactProgress[[#This Row],[Expected_Cost]],0)</f>
        <v>1.0555555555555556</v>
      </c>
      <c r="N14" s="1" t="str" cm="1">
        <f t="array" aca="1" ref="N1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4" s="1" t="str" cm="1">
        <f t="array" ref="O1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4" s="9" t="str" cm="1">
        <f t="array" ref="P1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4" s="10">
        <v>7</v>
      </c>
      <c r="R14" s="10">
        <v>3</v>
      </c>
      <c r="S14" s="10" cm="1">
        <f t="array" aca="1" ref="S1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14" s="10">
        <f>(FactProgress[[#This Row],[Planned_EndDate]]-FactProgress[[#This Row],[Planned_StartDate]])+1</f>
        <v>30</v>
      </c>
      <c r="U14" s="10" cm="1">
        <f t="array" aca="1" ref="U1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35</v>
      </c>
      <c r="V14" s="10" cm="1">
        <f t="array" aca="1" ref="V1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35</v>
      </c>
    </row>
    <row r="15" spans="1:26" x14ac:dyDescent="0.35">
      <c r="A15" s="1">
        <v>14</v>
      </c>
      <c r="B15" s="1">
        <v>1</v>
      </c>
      <c r="C15" s="1">
        <v>14</v>
      </c>
      <c r="D15" s="1">
        <v>13</v>
      </c>
      <c r="E15" s="3">
        <v>46054</v>
      </c>
      <c r="F15" s="3">
        <v>46068</v>
      </c>
      <c r="G15" s="3">
        <v>46069</v>
      </c>
      <c r="H15" s="3"/>
      <c r="I15" s="4">
        <v>35000</v>
      </c>
      <c r="J15" s="4">
        <v>25000</v>
      </c>
      <c r="K15" s="5" cm="1">
        <f t="array" aca="1" ref="K15" ca="1">_xlfn.SWITCH(TRUE,
ISBLANK(FactProgress[[#This Row],[Planned_EndDate]]),0,
TODAY()&gt;=FactProgress[[#This Row],[Planned_EndDate]],1,
TODAY()&lt;FactProgress[[#This Row],[Planned_StartDate]],0,
E15="",0,
(TODAY()-FactProgress[[#This Row],[Planned_StartDate]])/(FactProgress[[#This Row],[Planned_EndDate]]-FactProgress[[#This Row],[Planned_StartDate]]))</f>
        <v>1</v>
      </c>
      <c r="L15" s="5">
        <v>0.8</v>
      </c>
      <c r="M15" s="5">
        <f>IFERROR(FactProgress[[#This Row],[Real_Cost]]/FactProgress[[#This Row],[Expected_Cost]],0)</f>
        <v>0.7142857142857143</v>
      </c>
      <c r="N15" s="1" t="str" cm="1">
        <f t="array" aca="1" ref="N1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5" s="1" t="str" cm="1">
        <f t="array" ref="O1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5" s="9" t="str" cm="1">
        <f t="array" ref="P1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Excelente</v>
      </c>
      <c r="Q15" s="10">
        <v>3</v>
      </c>
      <c r="R15" s="10">
        <v>3</v>
      </c>
      <c r="S15" s="10" cm="1">
        <f t="array" aca="1" ref="S1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5" s="10">
        <f>(FactProgress[[#This Row],[Planned_EndDate]]-FactProgress[[#This Row],[Planned_StartDate]])+1</f>
        <v>15</v>
      </c>
      <c r="U15" s="10" cm="1">
        <f t="array" aca="1" ref="U1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31</v>
      </c>
      <c r="V15" s="10" cm="1">
        <f t="array" aca="1" ref="V1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39</v>
      </c>
    </row>
    <row r="16" spans="1:26" x14ac:dyDescent="0.35">
      <c r="A16" s="1">
        <v>15</v>
      </c>
      <c r="B16" s="1">
        <v>1</v>
      </c>
      <c r="C16" s="1">
        <v>15</v>
      </c>
      <c r="D16" s="1">
        <v>14</v>
      </c>
      <c r="E16" s="3">
        <v>46069</v>
      </c>
      <c r="F16" s="3">
        <v>46081</v>
      </c>
      <c r="G16" s="3"/>
      <c r="H16" s="3"/>
      <c r="I16" s="4">
        <v>15000</v>
      </c>
      <c r="J16" s="4">
        <v>0</v>
      </c>
      <c r="K16" s="5" cm="1">
        <f t="array" aca="1" ref="K16" ca="1">_xlfn.SWITCH(TRUE,
ISBLANK(FactProgress[[#This Row],[Planned_EndDate]]),0,
TODAY()&gt;=FactProgress[[#This Row],[Planned_EndDate]],1,
TODAY()&lt;FactProgress[[#This Row],[Planned_StartDate]],0,
E16="",0,
(TODAY()-FactProgress[[#This Row],[Planned_StartDate]])/(FactProgress[[#This Row],[Planned_EndDate]]-FactProgress[[#This Row],[Planned_StartDate]]))</f>
        <v>1</v>
      </c>
      <c r="L16" s="5">
        <v>0</v>
      </c>
      <c r="M16" s="5">
        <f>IFERROR(FactProgress[[#This Row],[Real_Cost]]/FactProgress[[#This Row],[Expected_Cost]],0)</f>
        <v>0</v>
      </c>
      <c r="N16" s="1" t="str" cm="1">
        <f t="array" aca="1" ref="N1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6" s="1" t="str" cm="1">
        <f t="array" ref="O1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6" s="9" t="str" cm="1">
        <f t="array" ref="P1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6" s="10">
        <v>3</v>
      </c>
      <c r="R16" s="10">
        <v>3</v>
      </c>
      <c r="S16" s="10" cm="1">
        <f t="array" aca="1" ref="S1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13</v>
      </c>
      <c r="T16" s="10">
        <f>(FactProgress[[#This Row],[Planned_EndDate]]-FactProgress[[#This Row],[Planned_StartDate]])+1</f>
        <v>13</v>
      </c>
      <c r="U16" s="10" cm="1">
        <f t="array" aca="1" ref="U1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6" s="10" cm="1">
        <f t="array" aca="1" ref="V1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7" spans="1:22" x14ac:dyDescent="0.35">
      <c r="A17" s="1">
        <v>16</v>
      </c>
      <c r="B17" s="1">
        <v>2</v>
      </c>
      <c r="C17" s="1">
        <v>1</v>
      </c>
      <c r="D17" s="1"/>
      <c r="E17" s="3">
        <v>45931</v>
      </c>
      <c r="F17" s="3">
        <v>45945</v>
      </c>
      <c r="G17" s="3">
        <v>45931</v>
      </c>
      <c r="H17" s="3">
        <v>45944</v>
      </c>
      <c r="I17" s="4">
        <v>65000</v>
      </c>
      <c r="J17" s="4">
        <v>72000</v>
      </c>
      <c r="K17" s="5" cm="1">
        <f t="array" aca="1" ref="K17" ca="1">_xlfn.SWITCH(TRUE,
ISBLANK(FactProgress[[#This Row],[Planned_EndDate]]),0,
TODAY()&gt;=FactProgress[[#This Row],[Planned_EndDate]],1,
TODAY()&lt;FactProgress[[#This Row],[Planned_StartDate]],0,
E17="",0,
(TODAY()-FactProgress[[#This Row],[Planned_StartDate]])/(FactProgress[[#This Row],[Planned_EndDate]]-FactProgress[[#This Row],[Planned_StartDate]]))</f>
        <v>1</v>
      </c>
      <c r="L17" s="5">
        <v>1</v>
      </c>
      <c r="M17" s="5">
        <f>IFERROR(FactProgress[[#This Row],[Real_Cost]]/FactProgress[[#This Row],[Expected_Cost]],0)</f>
        <v>1.1076923076923078</v>
      </c>
      <c r="N17" s="1" t="str" cm="1">
        <f t="array" aca="1" ref="N1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7" s="1" t="str" cm="1">
        <f t="array" ref="O1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7" s="9" t="str" cm="1">
        <f t="array" ref="P1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7" s="10">
        <v>2</v>
      </c>
      <c r="R17" s="10">
        <v>1</v>
      </c>
      <c r="S17" s="10" cm="1">
        <f t="array" aca="1" ref="S1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7" s="10">
        <f>(FactProgress[[#This Row],[Planned_EndDate]]-FactProgress[[#This Row],[Planned_StartDate]])+1</f>
        <v>15</v>
      </c>
      <c r="U17" s="10" cm="1">
        <f t="array" aca="1" ref="U1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17" s="10" cm="1">
        <f t="array" aca="1" ref="V1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14</v>
      </c>
    </row>
    <row r="18" spans="1:22" x14ac:dyDescent="0.35">
      <c r="A18" s="1">
        <v>17</v>
      </c>
      <c r="B18" s="1">
        <v>2</v>
      </c>
      <c r="C18" s="1">
        <v>2</v>
      </c>
      <c r="D18" s="1">
        <v>1</v>
      </c>
      <c r="E18" s="3">
        <v>45946</v>
      </c>
      <c r="F18" s="3">
        <v>45960</v>
      </c>
      <c r="G18" s="3">
        <v>45945</v>
      </c>
      <c r="H18" s="3">
        <v>45963</v>
      </c>
      <c r="I18" s="4">
        <v>30000</v>
      </c>
      <c r="J18" s="4">
        <v>35000</v>
      </c>
      <c r="K18" s="5" cm="1">
        <f t="array" aca="1" ref="K18" ca="1">_xlfn.SWITCH(TRUE,
ISBLANK(FactProgress[[#This Row],[Planned_EndDate]]),0,
TODAY()&gt;=FactProgress[[#This Row],[Planned_EndDate]],1,
TODAY()&lt;FactProgress[[#This Row],[Planned_StartDate]],0,
E18="",0,
(TODAY()-FactProgress[[#This Row],[Planned_StartDate]])/(FactProgress[[#This Row],[Planned_EndDate]]-FactProgress[[#This Row],[Planned_StartDate]]))</f>
        <v>1</v>
      </c>
      <c r="L18" s="5">
        <v>1</v>
      </c>
      <c r="M18" s="5">
        <f>IFERROR(FactProgress[[#This Row],[Real_Cost]]/FactProgress[[#This Row],[Expected_Cost]],0)</f>
        <v>1.1666666666666667</v>
      </c>
      <c r="N18" s="1" t="str" cm="1">
        <f t="array" aca="1" ref="N1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8" s="1" t="str" cm="1">
        <f t="array" ref="O1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8" s="9" t="str" cm="1">
        <f t="array" ref="P1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8" s="10">
        <v>2</v>
      </c>
      <c r="R18" s="10">
        <v>1</v>
      </c>
      <c r="S18" s="10" cm="1">
        <f t="array" aca="1" ref="S1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8" s="10">
        <f>(FactProgress[[#This Row],[Planned_EndDate]]-FactProgress[[#This Row],[Planned_StartDate]])+1</f>
        <v>15</v>
      </c>
      <c r="U18" s="10" cm="1">
        <f t="array" aca="1" ref="U1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19</v>
      </c>
      <c r="V18" s="10" cm="1">
        <f t="array" aca="1" ref="V1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19</v>
      </c>
    </row>
    <row r="19" spans="1:22" x14ac:dyDescent="0.35">
      <c r="A19" s="1">
        <v>18</v>
      </c>
      <c r="B19" s="1">
        <v>2</v>
      </c>
      <c r="C19" s="1">
        <v>3</v>
      </c>
      <c r="D19" s="1">
        <v>2</v>
      </c>
      <c r="E19" s="3">
        <v>45962</v>
      </c>
      <c r="F19" s="3">
        <v>45991</v>
      </c>
      <c r="G19" s="3">
        <v>45964</v>
      </c>
      <c r="H19" s="3">
        <v>46001</v>
      </c>
      <c r="I19" s="4">
        <v>180000</v>
      </c>
      <c r="J19" s="4">
        <v>205000</v>
      </c>
      <c r="K19" s="5" cm="1">
        <f t="array" aca="1" ref="K19" ca="1">_xlfn.SWITCH(TRUE,
ISBLANK(FactProgress[[#This Row],[Planned_EndDate]]),0,
TODAY()&gt;=FactProgress[[#This Row],[Planned_EndDate]],1,
TODAY()&lt;FactProgress[[#This Row],[Planned_StartDate]],0,
E19="",0,
(TODAY()-FactProgress[[#This Row],[Planned_StartDate]])/(FactProgress[[#This Row],[Planned_EndDate]]-FactProgress[[#This Row],[Planned_StartDate]]))</f>
        <v>1</v>
      </c>
      <c r="L19" s="5">
        <v>1</v>
      </c>
      <c r="M19" s="5">
        <f>IFERROR(FactProgress[[#This Row],[Real_Cost]]/FactProgress[[#This Row],[Expected_Cost]],0)</f>
        <v>1.1388888888888888</v>
      </c>
      <c r="N19" s="1" t="str" cm="1">
        <f t="array" aca="1" ref="N1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9" s="1" t="str" cm="1">
        <f t="array" ref="O1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9" s="9" t="str" cm="1">
        <f t="array" ref="P1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9" s="10">
        <v>1</v>
      </c>
      <c r="R19" s="10">
        <v>1</v>
      </c>
      <c r="S19" s="10" cm="1">
        <f t="array" aca="1" ref="S1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19" s="10">
        <f>(FactProgress[[#This Row],[Planned_EndDate]]-FactProgress[[#This Row],[Planned_StartDate]])+1</f>
        <v>30</v>
      </c>
      <c r="U19" s="10" cm="1">
        <f t="array" aca="1" ref="U1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38</v>
      </c>
      <c r="V19" s="10" cm="1">
        <f t="array" aca="1" ref="V1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38</v>
      </c>
    </row>
    <row r="20" spans="1:22" x14ac:dyDescent="0.35">
      <c r="A20" s="1">
        <v>19</v>
      </c>
      <c r="B20" s="1">
        <v>2</v>
      </c>
      <c r="C20" s="1">
        <v>4</v>
      </c>
      <c r="D20" s="1">
        <v>3</v>
      </c>
      <c r="E20" s="3">
        <v>45992</v>
      </c>
      <c r="F20" s="3">
        <v>46037</v>
      </c>
      <c r="G20" s="3">
        <v>46003</v>
      </c>
      <c r="H20" s="3">
        <v>46058</v>
      </c>
      <c r="I20" s="4">
        <v>850000</v>
      </c>
      <c r="J20" s="4">
        <v>920000</v>
      </c>
      <c r="K20" s="5" cm="1">
        <f t="array" aca="1" ref="K20" ca="1">_xlfn.SWITCH(TRUE,
ISBLANK(FactProgress[[#This Row],[Planned_EndDate]]),0,
TODAY()&gt;=FactProgress[[#This Row],[Planned_EndDate]],1,
TODAY()&lt;FactProgress[[#This Row],[Planned_StartDate]],0,
E20="",0,
(TODAY()-FactProgress[[#This Row],[Planned_StartDate]])/(FactProgress[[#This Row],[Planned_EndDate]]-FactProgress[[#This Row],[Planned_StartDate]]))</f>
        <v>1</v>
      </c>
      <c r="L20" s="5">
        <v>1</v>
      </c>
      <c r="M20" s="5">
        <f>IFERROR(FactProgress[[#This Row],[Real_Cost]]/FactProgress[[#This Row],[Expected_Cost]],0)</f>
        <v>1.0823529411764705</v>
      </c>
      <c r="N20" s="1" t="str" cm="1">
        <f t="array" aca="1" ref="N2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20" s="1" t="str" cm="1">
        <f t="array" ref="O2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20" s="9" t="str" cm="1">
        <f t="array" ref="P2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20" s="10">
        <v>1</v>
      </c>
      <c r="R20" s="10">
        <v>1</v>
      </c>
      <c r="S20" s="10" cm="1">
        <f t="array" aca="1" ref="S2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46</v>
      </c>
      <c r="T20" s="10">
        <f>(FactProgress[[#This Row],[Planned_EndDate]]-FactProgress[[#This Row],[Planned_StartDate]])+1</f>
        <v>46</v>
      </c>
      <c r="U20" s="10" cm="1">
        <f t="array" aca="1" ref="U2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56</v>
      </c>
      <c r="V20" s="10" cm="1">
        <f t="array" aca="1" ref="V2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56</v>
      </c>
    </row>
    <row r="21" spans="1:22" x14ac:dyDescent="0.35">
      <c r="A21" s="1">
        <v>20</v>
      </c>
      <c r="B21" s="1">
        <v>2</v>
      </c>
      <c r="C21" s="1">
        <v>5</v>
      </c>
      <c r="D21" s="1">
        <v>4</v>
      </c>
      <c r="E21" s="3">
        <v>46038</v>
      </c>
      <c r="F21" s="3">
        <v>46096</v>
      </c>
      <c r="G21" s="3">
        <v>46059</v>
      </c>
      <c r="H21" s="3"/>
      <c r="I21" s="4">
        <v>1500000</v>
      </c>
      <c r="J21" s="4">
        <v>850000</v>
      </c>
      <c r="K21" s="5" cm="1">
        <f t="array" aca="1" ref="K21" ca="1">_xlfn.SWITCH(TRUE,
ISBLANK(FactProgress[[#This Row],[Planned_EndDate]]),0,
TODAY()&gt;=FactProgress[[#This Row],[Planned_EndDate]],1,
TODAY()&lt;FactProgress[[#This Row],[Planned_StartDate]],0,
E21="",0,
(TODAY()-FactProgress[[#This Row],[Planned_StartDate]])/(FactProgress[[#This Row],[Planned_EndDate]]-FactProgress[[#This Row],[Planned_StartDate]]))</f>
        <v>1</v>
      </c>
      <c r="L21" s="5">
        <v>0.68</v>
      </c>
      <c r="M21" s="5">
        <f>IFERROR(FactProgress[[#This Row],[Real_Cost]]/FactProgress[[#This Row],[Expected_Cost]],0)</f>
        <v>0.56666666666666665</v>
      </c>
      <c r="N21" s="1" t="str" cm="1">
        <f t="array" aca="1" ref="N2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21" s="1" t="str" cm="1">
        <f t="array" ref="O2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21" s="9" t="str" cm="1">
        <f t="array" ref="P2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Excelente</v>
      </c>
      <c r="Q21" s="10">
        <v>1</v>
      </c>
      <c r="R21" s="10">
        <v>1</v>
      </c>
      <c r="S21" s="10" cm="1">
        <f t="array" aca="1" ref="S2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59</v>
      </c>
      <c r="T21" s="10">
        <f>(FactProgress[[#This Row],[Planned_EndDate]]-FactProgress[[#This Row],[Planned_StartDate]])+1</f>
        <v>59</v>
      </c>
      <c r="U21" s="10" cm="1">
        <f t="array" aca="1" ref="U2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41</v>
      </c>
      <c r="V21" s="10" cm="1">
        <f t="array" aca="1" ref="V2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60</v>
      </c>
    </row>
    <row r="22" spans="1:22" x14ac:dyDescent="0.35">
      <c r="A22" s="1">
        <v>21</v>
      </c>
      <c r="B22" s="1">
        <v>2</v>
      </c>
      <c r="C22" s="1">
        <v>6</v>
      </c>
      <c r="D22" s="1">
        <v>5</v>
      </c>
      <c r="E22" s="3">
        <v>46097</v>
      </c>
      <c r="F22" s="3">
        <v>46127</v>
      </c>
      <c r="G22" s="3"/>
      <c r="H22" s="3"/>
      <c r="I22" s="4">
        <v>750000</v>
      </c>
      <c r="J22" s="4">
        <v>0</v>
      </c>
      <c r="K22" s="5" cm="1">
        <f t="array" aca="1" ref="K22" ca="1">_xlfn.SWITCH(TRUE,
ISBLANK(FactProgress[[#This Row],[Planned_EndDate]]),0,
TODAY()&gt;=FactProgress[[#This Row],[Planned_EndDate]],1,
TODAY()&lt;FactProgress[[#This Row],[Planned_StartDate]],0,
E22="",0,
(TODAY()-FactProgress[[#This Row],[Planned_StartDate]])/(FactProgress[[#This Row],[Planned_EndDate]]-FactProgress[[#This Row],[Planned_StartDate]]))</f>
        <v>0.1</v>
      </c>
      <c r="L22" s="5">
        <v>0</v>
      </c>
      <c r="M22" s="5">
        <f>IFERROR(FactProgress[[#This Row],[Real_Cost]]/FactProgress[[#This Row],[Expected_Cost]],0)</f>
        <v>0</v>
      </c>
      <c r="N22" s="1" t="str" cm="1">
        <f t="array" aca="1" ref="N2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2" s="1" t="str" cm="1">
        <f t="array" ref="O2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2" s="9" t="str" cm="1">
        <f t="array" ref="P2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2" s="10">
        <v>1</v>
      </c>
      <c r="R22" s="10">
        <v>1</v>
      </c>
      <c r="S22" s="10" cm="1">
        <f t="array" aca="1" ref="S2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</v>
      </c>
      <c r="T22" s="10">
        <f>(FactProgress[[#This Row],[Planned_EndDate]]-FactProgress[[#This Row],[Planned_StartDate]])+1</f>
        <v>31</v>
      </c>
      <c r="U22" s="10" cm="1">
        <f t="array" aca="1" ref="U2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2" s="10" cm="1">
        <f t="array" aca="1" ref="V2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3" spans="1:22" x14ac:dyDescent="0.35">
      <c r="A23" s="1">
        <v>22</v>
      </c>
      <c r="B23" s="1">
        <v>2</v>
      </c>
      <c r="C23" s="1">
        <v>7</v>
      </c>
      <c r="D23" s="1">
        <v>4</v>
      </c>
      <c r="E23" s="3">
        <v>46054</v>
      </c>
      <c r="F23" s="3">
        <v>46096</v>
      </c>
      <c r="G23" s="3">
        <v>46063</v>
      </c>
      <c r="H23" s="3"/>
      <c r="I23" s="4">
        <v>320000</v>
      </c>
      <c r="J23" s="4">
        <v>400000</v>
      </c>
      <c r="K23" s="5" cm="1">
        <f t="array" aca="1" ref="K23" ca="1">_xlfn.SWITCH(TRUE,
ISBLANK(FactProgress[[#This Row],[Planned_EndDate]]),0,
TODAY()&gt;=FactProgress[[#This Row],[Planned_EndDate]],1,
TODAY()&lt;FactProgress[[#This Row],[Planned_StartDate]],0,
E23="",0,
(TODAY()-FactProgress[[#This Row],[Planned_StartDate]])/(FactProgress[[#This Row],[Planned_EndDate]]-FactProgress[[#This Row],[Planned_StartDate]]))</f>
        <v>1</v>
      </c>
      <c r="L23" s="5">
        <v>0.9</v>
      </c>
      <c r="M23" s="5">
        <f>IFERROR(FactProgress[[#This Row],[Real_Cost]]/FactProgress[[#This Row],[Expected_Cost]],0)</f>
        <v>1.25</v>
      </c>
      <c r="N23" s="1" t="str" cm="1">
        <f t="array" aca="1" ref="N2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23" s="1" t="str" cm="1">
        <f t="array" ref="O2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23" s="9" t="str" cm="1">
        <f t="array" ref="P2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23" s="10">
        <v>5</v>
      </c>
      <c r="R23" s="10">
        <v>1</v>
      </c>
      <c r="S23" s="10" cm="1">
        <f t="array" aca="1" ref="S2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43</v>
      </c>
      <c r="T23" s="10">
        <f>(FactProgress[[#This Row],[Planned_EndDate]]-FactProgress[[#This Row],[Planned_StartDate]])+1</f>
        <v>43</v>
      </c>
      <c r="U23" s="10" cm="1">
        <f t="array" aca="1" ref="U2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37</v>
      </c>
      <c r="V23" s="10" cm="1">
        <f t="array" aca="1" ref="V2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41</v>
      </c>
    </row>
    <row r="24" spans="1:22" x14ac:dyDescent="0.35">
      <c r="A24" s="1">
        <v>23</v>
      </c>
      <c r="B24" s="1">
        <v>2</v>
      </c>
      <c r="C24" s="1">
        <v>8</v>
      </c>
      <c r="D24" s="1">
        <v>6</v>
      </c>
      <c r="E24" s="3">
        <v>46128</v>
      </c>
      <c r="F24" s="3">
        <v>46157</v>
      </c>
      <c r="G24" s="3"/>
      <c r="H24" s="3"/>
      <c r="I24" s="4">
        <v>200000</v>
      </c>
      <c r="J24" s="4">
        <v>0</v>
      </c>
      <c r="K24" s="5" cm="1">
        <f t="array" aca="1" ref="K24" ca="1">_xlfn.SWITCH(TRUE,
ISBLANK(FactProgress[[#This Row],[Planned_EndDate]]),0,
TODAY()&gt;=FactProgress[[#This Row],[Planned_EndDate]],1,
TODAY()&lt;FactProgress[[#This Row],[Planned_StartDate]],0,
E24="",0,
(TODAY()-FactProgress[[#This Row],[Planned_StartDate]])/(FactProgress[[#This Row],[Planned_EndDate]]-FactProgress[[#This Row],[Planned_StartDate]]))</f>
        <v>0</v>
      </c>
      <c r="L24" s="5">
        <v>0</v>
      </c>
      <c r="M24" s="5">
        <f>IFERROR(FactProgress[[#This Row],[Real_Cost]]/FactProgress[[#This Row],[Expected_Cost]],0)</f>
        <v>0</v>
      </c>
      <c r="N24" s="1" t="str" cm="1">
        <f t="array" aca="1" ref="N2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4" s="1" t="str" cm="1">
        <f t="array" ref="O2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4" s="9" t="str" cm="1">
        <f t="array" ref="P2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4" s="10">
        <v>5</v>
      </c>
      <c r="R24" s="10">
        <v>1</v>
      </c>
      <c r="S24" s="10" cm="1">
        <f t="array" aca="1" ref="S2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24" s="10">
        <f>(FactProgress[[#This Row],[Planned_EndDate]]-FactProgress[[#This Row],[Planned_StartDate]])+1</f>
        <v>30</v>
      </c>
      <c r="U24" s="10" cm="1">
        <f t="array" aca="1" ref="U2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4" s="10" cm="1">
        <f t="array" aca="1" ref="V2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5" spans="1:22" x14ac:dyDescent="0.35">
      <c r="A25" s="1">
        <v>24</v>
      </c>
      <c r="B25" s="1">
        <v>2</v>
      </c>
      <c r="C25" s="1">
        <v>9</v>
      </c>
      <c r="D25" s="1">
        <v>7</v>
      </c>
      <c r="E25" s="3">
        <v>46097</v>
      </c>
      <c r="F25" s="3">
        <v>46111</v>
      </c>
      <c r="G25" s="3"/>
      <c r="H25" s="3"/>
      <c r="I25" s="4">
        <v>110000</v>
      </c>
      <c r="J25" s="4">
        <v>0</v>
      </c>
      <c r="K25" s="5" cm="1">
        <f t="array" aca="1" ref="K25" ca="1">_xlfn.SWITCH(TRUE,
ISBLANK(FactProgress[[#This Row],[Planned_EndDate]]),0,
TODAY()&gt;=FactProgress[[#This Row],[Planned_EndDate]],1,
TODAY()&lt;FactProgress[[#This Row],[Planned_StartDate]],0,
E25="",0,
(TODAY()-FactProgress[[#This Row],[Planned_StartDate]])/(FactProgress[[#This Row],[Planned_EndDate]]-FactProgress[[#This Row],[Planned_StartDate]]))</f>
        <v>0.21428571428571427</v>
      </c>
      <c r="L25" s="5">
        <v>0</v>
      </c>
      <c r="M25" s="5">
        <f>IFERROR(FactProgress[[#This Row],[Real_Cost]]/FactProgress[[#This Row],[Expected_Cost]],0)</f>
        <v>0</v>
      </c>
      <c r="N25" s="1" t="str" cm="1">
        <f t="array" aca="1" ref="N2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25" s="1" t="str" cm="1">
        <f t="array" ref="O2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5" s="9" t="str" cm="1">
        <f t="array" ref="P2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5" s="10">
        <v>5</v>
      </c>
      <c r="R25" s="10">
        <v>1</v>
      </c>
      <c r="S25" s="10" cm="1">
        <f t="array" aca="1" ref="S2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</v>
      </c>
      <c r="T25" s="10">
        <f>(FactProgress[[#This Row],[Planned_EndDate]]-FactProgress[[#This Row],[Planned_StartDate]])+1</f>
        <v>15</v>
      </c>
      <c r="U25" s="10" cm="1">
        <f t="array" aca="1" ref="U2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5" s="10" cm="1">
        <f t="array" aca="1" ref="V2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6" spans="1:22" x14ac:dyDescent="0.35">
      <c r="A26" s="1">
        <v>25</v>
      </c>
      <c r="B26" s="1">
        <v>2</v>
      </c>
      <c r="C26" s="1">
        <v>10</v>
      </c>
      <c r="D26" s="1">
        <v>5</v>
      </c>
      <c r="E26" s="3">
        <v>46113</v>
      </c>
      <c r="F26" s="3">
        <v>46203</v>
      </c>
      <c r="G26" s="3"/>
      <c r="H26" s="3"/>
      <c r="I26" s="4">
        <v>600000</v>
      </c>
      <c r="J26" s="4">
        <v>0</v>
      </c>
      <c r="K26" s="5" cm="1">
        <f t="array" aca="1" ref="K26" ca="1">_xlfn.SWITCH(TRUE,
ISBLANK(FactProgress[[#This Row],[Planned_EndDate]]),0,
TODAY()&gt;=FactProgress[[#This Row],[Planned_EndDate]],1,
TODAY()&lt;FactProgress[[#This Row],[Planned_StartDate]],0,
E26="",0,
(TODAY()-FactProgress[[#This Row],[Planned_StartDate]])/(FactProgress[[#This Row],[Planned_EndDate]]-FactProgress[[#This Row],[Planned_StartDate]]))</f>
        <v>0</v>
      </c>
      <c r="L26" s="5">
        <v>0</v>
      </c>
      <c r="M26" s="5">
        <f>IFERROR(FactProgress[[#This Row],[Real_Cost]]/FactProgress[[#This Row],[Expected_Cost]],0)</f>
        <v>0</v>
      </c>
      <c r="N26" s="1" t="str" cm="1">
        <f t="array" aca="1" ref="N2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6" s="1" t="str" cm="1">
        <f t="array" ref="O2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6" s="9" t="str" cm="1">
        <f t="array" ref="P2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6" s="10">
        <v>6</v>
      </c>
      <c r="R26" s="10">
        <v>1</v>
      </c>
      <c r="S26" s="10" cm="1">
        <f t="array" aca="1" ref="S2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26" s="10">
        <f>(FactProgress[[#This Row],[Planned_EndDate]]-FactProgress[[#This Row],[Planned_StartDate]])+1</f>
        <v>91</v>
      </c>
      <c r="U26" s="10" cm="1">
        <f t="array" aca="1" ref="U2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6" s="10" cm="1">
        <f t="array" aca="1" ref="V2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7" spans="1:22" x14ac:dyDescent="0.35">
      <c r="A27" s="1">
        <v>26</v>
      </c>
      <c r="B27" s="1">
        <v>2</v>
      </c>
      <c r="C27" s="1">
        <v>11</v>
      </c>
      <c r="D27" s="1">
        <v>10</v>
      </c>
      <c r="E27" s="3">
        <v>46204</v>
      </c>
      <c r="F27" s="3">
        <v>46249</v>
      </c>
      <c r="G27" s="3"/>
      <c r="H27" s="3"/>
      <c r="I27" s="4">
        <v>400000</v>
      </c>
      <c r="J27" s="4">
        <v>0</v>
      </c>
      <c r="K27" s="5" cm="1">
        <f t="array" aca="1" ref="K27" ca="1">_xlfn.SWITCH(TRUE,
ISBLANK(FactProgress[[#This Row],[Planned_EndDate]]),0,
TODAY()&gt;=FactProgress[[#This Row],[Planned_EndDate]],1,
TODAY()&lt;FactProgress[[#This Row],[Planned_StartDate]],0,
E27="",0,
(TODAY()-FactProgress[[#This Row],[Planned_StartDate]])/(FactProgress[[#This Row],[Planned_EndDate]]-FactProgress[[#This Row],[Planned_StartDate]]))</f>
        <v>0</v>
      </c>
      <c r="L27" s="5">
        <v>0</v>
      </c>
      <c r="M27" s="5">
        <f>IFERROR(FactProgress[[#This Row],[Real_Cost]]/FactProgress[[#This Row],[Expected_Cost]],0)</f>
        <v>0</v>
      </c>
      <c r="N27" s="1" t="str" cm="1">
        <f t="array" aca="1" ref="N2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7" s="1" t="str" cm="1">
        <f t="array" ref="O2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7" s="9" t="str" cm="1">
        <f t="array" ref="P2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7" s="10">
        <v>6</v>
      </c>
      <c r="R27" s="10">
        <v>1</v>
      </c>
      <c r="S27" s="10" cm="1">
        <f t="array" aca="1" ref="S2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27" s="10">
        <f>(FactProgress[[#This Row],[Planned_EndDate]]-FactProgress[[#This Row],[Planned_StartDate]])+1</f>
        <v>46</v>
      </c>
      <c r="U27" s="10" cm="1">
        <f t="array" aca="1" ref="U2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7" s="10" cm="1">
        <f t="array" aca="1" ref="V2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8" spans="1:22" x14ac:dyDescent="0.35">
      <c r="A28" s="1">
        <v>27</v>
      </c>
      <c r="B28" s="1">
        <v>2</v>
      </c>
      <c r="C28" s="1">
        <v>12</v>
      </c>
      <c r="D28" s="1">
        <v>10</v>
      </c>
      <c r="E28" s="3">
        <v>46204</v>
      </c>
      <c r="F28" s="3">
        <v>46264</v>
      </c>
      <c r="G28" s="3"/>
      <c r="H28" s="3"/>
      <c r="I28" s="4">
        <v>280000</v>
      </c>
      <c r="J28" s="4">
        <v>0</v>
      </c>
      <c r="K28" s="5" cm="1">
        <f t="array" aca="1" ref="K28" ca="1">_xlfn.SWITCH(TRUE,
ISBLANK(FactProgress[[#This Row],[Planned_EndDate]]),0,
TODAY()&gt;=FactProgress[[#This Row],[Planned_EndDate]],1,
TODAY()&lt;FactProgress[[#This Row],[Planned_StartDate]],0,
E28="",0,
(TODAY()-FactProgress[[#This Row],[Planned_StartDate]])/(FactProgress[[#This Row],[Planned_EndDate]]-FactProgress[[#This Row],[Planned_StartDate]]))</f>
        <v>0</v>
      </c>
      <c r="L28" s="5">
        <v>0</v>
      </c>
      <c r="M28" s="5">
        <f>IFERROR(FactProgress[[#This Row],[Real_Cost]]/FactProgress[[#This Row],[Expected_Cost]],0)</f>
        <v>0</v>
      </c>
      <c r="N28" s="1" t="str" cm="1">
        <f t="array" aca="1" ref="N2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8" s="1" t="str" cm="1">
        <f t="array" ref="O2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8" s="9" t="str" cm="1">
        <f t="array" ref="P2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8" s="10">
        <v>6</v>
      </c>
      <c r="R28" s="10">
        <v>1</v>
      </c>
      <c r="S28" s="10" cm="1">
        <f t="array" aca="1" ref="S2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28" s="10">
        <f>(FactProgress[[#This Row],[Planned_EndDate]]-FactProgress[[#This Row],[Planned_StartDate]])+1</f>
        <v>61</v>
      </c>
      <c r="U28" s="10" cm="1">
        <f t="array" aca="1" ref="U2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8" s="10" cm="1">
        <f t="array" aca="1" ref="V2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29" spans="1:22" x14ac:dyDescent="0.35">
      <c r="A29" s="1">
        <v>28</v>
      </c>
      <c r="B29" s="1">
        <v>2</v>
      </c>
      <c r="C29" s="1">
        <v>13</v>
      </c>
      <c r="D29" s="1">
        <v>11</v>
      </c>
      <c r="E29" s="3">
        <v>46266</v>
      </c>
      <c r="F29" s="3">
        <v>46295</v>
      </c>
      <c r="G29" s="3"/>
      <c r="H29" s="3"/>
      <c r="I29" s="4">
        <v>220000</v>
      </c>
      <c r="J29" s="4">
        <v>0</v>
      </c>
      <c r="K29" s="5" cm="1">
        <f t="array" aca="1" ref="K29" ca="1">_xlfn.SWITCH(TRUE,
ISBLANK(FactProgress[[#This Row],[Planned_EndDate]]),0,
TODAY()&gt;=FactProgress[[#This Row],[Planned_EndDate]],1,
TODAY()&lt;FactProgress[[#This Row],[Planned_StartDate]],0,
E29="",0,
(TODAY()-FactProgress[[#This Row],[Planned_StartDate]])/(FactProgress[[#This Row],[Planned_EndDate]]-FactProgress[[#This Row],[Planned_StartDate]]))</f>
        <v>0</v>
      </c>
      <c r="L29" s="5">
        <v>0</v>
      </c>
      <c r="M29" s="5">
        <f>IFERROR(FactProgress[[#This Row],[Real_Cost]]/FactProgress[[#This Row],[Expected_Cost]],0)</f>
        <v>0</v>
      </c>
      <c r="N29" s="1" t="str" cm="1">
        <f t="array" aca="1" ref="N2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29" s="1" t="str" cm="1">
        <f t="array" ref="O2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29" s="9" t="str" cm="1">
        <f t="array" ref="P2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29" s="10">
        <v>6</v>
      </c>
      <c r="R29" s="10">
        <v>1</v>
      </c>
      <c r="S29" s="10" cm="1">
        <f t="array" aca="1" ref="S2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29" s="10">
        <f>(FactProgress[[#This Row],[Planned_EndDate]]-FactProgress[[#This Row],[Planned_StartDate]])+1</f>
        <v>30</v>
      </c>
      <c r="U29" s="10" cm="1">
        <f t="array" aca="1" ref="U2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29" s="10" cm="1">
        <f t="array" aca="1" ref="V2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0" spans="1:22" x14ac:dyDescent="0.35">
      <c r="A30" s="1">
        <v>29</v>
      </c>
      <c r="B30" s="1">
        <v>2</v>
      </c>
      <c r="C30" s="1">
        <v>14</v>
      </c>
      <c r="D30" s="1">
        <v>13</v>
      </c>
      <c r="E30" s="3">
        <v>46296</v>
      </c>
      <c r="F30" s="3">
        <v>46310</v>
      </c>
      <c r="G30" s="3"/>
      <c r="H30" s="3"/>
      <c r="I30" s="4">
        <v>45000</v>
      </c>
      <c r="J30" s="4">
        <v>0</v>
      </c>
      <c r="K30" s="5" cm="1">
        <f t="array" aca="1" ref="K30" ca="1">_xlfn.SWITCH(TRUE,
ISBLANK(FactProgress[[#This Row],[Planned_EndDate]]),0,
TODAY()&gt;=FactProgress[[#This Row],[Planned_EndDate]],1,
TODAY()&lt;FactProgress[[#This Row],[Planned_StartDate]],0,
E30="",0,
(TODAY()-FactProgress[[#This Row],[Planned_StartDate]])/(FactProgress[[#This Row],[Planned_EndDate]]-FactProgress[[#This Row],[Planned_StartDate]]))</f>
        <v>0</v>
      </c>
      <c r="L30" s="5">
        <v>0</v>
      </c>
      <c r="M30" s="5">
        <f>IFERROR(FactProgress[[#This Row],[Real_Cost]]/FactProgress[[#This Row],[Expected_Cost]],0)</f>
        <v>0</v>
      </c>
      <c r="N30" s="1" t="str" cm="1">
        <f t="array" aca="1" ref="N3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0" s="1" t="str" cm="1">
        <f t="array" ref="O3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0" s="9" t="str" cm="1">
        <f t="array" ref="P3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0" s="10">
        <v>20</v>
      </c>
      <c r="R30" s="10">
        <v>1</v>
      </c>
      <c r="S30" s="10" cm="1">
        <f t="array" aca="1" ref="S3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0" s="10">
        <f>(FactProgress[[#This Row],[Planned_EndDate]]-FactProgress[[#This Row],[Planned_StartDate]])+1</f>
        <v>15</v>
      </c>
      <c r="U30" s="10" cm="1">
        <f t="array" aca="1" ref="U3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0" s="10" cm="1">
        <f t="array" aca="1" ref="V3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1" spans="1:22" x14ac:dyDescent="0.35">
      <c r="A31" s="1">
        <v>30</v>
      </c>
      <c r="B31" s="1">
        <v>2</v>
      </c>
      <c r="C31" s="1">
        <v>15</v>
      </c>
      <c r="D31" s="1">
        <v>14</v>
      </c>
      <c r="E31" s="3">
        <v>46311</v>
      </c>
      <c r="F31" s="3">
        <v>46325</v>
      </c>
      <c r="G31" s="3"/>
      <c r="H31" s="3"/>
      <c r="I31" s="4">
        <v>20000</v>
      </c>
      <c r="J31" s="4">
        <v>0</v>
      </c>
      <c r="K31" s="5" cm="1">
        <f t="array" aca="1" ref="K31" ca="1">_xlfn.SWITCH(TRUE,
ISBLANK(FactProgress[[#This Row],[Planned_EndDate]]),0,
TODAY()&gt;=FactProgress[[#This Row],[Planned_EndDate]],1,
TODAY()&lt;FactProgress[[#This Row],[Planned_StartDate]],0,
E31="",0,
(TODAY()-FactProgress[[#This Row],[Planned_StartDate]])/(FactProgress[[#This Row],[Planned_EndDate]]-FactProgress[[#This Row],[Planned_StartDate]]))</f>
        <v>0</v>
      </c>
      <c r="L31" s="5">
        <v>0</v>
      </c>
      <c r="M31" s="5">
        <f>IFERROR(FactProgress[[#This Row],[Real_Cost]]/FactProgress[[#This Row],[Expected_Cost]],0)</f>
        <v>0</v>
      </c>
      <c r="N31" s="1" t="str" cm="1">
        <f t="array" aca="1" ref="N3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1" s="1" t="str" cm="1">
        <f t="array" ref="O3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1" s="9" t="str" cm="1">
        <f t="array" ref="P3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1" s="10">
        <v>20</v>
      </c>
      <c r="R31" s="10">
        <v>1</v>
      </c>
      <c r="S31" s="10" cm="1">
        <f t="array" aca="1" ref="S3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1" s="10">
        <f>(FactProgress[[#This Row],[Planned_EndDate]]-FactProgress[[#This Row],[Planned_StartDate]])+1</f>
        <v>15</v>
      </c>
      <c r="U31" s="10" cm="1">
        <f t="array" aca="1" ref="U3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1" s="10" cm="1">
        <f t="array" aca="1" ref="V3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2" spans="1:22" x14ac:dyDescent="0.35">
      <c r="A32" s="1">
        <v>31</v>
      </c>
      <c r="B32" s="1">
        <v>3</v>
      </c>
      <c r="C32" s="1">
        <v>1</v>
      </c>
      <c r="D32" s="1"/>
      <c r="E32" s="3">
        <v>46054</v>
      </c>
      <c r="F32" s="3">
        <v>46073</v>
      </c>
      <c r="G32" s="3">
        <v>46058</v>
      </c>
      <c r="H32" s="3"/>
      <c r="I32" s="4">
        <v>110000</v>
      </c>
      <c r="J32" s="4">
        <v>85000</v>
      </c>
      <c r="K32" s="5" cm="1">
        <f t="array" aca="1" ref="K32" ca="1">_xlfn.SWITCH(TRUE,
ISBLANK(FactProgress[[#This Row],[Planned_EndDate]]),0,
TODAY()&gt;=FactProgress[[#This Row],[Planned_EndDate]],1,
TODAY()&lt;FactProgress[[#This Row],[Planned_StartDate]],0,
E32="",0,
(TODAY()-FactProgress[[#This Row],[Planned_StartDate]])/(FactProgress[[#This Row],[Planned_EndDate]]-FactProgress[[#This Row],[Planned_StartDate]]))</f>
        <v>1</v>
      </c>
      <c r="L32" s="5">
        <v>0.7</v>
      </c>
      <c r="M32" s="5">
        <f>IFERROR(FactProgress[[#This Row],[Real_Cost]]/FactProgress[[#This Row],[Expected_Cost]],0)</f>
        <v>0.77272727272727271</v>
      </c>
      <c r="N32" s="1" t="str" cm="1">
        <f t="array" aca="1" ref="N3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32" s="1" t="str" cm="1">
        <f t="array" ref="O3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32" s="9" t="str" cm="1">
        <f t="array" ref="P3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32" s="10">
        <v>30</v>
      </c>
      <c r="R32" s="10">
        <v>2</v>
      </c>
      <c r="S32" s="10" cm="1">
        <f t="array" aca="1" ref="S3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20</v>
      </c>
      <c r="T32" s="10">
        <f>(FactProgress[[#This Row],[Planned_EndDate]]-FactProgress[[#This Row],[Planned_StartDate]])+1</f>
        <v>20</v>
      </c>
      <c r="U32" s="10" cm="1">
        <f t="array" aca="1" ref="U3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42</v>
      </c>
      <c r="V32" s="10" cm="1">
        <f t="array" aca="1" ref="V3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60</v>
      </c>
    </row>
    <row r="33" spans="1:22" x14ac:dyDescent="0.35">
      <c r="A33" s="1">
        <v>32</v>
      </c>
      <c r="B33" s="1">
        <v>3</v>
      </c>
      <c r="C33" s="1">
        <v>2</v>
      </c>
      <c r="D33" s="1">
        <v>1</v>
      </c>
      <c r="E33" s="3">
        <v>46074</v>
      </c>
      <c r="F33" s="3">
        <v>46081</v>
      </c>
      <c r="G33" s="3">
        <v>46078</v>
      </c>
      <c r="H33" s="3"/>
      <c r="I33" s="4">
        <v>45000</v>
      </c>
      <c r="J33" s="4">
        <v>20000</v>
      </c>
      <c r="K33" s="5" cm="1">
        <f t="array" aca="1" ref="K33" ca="1">_xlfn.SWITCH(TRUE,
ISBLANK(FactProgress[[#This Row],[Planned_EndDate]]),0,
TODAY()&gt;=FactProgress[[#This Row],[Planned_EndDate]],1,
TODAY()&lt;FactProgress[[#This Row],[Planned_StartDate]],0,
E33="",0,
(TODAY()-FactProgress[[#This Row],[Planned_StartDate]])/(FactProgress[[#This Row],[Planned_EndDate]]-FactProgress[[#This Row],[Planned_StartDate]]))</f>
        <v>1</v>
      </c>
      <c r="L33" s="5">
        <v>0.45</v>
      </c>
      <c r="M33" s="5">
        <f>IFERROR(FactProgress[[#This Row],[Real_Cost]]/FactProgress[[#This Row],[Expected_Cost]],0)</f>
        <v>0.44444444444444442</v>
      </c>
      <c r="N33" s="1" t="str" cm="1">
        <f t="array" aca="1" ref="N3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33" s="1" t="str" cm="1">
        <f t="array" ref="O3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33" s="9" t="str" cm="1">
        <f t="array" ref="P3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33" s="10">
        <v>30</v>
      </c>
      <c r="R33" s="10">
        <v>2</v>
      </c>
      <c r="S33" s="10" cm="1">
        <f t="array" aca="1" ref="S3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8</v>
      </c>
      <c r="T33" s="10">
        <f>(FactProgress[[#This Row],[Planned_EndDate]]-FactProgress[[#This Row],[Planned_StartDate]])+1</f>
        <v>8</v>
      </c>
      <c r="U33" s="10" cm="1">
        <f t="array" aca="1" ref="U3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22</v>
      </c>
      <c r="V33" s="10" cm="1">
        <f t="array" aca="1" ref="V3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49</v>
      </c>
    </row>
    <row r="34" spans="1:22" x14ac:dyDescent="0.35">
      <c r="A34" s="1">
        <v>33</v>
      </c>
      <c r="B34" s="1">
        <v>3</v>
      </c>
      <c r="C34" s="1">
        <v>3</v>
      </c>
      <c r="D34" s="1">
        <v>2</v>
      </c>
      <c r="E34" s="3">
        <v>46082</v>
      </c>
      <c r="F34" s="3">
        <v>46112</v>
      </c>
      <c r="G34" s="3">
        <v>46083</v>
      </c>
      <c r="H34" s="3"/>
      <c r="I34" s="4">
        <v>250000</v>
      </c>
      <c r="J34" s="4">
        <v>50000</v>
      </c>
      <c r="K34" s="5" cm="1">
        <f t="array" aca="1" ref="K34" ca="1">_xlfn.SWITCH(TRUE,
ISBLANK(FactProgress[[#This Row],[Planned_EndDate]]),0,
TODAY()&gt;=FactProgress[[#This Row],[Planned_EndDate]],1,
TODAY()&lt;FactProgress[[#This Row],[Planned_StartDate]],0,
E34="",0,
(TODAY()-FactProgress[[#This Row],[Planned_StartDate]])/(FactProgress[[#This Row],[Planned_EndDate]]-FactProgress[[#This Row],[Planned_StartDate]]))</f>
        <v>0.6</v>
      </c>
      <c r="L34" s="5">
        <v>0.15</v>
      </c>
      <c r="M34" s="5">
        <f>IFERROR(FactProgress[[#This Row],[Real_Cost]]/FactProgress[[#This Row],[Expected_Cost]],0)</f>
        <v>0.2</v>
      </c>
      <c r="N34" s="1" t="str" cm="1">
        <f t="array" aca="1" ref="N3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34" s="1" t="str" cm="1">
        <f t="array" ref="O3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34" s="9" t="str" cm="1">
        <f t="array" ref="P3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34" s="10">
        <v>4</v>
      </c>
      <c r="R34" s="10">
        <v>2</v>
      </c>
      <c r="S34" s="10" cm="1">
        <f t="array" aca="1" ref="S3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18</v>
      </c>
      <c r="T34" s="10">
        <f>(FactProgress[[#This Row],[Planned_EndDate]]-FactProgress[[#This Row],[Planned_StartDate]])+1</f>
        <v>31</v>
      </c>
      <c r="U34" s="10" cm="1">
        <f t="array" aca="1" ref="U3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17</v>
      </c>
      <c r="V34" s="10" cm="1">
        <f t="array" aca="1" ref="V3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113</v>
      </c>
    </row>
    <row r="35" spans="1:22" x14ac:dyDescent="0.35">
      <c r="A35" s="1">
        <v>34</v>
      </c>
      <c r="B35" s="1">
        <v>3</v>
      </c>
      <c r="C35" s="1">
        <v>4</v>
      </c>
      <c r="D35" s="1">
        <v>3</v>
      </c>
      <c r="E35" s="3">
        <v>46113</v>
      </c>
      <c r="F35" s="3">
        <v>46172</v>
      </c>
      <c r="G35" s="3"/>
      <c r="H35" s="3"/>
      <c r="I35" s="4">
        <v>1200000</v>
      </c>
      <c r="J35" s="4">
        <v>0</v>
      </c>
      <c r="K35" s="5" cm="1">
        <f t="array" aca="1" ref="K35" ca="1">_xlfn.SWITCH(TRUE,
ISBLANK(FactProgress[[#This Row],[Planned_EndDate]]),0,
TODAY()&gt;=FactProgress[[#This Row],[Planned_EndDate]],1,
TODAY()&lt;FactProgress[[#This Row],[Planned_StartDate]],0,
E35="",0,
(TODAY()-FactProgress[[#This Row],[Planned_StartDate]])/(FactProgress[[#This Row],[Planned_EndDate]]-FactProgress[[#This Row],[Planned_StartDate]]))</f>
        <v>0</v>
      </c>
      <c r="L35" s="5">
        <v>0</v>
      </c>
      <c r="M35" s="5">
        <f>IFERROR(FactProgress[[#This Row],[Real_Cost]]/FactProgress[[#This Row],[Expected_Cost]],0)</f>
        <v>0</v>
      </c>
      <c r="N35" s="1" t="str" cm="1">
        <f t="array" aca="1" ref="N3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5" s="1" t="str" cm="1">
        <f t="array" ref="O3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5" s="9" t="str" cm="1">
        <f t="array" ref="P3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5" s="10">
        <v>4</v>
      </c>
      <c r="R35" s="10">
        <v>2</v>
      </c>
      <c r="S35" s="10" cm="1">
        <f t="array" aca="1" ref="S3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5" s="10">
        <f>(FactProgress[[#This Row],[Planned_EndDate]]-FactProgress[[#This Row],[Planned_StartDate]])+1</f>
        <v>60</v>
      </c>
      <c r="U35" s="10" cm="1">
        <f t="array" aca="1" ref="U3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5" s="10" cm="1">
        <f t="array" aca="1" ref="V3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6" spans="1:22" x14ac:dyDescent="0.35">
      <c r="A36" s="1">
        <v>35</v>
      </c>
      <c r="B36" s="1">
        <v>3</v>
      </c>
      <c r="C36" s="1">
        <v>5</v>
      </c>
      <c r="D36" s="1">
        <v>4</v>
      </c>
      <c r="E36" s="3">
        <v>46174</v>
      </c>
      <c r="F36" s="3">
        <v>46264</v>
      </c>
      <c r="G36" s="3"/>
      <c r="H36" s="3"/>
      <c r="I36" s="4">
        <v>2500000</v>
      </c>
      <c r="J36" s="4">
        <v>0</v>
      </c>
      <c r="K36" s="5" cm="1">
        <f t="array" aca="1" ref="K36" ca="1">_xlfn.SWITCH(TRUE,
ISBLANK(FactProgress[[#This Row],[Planned_EndDate]]),0,
TODAY()&gt;=FactProgress[[#This Row],[Planned_EndDate]],1,
TODAY()&lt;FactProgress[[#This Row],[Planned_StartDate]],0,
E36="",0,
(TODAY()-FactProgress[[#This Row],[Planned_StartDate]])/(FactProgress[[#This Row],[Planned_EndDate]]-FactProgress[[#This Row],[Planned_StartDate]]))</f>
        <v>0</v>
      </c>
      <c r="L36" s="5">
        <v>0</v>
      </c>
      <c r="M36" s="5">
        <f>IFERROR(FactProgress[[#This Row],[Real_Cost]]/FactProgress[[#This Row],[Expected_Cost]],0)</f>
        <v>0</v>
      </c>
      <c r="N36" s="1" t="str" cm="1">
        <f t="array" aca="1" ref="N3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6" s="1" t="str" cm="1">
        <f t="array" ref="O3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6" s="9" t="str" cm="1">
        <f t="array" ref="P3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6" s="10">
        <v>4</v>
      </c>
      <c r="R36" s="10">
        <v>2</v>
      </c>
      <c r="S36" s="10" cm="1">
        <f t="array" aca="1" ref="S3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6" s="10">
        <f>(FactProgress[[#This Row],[Planned_EndDate]]-FactProgress[[#This Row],[Planned_StartDate]])+1</f>
        <v>91</v>
      </c>
      <c r="U36" s="10" cm="1">
        <f t="array" aca="1" ref="U3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6" s="10" cm="1">
        <f t="array" aca="1" ref="V3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7" spans="1:22" x14ac:dyDescent="0.35">
      <c r="A37" s="1">
        <v>36</v>
      </c>
      <c r="B37" s="1">
        <v>3</v>
      </c>
      <c r="C37" s="1">
        <v>6</v>
      </c>
      <c r="D37" s="1">
        <v>5</v>
      </c>
      <c r="E37" s="3">
        <v>46266</v>
      </c>
      <c r="F37" s="3">
        <v>46295</v>
      </c>
      <c r="G37" s="3"/>
      <c r="H37" s="3"/>
      <c r="I37" s="4">
        <v>950000</v>
      </c>
      <c r="J37" s="4">
        <v>0</v>
      </c>
      <c r="K37" s="5" cm="1">
        <f t="array" aca="1" ref="K37" ca="1">_xlfn.SWITCH(TRUE,
ISBLANK(FactProgress[[#This Row],[Planned_EndDate]]),0,
TODAY()&gt;=FactProgress[[#This Row],[Planned_EndDate]],1,
TODAY()&lt;FactProgress[[#This Row],[Planned_StartDate]],0,
E37="",0,
(TODAY()-FactProgress[[#This Row],[Planned_StartDate]])/(FactProgress[[#This Row],[Planned_EndDate]]-FactProgress[[#This Row],[Planned_StartDate]]))</f>
        <v>0</v>
      </c>
      <c r="L37" s="5">
        <v>0</v>
      </c>
      <c r="M37" s="5">
        <f>IFERROR(FactProgress[[#This Row],[Real_Cost]]/FactProgress[[#This Row],[Expected_Cost]],0)</f>
        <v>0</v>
      </c>
      <c r="N37" s="1" t="str" cm="1">
        <f t="array" aca="1" ref="N3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7" s="1" t="str" cm="1">
        <f t="array" ref="O3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7" s="9" t="str" cm="1">
        <f t="array" ref="P3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7" s="10">
        <v>4</v>
      </c>
      <c r="R37" s="10">
        <v>2</v>
      </c>
      <c r="S37" s="10" cm="1">
        <f t="array" aca="1" ref="S3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7" s="10">
        <f>(FactProgress[[#This Row],[Planned_EndDate]]-FactProgress[[#This Row],[Planned_StartDate]])+1</f>
        <v>30</v>
      </c>
      <c r="U37" s="10" cm="1">
        <f t="array" aca="1" ref="U3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7" s="10" cm="1">
        <f t="array" aca="1" ref="V3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8" spans="1:22" x14ac:dyDescent="0.35">
      <c r="A38" s="1">
        <v>37</v>
      </c>
      <c r="B38" s="1">
        <v>3</v>
      </c>
      <c r="C38" s="1">
        <v>7</v>
      </c>
      <c r="D38" s="1">
        <v>4</v>
      </c>
      <c r="E38" s="3">
        <v>46174</v>
      </c>
      <c r="F38" s="3">
        <v>46218</v>
      </c>
      <c r="G38" s="3"/>
      <c r="H38" s="3"/>
      <c r="I38" s="4">
        <v>420000</v>
      </c>
      <c r="J38" s="4">
        <v>0</v>
      </c>
      <c r="K38" s="5" cm="1">
        <f t="array" aca="1" ref="K38" ca="1">_xlfn.SWITCH(TRUE,
ISBLANK(FactProgress[[#This Row],[Planned_EndDate]]),0,
TODAY()&gt;=FactProgress[[#This Row],[Planned_EndDate]],1,
TODAY()&lt;FactProgress[[#This Row],[Planned_StartDate]],0,
E38="",0,
(TODAY()-FactProgress[[#This Row],[Planned_StartDate]])/(FactProgress[[#This Row],[Planned_EndDate]]-FactProgress[[#This Row],[Planned_StartDate]]))</f>
        <v>0</v>
      </c>
      <c r="L38" s="5">
        <v>0</v>
      </c>
      <c r="M38" s="5">
        <f>IFERROR(FactProgress[[#This Row],[Real_Cost]]/FactProgress[[#This Row],[Expected_Cost]],0)</f>
        <v>0</v>
      </c>
      <c r="N38" s="1" t="str" cm="1">
        <f t="array" aca="1" ref="N3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8" s="1" t="str" cm="1">
        <f t="array" ref="O3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8" s="9" t="str" cm="1">
        <f t="array" ref="P3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8" s="10">
        <v>11</v>
      </c>
      <c r="R38" s="10">
        <v>2</v>
      </c>
      <c r="S38" s="10" cm="1">
        <f t="array" aca="1" ref="S3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8" s="10">
        <f>(FactProgress[[#This Row],[Planned_EndDate]]-FactProgress[[#This Row],[Planned_StartDate]])+1</f>
        <v>45</v>
      </c>
      <c r="U38" s="10" cm="1">
        <f t="array" aca="1" ref="U3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8" s="10" cm="1">
        <f t="array" aca="1" ref="V3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39" spans="1:22" x14ac:dyDescent="0.35">
      <c r="A39" s="1">
        <v>38</v>
      </c>
      <c r="B39" s="1">
        <v>3</v>
      </c>
      <c r="C39" s="1">
        <v>8</v>
      </c>
      <c r="D39" s="1">
        <v>6</v>
      </c>
      <c r="E39" s="3">
        <v>46296</v>
      </c>
      <c r="F39" s="3">
        <v>46325</v>
      </c>
      <c r="G39" s="3"/>
      <c r="H39" s="3"/>
      <c r="I39" s="4">
        <v>210000</v>
      </c>
      <c r="J39" s="4">
        <v>0</v>
      </c>
      <c r="K39" s="5" cm="1">
        <f t="array" aca="1" ref="K39" ca="1">_xlfn.SWITCH(TRUE,
ISBLANK(FactProgress[[#This Row],[Planned_EndDate]]),0,
TODAY()&gt;=FactProgress[[#This Row],[Planned_EndDate]],1,
TODAY()&lt;FactProgress[[#This Row],[Planned_StartDate]],0,
E39="",0,
(TODAY()-FactProgress[[#This Row],[Planned_StartDate]])/(FactProgress[[#This Row],[Planned_EndDate]]-FactProgress[[#This Row],[Planned_StartDate]]))</f>
        <v>0</v>
      </c>
      <c r="L39" s="5">
        <v>0</v>
      </c>
      <c r="M39" s="5">
        <f>IFERROR(FactProgress[[#This Row],[Real_Cost]]/FactProgress[[#This Row],[Expected_Cost]],0)</f>
        <v>0</v>
      </c>
      <c r="N39" s="1" t="str" cm="1">
        <f t="array" aca="1" ref="N3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39" s="1" t="str" cm="1">
        <f t="array" ref="O3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39" s="9" t="str" cm="1">
        <f t="array" ref="P3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39" s="10">
        <v>11</v>
      </c>
      <c r="R39" s="10">
        <v>2</v>
      </c>
      <c r="S39" s="10" cm="1">
        <f t="array" aca="1" ref="S3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39" s="10">
        <f>(FactProgress[[#This Row],[Planned_EndDate]]-FactProgress[[#This Row],[Planned_StartDate]])+1</f>
        <v>30</v>
      </c>
      <c r="U39" s="10" cm="1">
        <f t="array" aca="1" ref="U3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39" s="10" cm="1">
        <f t="array" aca="1" ref="V3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0" spans="1:22" x14ac:dyDescent="0.35">
      <c r="A40" s="1">
        <v>39</v>
      </c>
      <c r="B40" s="1">
        <v>3</v>
      </c>
      <c r="C40" s="1">
        <v>9</v>
      </c>
      <c r="D40" s="1">
        <v>7</v>
      </c>
      <c r="E40" s="3">
        <v>46219</v>
      </c>
      <c r="F40" s="3">
        <v>46233</v>
      </c>
      <c r="G40" s="3"/>
      <c r="H40" s="3"/>
      <c r="I40" s="4">
        <v>130000</v>
      </c>
      <c r="J40" s="4">
        <v>0</v>
      </c>
      <c r="K40" s="5" cm="1">
        <f t="array" aca="1" ref="K40" ca="1">_xlfn.SWITCH(TRUE,
ISBLANK(FactProgress[[#This Row],[Planned_EndDate]]),0,
TODAY()&gt;=FactProgress[[#This Row],[Planned_EndDate]],1,
TODAY()&lt;FactProgress[[#This Row],[Planned_StartDate]],0,
E40="",0,
(TODAY()-FactProgress[[#This Row],[Planned_StartDate]])/(FactProgress[[#This Row],[Planned_EndDate]]-FactProgress[[#This Row],[Planned_StartDate]]))</f>
        <v>0</v>
      </c>
      <c r="L40" s="5">
        <v>0</v>
      </c>
      <c r="M40" s="5">
        <f>IFERROR(FactProgress[[#This Row],[Real_Cost]]/FactProgress[[#This Row],[Expected_Cost]],0)</f>
        <v>0</v>
      </c>
      <c r="N40" s="1" t="str" cm="1">
        <f t="array" aca="1" ref="N4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0" s="1" t="str" cm="1">
        <f t="array" ref="O4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0" s="9" t="str" cm="1">
        <f t="array" ref="P4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0" s="10">
        <v>11</v>
      </c>
      <c r="R40" s="10">
        <v>2</v>
      </c>
      <c r="S40" s="10" cm="1">
        <f t="array" aca="1" ref="S4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0" s="10">
        <f>(FactProgress[[#This Row],[Planned_EndDate]]-FactProgress[[#This Row],[Planned_StartDate]])+1</f>
        <v>15</v>
      </c>
      <c r="U40" s="10" cm="1">
        <f t="array" aca="1" ref="U4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0" s="10" cm="1">
        <f t="array" aca="1" ref="V4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1" spans="1:22" x14ac:dyDescent="0.35">
      <c r="A41" s="1">
        <v>40</v>
      </c>
      <c r="B41" s="1">
        <v>3</v>
      </c>
      <c r="C41" s="1">
        <v>10</v>
      </c>
      <c r="D41" s="1">
        <v>5</v>
      </c>
      <c r="E41" s="3">
        <v>46266</v>
      </c>
      <c r="F41" s="3">
        <v>46356</v>
      </c>
      <c r="G41" s="3"/>
      <c r="H41" s="3"/>
      <c r="I41" s="4">
        <v>800000</v>
      </c>
      <c r="J41" s="4">
        <v>0</v>
      </c>
      <c r="K41" s="5" cm="1">
        <f t="array" aca="1" ref="K41" ca="1">_xlfn.SWITCH(TRUE,
ISBLANK(FactProgress[[#This Row],[Planned_EndDate]]),0,
TODAY()&gt;=FactProgress[[#This Row],[Planned_EndDate]],1,
TODAY()&lt;FactProgress[[#This Row],[Planned_StartDate]],0,
E41="",0,
(TODAY()-FactProgress[[#This Row],[Planned_StartDate]])/(FactProgress[[#This Row],[Planned_EndDate]]-FactProgress[[#This Row],[Planned_StartDate]]))</f>
        <v>0</v>
      </c>
      <c r="L41" s="5">
        <v>0</v>
      </c>
      <c r="M41" s="5">
        <f>IFERROR(FactProgress[[#This Row],[Real_Cost]]/FactProgress[[#This Row],[Expected_Cost]],0)</f>
        <v>0</v>
      </c>
      <c r="N41" s="1" t="str" cm="1">
        <f t="array" aca="1" ref="N4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1" s="1" t="str" cm="1">
        <f t="array" ref="O4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1" s="9" t="str" cm="1">
        <f t="array" ref="P4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1" s="10">
        <v>13</v>
      </c>
      <c r="R41" s="10">
        <v>2</v>
      </c>
      <c r="S41" s="10" cm="1">
        <f t="array" aca="1" ref="S4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1" s="10">
        <f>(FactProgress[[#This Row],[Planned_EndDate]]-FactProgress[[#This Row],[Planned_StartDate]])+1</f>
        <v>91</v>
      </c>
      <c r="U41" s="10" cm="1">
        <f t="array" aca="1" ref="U4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1" s="10" cm="1">
        <f t="array" aca="1" ref="V4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2" spans="1:22" x14ac:dyDescent="0.35">
      <c r="A42" s="1">
        <v>41</v>
      </c>
      <c r="B42" s="1">
        <v>3</v>
      </c>
      <c r="C42" s="1">
        <v>11</v>
      </c>
      <c r="D42" s="1">
        <v>10</v>
      </c>
      <c r="E42" s="3">
        <v>46357</v>
      </c>
      <c r="F42" s="3">
        <v>46402</v>
      </c>
      <c r="G42" s="3"/>
      <c r="H42" s="3"/>
      <c r="I42" s="4">
        <v>550000</v>
      </c>
      <c r="J42" s="4">
        <v>0</v>
      </c>
      <c r="K42" s="5" cm="1">
        <f t="array" aca="1" ref="K42" ca="1">_xlfn.SWITCH(TRUE,
ISBLANK(FactProgress[[#This Row],[Planned_EndDate]]),0,
TODAY()&gt;=FactProgress[[#This Row],[Planned_EndDate]],1,
TODAY()&lt;FactProgress[[#This Row],[Planned_StartDate]],0,
E42="",0,
(TODAY()-FactProgress[[#This Row],[Planned_StartDate]])/(FactProgress[[#This Row],[Planned_EndDate]]-FactProgress[[#This Row],[Planned_StartDate]]))</f>
        <v>0</v>
      </c>
      <c r="L42" s="5">
        <v>0</v>
      </c>
      <c r="M42" s="5">
        <f>IFERROR(FactProgress[[#This Row],[Real_Cost]]/FactProgress[[#This Row],[Expected_Cost]],0)</f>
        <v>0</v>
      </c>
      <c r="N42" s="1" t="str" cm="1">
        <f t="array" aca="1" ref="N4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2" s="1" t="str" cm="1">
        <f t="array" ref="O4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2" s="9" t="str" cm="1">
        <f t="array" ref="P4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2" s="10">
        <v>13</v>
      </c>
      <c r="R42" s="10">
        <v>2</v>
      </c>
      <c r="S42" s="10" cm="1">
        <f t="array" aca="1" ref="S4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2" s="10">
        <f>(FactProgress[[#This Row],[Planned_EndDate]]-FactProgress[[#This Row],[Planned_StartDate]])+1</f>
        <v>46</v>
      </c>
      <c r="U42" s="10" cm="1">
        <f t="array" aca="1" ref="U4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2" s="10" cm="1">
        <f t="array" aca="1" ref="V4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3" spans="1:22" x14ac:dyDescent="0.35">
      <c r="A43" s="1">
        <v>42</v>
      </c>
      <c r="B43" s="1">
        <v>3</v>
      </c>
      <c r="C43" s="1">
        <v>12</v>
      </c>
      <c r="D43" s="1">
        <v>10</v>
      </c>
      <c r="E43" s="3">
        <v>46357</v>
      </c>
      <c r="F43" s="3">
        <v>46417</v>
      </c>
      <c r="G43" s="3"/>
      <c r="H43" s="3"/>
      <c r="I43" s="4">
        <v>380000</v>
      </c>
      <c r="J43" s="4">
        <v>0</v>
      </c>
      <c r="K43" s="5" cm="1">
        <f t="array" aca="1" ref="K43" ca="1">_xlfn.SWITCH(TRUE,
ISBLANK(FactProgress[[#This Row],[Planned_EndDate]]),0,
TODAY()&gt;=FactProgress[[#This Row],[Planned_EndDate]],1,
TODAY()&lt;FactProgress[[#This Row],[Planned_StartDate]],0,
E43="",0,
(TODAY()-FactProgress[[#This Row],[Planned_StartDate]])/(FactProgress[[#This Row],[Planned_EndDate]]-FactProgress[[#This Row],[Planned_StartDate]]))</f>
        <v>0</v>
      </c>
      <c r="L43" s="5">
        <v>0</v>
      </c>
      <c r="M43" s="5">
        <f>IFERROR(FactProgress[[#This Row],[Real_Cost]]/FactProgress[[#This Row],[Expected_Cost]],0)</f>
        <v>0</v>
      </c>
      <c r="N43" s="1" t="str" cm="1">
        <f t="array" aca="1" ref="N4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3" s="1" t="str" cm="1">
        <f t="array" ref="O4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3" s="9" t="str" cm="1">
        <f t="array" ref="P4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3" s="10">
        <v>13</v>
      </c>
      <c r="R43" s="10">
        <v>2</v>
      </c>
      <c r="S43" s="10" cm="1">
        <f t="array" aca="1" ref="S4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3" s="10">
        <f>(FactProgress[[#This Row],[Planned_EndDate]]-FactProgress[[#This Row],[Planned_StartDate]])+1</f>
        <v>61</v>
      </c>
      <c r="U43" s="10" cm="1">
        <f t="array" aca="1" ref="U4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3" s="10" cm="1">
        <f t="array" aca="1" ref="V4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4" spans="1:22" x14ac:dyDescent="0.35">
      <c r="A44" s="1">
        <v>43</v>
      </c>
      <c r="B44" s="1">
        <v>3</v>
      </c>
      <c r="C44" s="1">
        <v>13</v>
      </c>
      <c r="D44" s="1">
        <v>11</v>
      </c>
      <c r="E44" s="3">
        <v>46419</v>
      </c>
      <c r="F44" s="3">
        <v>46446</v>
      </c>
      <c r="G44" s="3"/>
      <c r="H44" s="3"/>
      <c r="I44" s="4">
        <v>300000</v>
      </c>
      <c r="J44" s="4">
        <v>0</v>
      </c>
      <c r="K44" s="5" cm="1">
        <f t="array" aca="1" ref="K44" ca="1">_xlfn.SWITCH(TRUE,
ISBLANK(FactProgress[[#This Row],[Planned_EndDate]]),0,
TODAY()&gt;=FactProgress[[#This Row],[Planned_EndDate]],1,
TODAY()&lt;FactProgress[[#This Row],[Planned_StartDate]],0,
E44="",0,
(TODAY()-FactProgress[[#This Row],[Planned_StartDate]])/(FactProgress[[#This Row],[Planned_EndDate]]-FactProgress[[#This Row],[Planned_StartDate]]))</f>
        <v>0</v>
      </c>
      <c r="L44" s="5">
        <v>0</v>
      </c>
      <c r="M44" s="5">
        <f>IFERROR(FactProgress[[#This Row],[Real_Cost]]/FactProgress[[#This Row],[Expected_Cost]],0)</f>
        <v>0</v>
      </c>
      <c r="N44" s="1" t="str" cm="1">
        <f t="array" aca="1" ref="N4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4" s="1" t="str" cm="1">
        <f t="array" ref="O4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4" s="9" t="str" cm="1">
        <f t="array" ref="P4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4" s="10">
        <v>13</v>
      </c>
      <c r="R44" s="10">
        <v>2</v>
      </c>
      <c r="S44" s="10" cm="1">
        <f t="array" aca="1" ref="S4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4" s="10">
        <f>(FactProgress[[#This Row],[Planned_EndDate]]-FactProgress[[#This Row],[Planned_StartDate]])+1</f>
        <v>28</v>
      </c>
      <c r="U44" s="10" cm="1">
        <f t="array" aca="1" ref="U4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4" s="10" cm="1">
        <f t="array" aca="1" ref="V4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5" spans="1:22" x14ac:dyDescent="0.35">
      <c r="A45" s="1">
        <v>44</v>
      </c>
      <c r="B45" s="1">
        <v>3</v>
      </c>
      <c r="C45" s="1">
        <v>14</v>
      </c>
      <c r="D45" s="1">
        <v>13</v>
      </c>
      <c r="E45" s="3">
        <v>46447</v>
      </c>
      <c r="F45" s="3">
        <v>46461</v>
      </c>
      <c r="G45" s="3"/>
      <c r="H45" s="3"/>
      <c r="I45" s="4">
        <v>60000</v>
      </c>
      <c r="J45" s="4">
        <v>0</v>
      </c>
      <c r="K45" s="5" cm="1">
        <f t="array" aca="1" ref="K45" ca="1">_xlfn.SWITCH(TRUE,
ISBLANK(FactProgress[[#This Row],[Planned_EndDate]]),0,
TODAY()&gt;=FactProgress[[#This Row],[Planned_EndDate]],1,
TODAY()&lt;FactProgress[[#This Row],[Planned_StartDate]],0,
E45="",0,
(TODAY()-FactProgress[[#This Row],[Planned_StartDate]])/(FactProgress[[#This Row],[Planned_EndDate]]-FactProgress[[#This Row],[Planned_StartDate]]))</f>
        <v>0</v>
      </c>
      <c r="L45" s="5">
        <v>0</v>
      </c>
      <c r="M45" s="5">
        <f>IFERROR(FactProgress[[#This Row],[Real_Cost]]/FactProgress[[#This Row],[Expected_Cost]],0)</f>
        <v>0</v>
      </c>
      <c r="N45" s="1" t="str" cm="1">
        <f t="array" aca="1" ref="N4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5" s="1" t="str" cm="1">
        <f t="array" ref="O4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5" s="9" t="str" cm="1">
        <f t="array" ref="P4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5" s="10">
        <v>21</v>
      </c>
      <c r="R45" s="10">
        <v>2</v>
      </c>
      <c r="S45" s="10" cm="1">
        <f t="array" aca="1" ref="S4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5" s="10">
        <f>(FactProgress[[#This Row],[Planned_EndDate]]-FactProgress[[#This Row],[Planned_StartDate]])+1</f>
        <v>15</v>
      </c>
      <c r="U45" s="10" cm="1">
        <f t="array" aca="1" ref="U4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5" s="10" cm="1">
        <f t="array" aca="1" ref="V4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6" spans="1:22" x14ac:dyDescent="0.35">
      <c r="A46" s="1">
        <v>45</v>
      </c>
      <c r="B46" s="1">
        <v>3</v>
      </c>
      <c r="C46" s="1">
        <v>15</v>
      </c>
      <c r="D46" s="1">
        <v>14</v>
      </c>
      <c r="E46" s="3">
        <v>46462</v>
      </c>
      <c r="F46" s="3">
        <v>46476</v>
      </c>
      <c r="G46" s="3"/>
      <c r="H46" s="3"/>
      <c r="I46" s="4">
        <v>25000</v>
      </c>
      <c r="J46" s="4">
        <v>0</v>
      </c>
      <c r="K46" s="5" cm="1">
        <f t="array" aca="1" ref="K46" ca="1">_xlfn.SWITCH(TRUE,
ISBLANK(FactProgress[[#This Row],[Planned_EndDate]]),0,
TODAY()&gt;=FactProgress[[#This Row],[Planned_EndDate]],1,
TODAY()&lt;FactProgress[[#This Row],[Planned_StartDate]],0,
E46="",0,
(TODAY()-FactProgress[[#This Row],[Planned_StartDate]])/(FactProgress[[#This Row],[Planned_EndDate]]-FactProgress[[#This Row],[Planned_StartDate]]))</f>
        <v>0</v>
      </c>
      <c r="L46" s="5">
        <v>0</v>
      </c>
      <c r="M46" s="5">
        <f>IFERROR(FactProgress[[#This Row],[Real_Cost]]/FactProgress[[#This Row],[Expected_Cost]],0)</f>
        <v>0</v>
      </c>
      <c r="N46" s="1" t="str" cm="1">
        <f t="array" aca="1" ref="N4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6" s="1" t="str" cm="1">
        <f t="array" ref="O4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6" s="9" t="str" cm="1">
        <f t="array" ref="P4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6" s="10">
        <v>21</v>
      </c>
      <c r="R46" s="10">
        <v>2</v>
      </c>
      <c r="S46" s="10" cm="1">
        <f t="array" aca="1" ref="S4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6" s="10">
        <f>(FactProgress[[#This Row],[Planned_EndDate]]-FactProgress[[#This Row],[Planned_StartDate]])+1</f>
        <v>15</v>
      </c>
      <c r="U46" s="10" cm="1">
        <f t="array" aca="1" ref="U4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6" s="10" cm="1">
        <f t="array" aca="1" ref="V4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7" spans="1:22" x14ac:dyDescent="0.35">
      <c r="A47" s="1">
        <v>46</v>
      </c>
      <c r="B47" s="1">
        <v>4</v>
      </c>
      <c r="C47" s="1">
        <v>1</v>
      </c>
      <c r="D47" s="1"/>
      <c r="E47" s="3">
        <v>46096</v>
      </c>
      <c r="F47" s="3">
        <v>46111</v>
      </c>
      <c r="G47" s="3"/>
      <c r="H47" s="3"/>
      <c r="I47" s="4">
        <v>85000</v>
      </c>
      <c r="J47" s="4">
        <v>0</v>
      </c>
      <c r="K47" s="5" cm="1">
        <f t="array" aca="1" ref="K47" ca="1">_xlfn.SWITCH(TRUE,
ISBLANK(FactProgress[[#This Row],[Planned_EndDate]]),0,
TODAY()&gt;=FactProgress[[#This Row],[Planned_EndDate]],1,
TODAY()&lt;FactProgress[[#This Row],[Planned_StartDate]],0,
E47="",0,
(TODAY()-FactProgress[[#This Row],[Planned_StartDate]])/(FactProgress[[#This Row],[Planned_EndDate]]-FactProgress[[#This Row],[Planned_StartDate]]))</f>
        <v>0.26666666666666666</v>
      </c>
      <c r="L47" s="5">
        <v>0</v>
      </c>
      <c r="M47" s="5">
        <f>IFERROR(FactProgress[[#This Row],[Real_Cost]]/FactProgress[[#This Row],[Expected_Cost]],0)</f>
        <v>0</v>
      </c>
      <c r="N47" s="1" t="str" cm="1">
        <f t="array" aca="1" ref="N4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47" s="1" t="str" cm="1">
        <f t="array" ref="O4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7" s="9" t="str" cm="1">
        <f t="array" ref="P4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7" s="10">
        <v>8</v>
      </c>
      <c r="R47" s="10">
        <v>4</v>
      </c>
      <c r="S47" s="10" cm="1">
        <f t="array" aca="1" ref="S4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</v>
      </c>
      <c r="T47" s="10">
        <f>(FactProgress[[#This Row],[Planned_EndDate]]-FactProgress[[#This Row],[Planned_StartDate]])+1</f>
        <v>16</v>
      </c>
      <c r="U47" s="10" cm="1">
        <f t="array" aca="1" ref="U4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7" s="10" cm="1">
        <f t="array" aca="1" ref="V4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8" spans="1:22" x14ac:dyDescent="0.35">
      <c r="A48" s="1">
        <v>47</v>
      </c>
      <c r="B48" s="1">
        <v>4</v>
      </c>
      <c r="C48" s="1">
        <v>2</v>
      </c>
      <c r="D48" s="1">
        <v>1</v>
      </c>
      <c r="E48" s="3">
        <v>46113</v>
      </c>
      <c r="F48" s="3">
        <v>46122</v>
      </c>
      <c r="G48" s="3"/>
      <c r="H48" s="3"/>
      <c r="I48" s="4">
        <v>40000</v>
      </c>
      <c r="J48" s="4">
        <v>0</v>
      </c>
      <c r="K48" s="5" cm="1">
        <f t="array" aca="1" ref="K48" ca="1">_xlfn.SWITCH(TRUE,
ISBLANK(FactProgress[[#This Row],[Planned_EndDate]]),0,
TODAY()&gt;=FactProgress[[#This Row],[Planned_EndDate]],1,
TODAY()&lt;FactProgress[[#This Row],[Planned_StartDate]],0,
E48="",0,
(TODAY()-FactProgress[[#This Row],[Planned_StartDate]])/(FactProgress[[#This Row],[Planned_EndDate]]-FactProgress[[#This Row],[Planned_StartDate]]))</f>
        <v>0</v>
      </c>
      <c r="L48" s="5">
        <v>0</v>
      </c>
      <c r="M48" s="5">
        <f>IFERROR(FactProgress[[#This Row],[Real_Cost]]/FactProgress[[#This Row],[Expected_Cost]],0)</f>
        <v>0</v>
      </c>
      <c r="N48" s="1" t="str" cm="1">
        <f t="array" aca="1" ref="N4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8" s="1" t="str" cm="1">
        <f t="array" ref="O4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8" s="9" t="str" cm="1">
        <f t="array" ref="P4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8" s="10">
        <v>8</v>
      </c>
      <c r="R48" s="10">
        <v>4</v>
      </c>
      <c r="S48" s="10" cm="1">
        <f t="array" aca="1" ref="S4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8" s="10">
        <f>(FactProgress[[#This Row],[Planned_EndDate]]-FactProgress[[#This Row],[Planned_StartDate]])+1</f>
        <v>10</v>
      </c>
      <c r="U48" s="10" cm="1">
        <f t="array" aca="1" ref="U4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8" s="10" cm="1">
        <f t="array" aca="1" ref="V4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49" spans="1:22" x14ac:dyDescent="0.35">
      <c r="A49" s="1">
        <v>48</v>
      </c>
      <c r="B49" s="1">
        <v>4</v>
      </c>
      <c r="C49" s="1">
        <v>3</v>
      </c>
      <c r="D49" s="1">
        <v>2</v>
      </c>
      <c r="E49" s="3">
        <v>46123</v>
      </c>
      <c r="F49" s="3">
        <v>46142</v>
      </c>
      <c r="G49" s="3"/>
      <c r="H49" s="3"/>
      <c r="I49" s="4">
        <v>200000</v>
      </c>
      <c r="J49" s="4">
        <v>0</v>
      </c>
      <c r="K49" s="5" cm="1">
        <f t="array" aca="1" ref="K49" ca="1">_xlfn.SWITCH(TRUE,
ISBLANK(FactProgress[[#This Row],[Planned_EndDate]]),0,
TODAY()&gt;=FactProgress[[#This Row],[Planned_EndDate]],1,
TODAY()&lt;FactProgress[[#This Row],[Planned_StartDate]],0,
E49="",0,
(TODAY()-FactProgress[[#This Row],[Planned_StartDate]])/(FactProgress[[#This Row],[Planned_EndDate]]-FactProgress[[#This Row],[Planned_StartDate]]))</f>
        <v>0</v>
      </c>
      <c r="L49" s="5">
        <v>0</v>
      </c>
      <c r="M49" s="5">
        <f>IFERROR(FactProgress[[#This Row],[Real_Cost]]/FactProgress[[#This Row],[Expected_Cost]],0)</f>
        <v>0</v>
      </c>
      <c r="N49" s="1" t="str" cm="1">
        <f t="array" aca="1" ref="N4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49" s="1" t="str" cm="1">
        <f t="array" ref="O4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49" s="9" t="str" cm="1">
        <f t="array" ref="P4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49" s="10">
        <v>10</v>
      </c>
      <c r="R49" s="10">
        <v>4</v>
      </c>
      <c r="S49" s="10" cm="1">
        <f t="array" aca="1" ref="S4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49" s="10">
        <f>(FactProgress[[#This Row],[Planned_EndDate]]-FactProgress[[#This Row],[Planned_StartDate]])+1</f>
        <v>20</v>
      </c>
      <c r="U49" s="10" cm="1">
        <f t="array" aca="1" ref="U4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49" s="10" cm="1">
        <f t="array" aca="1" ref="V4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0" spans="1:22" x14ac:dyDescent="0.35">
      <c r="A50" s="1">
        <v>49</v>
      </c>
      <c r="B50" s="1">
        <v>4</v>
      </c>
      <c r="C50" s="1">
        <v>4</v>
      </c>
      <c r="D50" s="1">
        <v>3</v>
      </c>
      <c r="E50" s="3">
        <v>46143</v>
      </c>
      <c r="F50" s="3">
        <v>46188</v>
      </c>
      <c r="G50" s="3"/>
      <c r="H50" s="3"/>
      <c r="I50" s="4">
        <v>950000</v>
      </c>
      <c r="J50" s="4">
        <v>0</v>
      </c>
      <c r="K50" s="5" cm="1">
        <f t="array" aca="1" ref="K50" ca="1">_xlfn.SWITCH(TRUE,
ISBLANK(FactProgress[[#This Row],[Planned_EndDate]]),0,
TODAY()&gt;=FactProgress[[#This Row],[Planned_EndDate]],1,
TODAY()&lt;FactProgress[[#This Row],[Planned_StartDate]],0,
E50="",0,
(TODAY()-FactProgress[[#This Row],[Planned_StartDate]])/(FactProgress[[#This Row],[Planned_EndDate]]-FactProgress[[#This Row],[Planned_StartDate]]))</f>
        <v>0</v>
      </c>
      <c r="L50" s="5">
        <v>0</v>
      </c>
      <c r="M50" s="5">
        <f>IFERROR(FactProgress[[#This Row],[Real_Cost]]/FactProgress[[#This Row],[Expected_Cost]],0)</f>
        <v>0</v>
      </c>
      <c r="N50" s="1" t="str" cm="1">
        <f t="array" aca="1" ref="N5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0" s="1" t="str" cm="1">
        <f t="array" ref="O5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0" s="9" t="str" cm="1">
        <f t="array" ref="P5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0" s="10">
        <v>10</v>
      </c>
      <c r="R50" s="10">
        <v>4</v>
      </c>
      <c r="S50" s="10" cm="1">
        <f t="array" aca="1" ref="S5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0" s="10">
        <f>(FactProgress[[#This Row],[Planned_EndDate]]-FactProgress[[#This Row],[Planned_StartDate]])+1</f>
        <v>46</v>
      </c>
      <c r="U50" s="10" cm="1">
        <f t="array" aca="1" ref="U5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0" s="10" cm="1">
        <f t="array" aca="1" ref="V5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1" spans="1:22" x14ac:dyDescent="0.35">
      <c r="A51" s="1">
        <v>50</v>
      </c>
      <c r="B51" s="1">
        <v>4</v>
      </c>
      <c r="C51" s="1">
        <v>5</v>
      </c>
      <c r="D51" s="1">
        <v>4</v>
      </c>
      <c r="E51" s="3">
        <v>46189</v>
      </c>
      <c r="F51" s="3">
        <v>46264</v>
      </c>
      <c r="G51" s="3"/>
      <c r="H51" s="3"/>
      <c r="I51" s="4">
        <v>1800000</v>
      </c>
      <c r="J51" s="4">
        <v>0</v>
      </c>
      <c r="K51" s="5" cm="1">
        <f t="array" aca="1" ref="K51" ca="1">_xlfn.SWITCH(TRUE,
ISBLANK(FactProgress[[#This Row],[Planned_EndDate]]),0,
TODAY()&gt;=FactProgress[[#This Row],[Planned_EndDate]],1,
TODAY()&lt;FactProgress[[#This Row],[Planned_StartDate]],0,
E51="",0,
(TODAY()-FactProgress[[#This Row],[Planned_StartDate]])/(FactProgress[[#This Row],[Planned_EndDate]]-FactProgress[[#This Row],[Planned_StartDate]]))</f>
        <v>0</v>
      </c>
      <c r="L51" s="5">
        <v>0</v>
      </c>
      <c r="M51" s="5">
        <f>IFERROR(FactProgress[[#This Row],[Real_Cost]]/FactProgress[[#This Row],[Expected_Cost]],0)</f>
        <v>0</v>
      </c>
      <c r="N51" s="1" t="str" cm="1">
        <f t="array" aca="1" ref="N5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1" s="1" t="str" cm="1">
        <f t="array" ref="O5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1" s="9" t="str" cm="1">
        <f t="array" ref="P5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1" s="10">
        <v>10</v>
      </c>
      <c r="R51" s="10">
        <v>4</v>
      </c>
      <c r="S51" s="10" cm="1">
        <f t="array" aca="1" ref="S5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1" s="10">
        <f>(FactProgress[[#This Row],[Planned_EndDate]]-FactProgress[[#This Row],[Planned_StartDate]])+1</f>
        <v>76</v>
      </c>
      <c r="U51" s="10" cm="1">
        <f t="array" aca="1" ref="U5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1" s="10" cm="1">
        <f t="array" aca="1" ref="V5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2" spans="1:22" x14ac:dyDescent="0.35">
      <c r="A52" s="1">
        <v>51</v>
      </c>
      <c r="B52" s="1">
        <v>4</v>
      </c>
      <c r="C52" s="1">
        <v>6</v>
      </c>
      <c r="D52" s="1">
        <v>5</v>
      </c>
      <c r="E52" s="3">
        <v>46266</v>
      </c>
      <c r="F52" s="3">
        <v>46295</v>
      </c>
      <c r="G52" s="3"/>
      <c r="H52" s="3"/>
      <c r="I52" s="4">
        <v>720000</v>
      </c>
      <c r="J52" s="4">
        <v>0</v>
      </c>
      <c r="K52" s="5" cm="1">
        <f t="array" aca="1" ref="K52" ca="1">_xlfn.SWITCH(TRUE,
ISBLANK(FactProgress[[#This Row],[Planned_EndDate]]),0,
TODAY()&gt;=FactProgress[[#This Row],[Planned_EndDate]],1,
TODAY()&lt;FactProgress[[#This Row],[Planned_StartDate]],0,
E52="",0,
(TODAY()-FactProgress[[#This Row],[Planned_StartDate]])/(FactProgress[[#This Row],[Planned_EndDate]]-FactProgress[[#This Row],[Planned_StartDate]]))</f>
        <v>0</v>
      </c>
      <c r="L52" s="5">
        <v>0</v>
      </c>
      <c r="M52" s="5">
        <f>IFERROR(FactProgress[[#This Row],[Real_Cost]]/FactProgress[[#This Row],[Expected_Cost]],0)</f>
        <v>0</v>
      </c>
      <c r="N52" s="1" t="str" cm="1">
        <f t="array" aca="1" ref="N5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2" s="1" t="str" cm="1">
        <f t="array" ref="O5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2" s="9" t="str" cm="1">
        <f t="array" ref="P5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2" s="10">
        <v>10</v>
      </c>
      <c r="R52" s="10">
        <v>4</v>
      </c>
      <c r="S52" s="10" cm="1">
        <f t="array" aca="1" ref="S5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2" s="10">
        <f>(FactProgress[[#This Row],[Planned_EndDate]]-FactProgress[[#This Row],[Planned_StartDate]])+1</f>
        <v>30</v>
      </c>
      <c r="U52" s="10" cm="1">
        <f t="array" aca="1" ref="U5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2" s="10" cm="1">
        <f t="array" aca="1" ref="V5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3" spans="1:22" x14ac:dyDescent="0.35">
      <c r="A53" s="1">
        <v>52</v>
      </c>
      <c r="B53" s="1">
        <v>4</v>
      </c>
      <c r="C53" s="1">
        <v>7</v>
      </c>
      <c r="D53" s="1">
        <v>4</v>
      </c>
      <c r="E53" s="3">
        <v>46204</v>
      </c>
      <c r="F53" s="3">
        <v>46249</v>
      </c>
      <c r="G53" s="3"/>
      <c r="H53" s="3"/>
      <c r="I53" s="4">
        <v>340000</v>
      </c>
      <c r="J53" s="4">
        <v>0</v>
      </c>
      <c r="K53" s="5" cm="1">
        <f t="array" aca="1" ref="K53" ca="1">_xlfn.SWITCH(TRUE,
ISBLANK(FactProgress[[#This Row],[Planned_EndDate]]),0,
TODAY()&gt;=FactProgress[[#This Row],[Planned_EndDate]],1,
TODAY()&lt;FactProgress[[#This Row],[Planned_StartDate]],0,
E53="",0,
(TODAY()-FactProgress[[#This Row],[Planned_StartDate]])/(FactProgress[[#This Row],[Planned_EndDate]]-FactProgress[[#This Row],[Planned_StartDate]]))</f>
        <v>0</v>
      </c>
      <c r="L53" s="5">
        <v>0</v>
      </c>
      <c r="M53" s="5">
        <f>IFERROR(FactProgress[[#This Row],[Real_Cost]]/FactProgress[[#This Row],[Expected_Cost]],0)</f>
        <v>0</v>
      </c>
      <c r="N53" s="1" t="str" cm="1">
        <f t="array" aca="1" ref="N5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3" s="1" t="str" cm="1">
        <f t="array" ref="O5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3" s="9" t="str" cm="1">
        <f t="array" ref="P5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3" s="10">
        <v>12</v>
      </c>
      <c r="R53" s="10">
        <v>4</v>
      </c>
      <c r="S53" s="10" cm="1">
        <f t="array" aca="1" ref="S5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3" s="10">
        <f>(FactProgress[[#This Row],[Planned_EndDate]]-FactProgress[[#This Row],[Planned_StartDate]])+1</f>
        <v>46</v>
      </c>
      <c r="U53" s="10" cm="1">
        <f t="array" aca="1" ref="U5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3" s="10" cm="1">
        <f t="array" aca="1" ref="V5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4" spans="1:22" x14ac:dyDescent="0.35">
      <c r="A54" s="1">
        <v>53</v>
      </c>
      <c r="B54" s="1">
        <v>4</v>
      </c>
      <c r="C54" s="1">
        <v>8</v>
      </c>
      <c r="D54" s="1">
        <v>6</v>
      </c>
      <c r="E54" s="3">
        <v>46296</v>
      </c>
      <c r="F54" s="3">
        <v>46325</v>
      </c>
      <c r="G54" s="3"/>
      <c r="H54" s="3"/>
      <c r="I54" s="4">
        <v>180000</v>
      </c>
      <c r="J54" s="4">
        <v>0</v>
      </c>
      <c r="K54" s="5" cm="1">
        <f t="array" aca="1" ref="K54" ca="1">_xlfn.SWITCH(TRUE,
ISBLANK(FactProgress[[#This Row],[Planned_EndDate]]),0,
TODAY()&gt;=FactProgress[[#This Row],[Planned_EndDate]],1,
TODAY()&lt;FactProgress[[#This Row],[Planned_StartDate]],0,
E54="",0,
(TODAY()-FactProgress[[#This Row],[Planned_StartDate]])/(FactProgress[[#This Row],[Planned_EndDate]]-FactProgress[[#This Row],[Planned_StartDate]]))</f>
        <v>0</v>
      </c>
      <c r="L54" s="5">
        <v>0</v>
      </c>
      <c r="M54" s="5">
        <f>IFERROR(FactProgress[[#This Row],[Real_Cost]]/FactProgress[[#This Row],[Expected_Cost]],0)</f>
        <v>0</v>
      </c>
      <c r="N54" s="1" t="str" cm="1">
        <f t="array" aca="1" ref="N5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4" s="1" t="str" cm="1">
        <f t="array" ref="O5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4" s="9" t="str" cm="1">
        <f t="array" ref="P5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4" s="10">
        <v>12</v>
      </c>
      <c r="R54" s="10">
        <v>4</v>
      </c>
      <c r="S54" s="10" cm="1">
        <f t="array" aca="1" ref="S5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4" s="10">
        <f>(FactProgress[[#This Row],[Planned_EndDate]]-FactProgress[[#This Row],[Planned_StartDate]])+1</f>
        <v>30</v>
      </c>
      <c r="U54" s="10" cm="1">
        <f t="array" aca="1" ref="U5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4" s="10" cm="1">
        <f t="array" aca="1" ref="V5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5" spans="1:22" x14ac:dyDescent="0.35">
      <c r="A55" s="1">
        <v>54</v>
      </c>
      <c r="B55" s="1">
        <v>4</v>
      </c>
      <c r="C55" s="1">
        <v>9</v>
      </c>
      <c r="D55" s="1">
        <v>7</v>
      </c>
      <c r="E55" s="3">
        <v>46250</v>
      </c>
      <c r="F55" s="3">
        <v>46264</v>
      </c>
      <c r="G55" s="3"/>
      <c r="H55" s="3"/>
      <c r="I55" s="4">
        <v>105000</v>
      </c>
      <c r="J55" s="4">
        <v>0</v>
      </c>
      <c r="K55" s="5" cm="1">
        <f t="array" aca="1" ref="K55" ca="1">_xlfn.SWITCH(TRUE,
ISBLANK(FactProgress[[#This Row],[Planned_EndDate]]),0,
TODAY()&gt;=FactProgress[[#This Row],[Planned_EndDate]],1,
TODAY()&lt;FactProgress[[#This Row],[Planned_StartDate]],0,
E55="",0,
(TODAY()-FactProgress[[#This Row],[Planned_StartDate]])/(FactProgress[[#This Row],[Planned_EndDate]]-FactProgress[[#This Row],[Planned_StartDate]]))</f>
        <v>0</v>
      </c>
      <c r="L55" s="5">
        <v>0</v>
      </c>
      <c r="M55" s="5">
        <f>IFERROR(FactProgress[[#This Row],[Real_Cost]]/FactProgress[[#This Row],[Expected_Cost]],0)</f>
        <v>0</v>
      </c>
      <c r="N55" s="1" t="str" cm="1">
        <f t="array" aca="1" ref="N5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5" s="1" t="str" cm="1">
        <f t="array" ref="O5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5" s="9" t="str" cm="1">
        <f t="array" ref="P5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5" s="10">
        <v>12</v>
      </c>
      <c r="R55" s="10">
        <v>4</v>
      </c>
      <c r="S55" s="10" cm="1">
        <f t="array" aca="1" ref="S5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5" s="10">
        <f>(FactProgress[[#This Row],[Planned_EndDate]]-FactProgress[[#This Row],[Planned_StartDate]])+1</f>
        <v>15</v>
      </c>
      <c r="U55" s="10" cm="1">
        <f t="array" aca="1" ref="U5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5" s="10" cm="1">
        <f t="array" aca="1" ref="V5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6" spans="1:22" x14ac:dyDescent="0.35">
      <c r="A56" s="1">
        <v>55</v>
      </c>
      <c r="B56" s="1">
        <v>4</v>
      </c>
      <c r="C56" s="1">
        <v>10</v>
      </c>
      <c r="D56" s="1">
        <v>5</v>
      </c>
      <c r="E56" s="3">
        <v>46266</v>
      </c>
      <c r="F56" s="3">
        <v>46325</v>
      </c>
      <c r="G56" s="3"/>
      <c r="H56" s="3"/>
      <c r="I56" s="4">
        <v>600000</v>
      </c>
      <c r="J56" s="4">
        <v>0</v>
      </c>
      <c r="K56" s="5" cm="1">
        <f t="array" aca="1" ref="K56" ca="1">_xlfn.SWITCH(TRUE,
ISBLANK(FactProgress[[#This Row],[Planned_EndDate]]),0,
TODAY()&gt;=FactProgress[[#This Row],[Planned_EndDate]],1,
TODAY()&lt;FactProgress[[#This Row],[Planned_StartDate]],0,
E56="",0,
(TODAY()-FactProgress[[#This Row],[Planned_StartDate]])/(FactProgress[[#This Row],[Planned_EndDate]]-FactProgress[[#This Row],[Planned_StartDate]]))</f>
        <v>0</v>
      </c>
      <c r="L56" s="5">
        <v>0</v>
      </c>
      <c r="M56" s="5">
        <f>IFERROR(FactProgress[[#This Row],[Real_Cost]]/FactProgress[[#This Row],[Expected_Cost]],0)</f>
        <v>0</v>
      </c>
      <c r="N56" s="1" t="str" cm="1">
        <f t="array" aca="1" ref="N5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6" s="1" t="str" cm="1">
        <f t="array" ref="O5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6" s="9" t="str" cm="1">
        <f t="array" ref="P5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6" s="10">
        <v>14</v>
      </c>
      <c r="R56" s="10">
        <v>4</v>
      </c>
      <c r="S56" s="10" cm="1">
        <f t="array" aca="1" ref="S5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6" s="10">
        <f>(FactProgress[[#This Row],[Planned_EndDate]]-FactProgress[[#This Row],[Planned_StartDate]])+1</f>
        <v>60</v>
      </c>
      <c r="U56" s="10" cm="1">
        <f t="array" aca="1" ref="U5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6" s="10" cm="1">
        <f t="array" aca="1" ref="V5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7" spans="1:22" x14ac:dyDescent="0.35">
      <c r="A57" s="1">
        <v>56</v>
      </c>
      <c r="B57" s="1">
        <v>4</v>
      </c>
      <c r="C57" s="1">
        <v>11</v>
      </c>
      <c r="D57" s="1">
        <v>10</v>
      </c>
      <c r="E57" s="3">
        <v>46327</v>
      </c>
      <c r="F57" s="3">
        <v>46371</v>
      </c>
      <c r="G57" s="3"/>
      <c r="H57" s="3"/>
      <c r="I57" s="4">
        <v>420000</v>
      </c>
      <c r="J57" s="4">
        <v>0</v>
      </c>
      <c r="K57" s="5" cm="1">
        <f t="array" aca="1" ref="K57" ca="1">_xlfn.SWITCH(TRUE,
ISBLANK(FactProgress[[#This Row],[Planned_EndDate]]),0,
TODAY()&gt;=FactProgress[[#This Row],[Planned_EndDate]],1,
TODAY()&lt;FactProgress[[#This Row],[Planned_StartDate]],0,
E57="",0,
(TODAY()-FactProgress[[#This Row],[Planned_StartDate]])/(FactProgress[[#This Row],[Planned_EndDate]]-FactProgress[[#This Row],[Planned_StartDate]]))</f>
        <v>0</v>
      </c>
      <c r="L57" s="5">
        <v>0</v>
      </c>
      <c r="M57" s="5">
        <f>IFERROR(FactProgress[[#This Row],[Real_Cost]]/FactProgress[[#This Row],[Expected_Cost]],0)</f>
        <v>0</v>
      </c>
      <c r="N57" s="1" t="str" cm="1">
        <f t="array" aca="1" ref="N5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7" s="1" t="str" cm="1">
        <f t="array" ref="O5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7" s="9" t="str" cm="1">
        <f t="array" ref="P5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7" s="10">
        <v>14</v>
      </c>
      <c r="R57" s="10">
        <v>4</v>
      </c>
      <c r="S57" s="10" cm="1">
        <f t="array" aca="1" ref="S5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7" s="10">
        <f>(FactProgress[[#This Row],[Planned_EndDate]]-FactProgress[[#This Row],[Planned_StartDate]])+1</f>
        <v>45</v>
      </c>
      <c r="U57" s="10" cm="1">
        <f t="array" aca="1" ref="U5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7" s="10" cm="1">
        <f t="array" aca="1" ref="V5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8" spans="1:22" x14ac:dyDescent="0.35">
      <c r="A58" s="1">
        <v>57</v>
      </c>
      <c r="B58" s="1">
        <v>4</v>
      </c>
      <c r="C58" s="1">
        <v>12</v>
      </c>
      <c r="D58" s="1">
        <v>10</v>
      </c>
      <c r="E58" s="3">
        <v>46327</v>
      </c>
      <c r="F58" s="3">
        <v>46386</v>
      </c>
      <c r="G58" s="3"/>
      <c r="H58" s="3"/>
      <c r="I58" s="4">
        <v>290000</v>
      </c>
      <c r="J58" s="4">
        <v>0</v>
      </c>
      <c r="K58" s="5" cm="1">
        <f t="array" aca="1" ref="K58" ca="1">_xlfn.SWITCH(TRUE,
ISBLANK(FactProgress[[#This Row],[Planned_EndDate]]),0,
TODAY()&gt;=FactProgress[[#This Row],[Planned_EndDate]],1,
TODAY()&lt;FactProgress[[#This Row],[Planned_StartDate]],0,
E58="",0,
(TODAY()-FactProgress[[#This Row],[Planned_StartDate]])/(FactProgress[[#This Row],[Planned_EndDate]]-FactProgress[[#This Row],[Planned_StartDate]]))</f>
        <v>0</v>
      </c>
      <c r="L58" s="5">
        <v>0</v>
      </c>
      <c r="M58" s="5">
        <f>IFERROR(FactProgress[[#This Row],[Real_Cost]]/FactProgress[[#This Row],[Expected_Cost]],0)</f>
        <v>0</v>
      </c>
      <c r="N58" s="1" t="str" cm="1">
        <f t="array" aca="1" ref="N5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8" s="1" t="str" cm="1">
        <f t="array" ref="O5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8" s="9" t="str" cm="1">
        <f t="array" ref="P5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8" s="10">
        <v>14</v>
      </c>
      <c r="R58" s="10">
        <v>4</v>
      </c>
      <c r="S58" s="10" cm="1">
        <f t="array" aca="1" ref="S5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8" s="10">
        <f>(FactProgress[[#This Row],[Planned_EndDate]]-FactProgress[[#This Row],[Planned_StartDate]])+1</f>
        <v>60</v>
      </c>
      <c r="U58" s="10" cm="1">
        <f t="array" aca="1" ref="U5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8" s="10" cm="1">
        <f t="array" aca="1" ref="V5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59" spans="1:22" x14ac:dyDescent="0.35">
      <c r="A59" s="1">
        <v>58</v>
      </c>
      <c r="B59" s="1">
        <v>4</v>
      </c>
      <c r="C59" s="1">
        <v>13</v>
      </c>
      <c r="D59" s="1">
        <v>11</v>
      </c>
      <c r="E59" s="3">
        <v>46388</v>
      </c>
      <c r="F59" s="3">
        <v>46417</v>
      </c>
      <c r="G59" s="3"/>
      <c r="H59" s="3"/>
      <c r="I59" s="4">
        <v>240000</v>
      </c>
      <c r="J59" s="4">
        <v>0</v>
      </c>
      <c r="K59" s="5" cm="1">
        <f t="array" aca="1" ref="K59" ca="1">_xlfn.SWITCH(TRUE,
ISBLANK(FactProgress[[#This Row],[Planned_EndDate]]),0,
TODAY()&gt;=FactProgress[[#This Row],[Planned_EndDate]],1,
TODAY()&lt;FactProgress[[#This Row],[Planned_StartDate]],0,
E59="",0,
(TODAY()-FactProgress[[#This Row],[Planned_StartDate]])/(FactProgress[[#This Row],[Planned_EndDate]]-FactProgress[[#This Row],[Planned_StartDate]]))</f>
        <v>0</v>
      </c>
      <c r="L59" s="5">
        <v>0</v>
      </c>
      <c r="M59" s="5">
        <f>IFERROR(FactProgress[[#This Row],[Real_Cost]]/FactProgress[[#This Row],[Expected_Cost]],0)</f>
        <v>0</v>
      </c>
      <c r="N59" s="1" t="str" cm="1">
        <f t="array" aca="1" ref="N5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59" s="1" t="str" cm="1">
        <f t="array" ref="O5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59" s="9" t="str" cm="1">
        <f t="array" ref="P5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59" s="10">
        <v>14</v>
      </c>
      <c r="R59" s="10">
        <v>4</v>
      </c>
      <c r="S59" s="10" cm="1">
        <f t="array" aca="1" ref="S5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59" s="10">
        <f>(FactProgress[[#This Row],[Planned_EndDate]]-FactProgress[[#This Row],[Planned_StartDate]])+1</f>
        <v>30</v>
      </c>
      <c r="U59" s="10" cm="1">
        <f t="array" aca="1" ref="U5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59" s="10" cm="1">
        <f t="array" aca="1" ref="V5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60" spans="1:22" x14ac:dyDescent="0.35">
      <c r="A60" s="1">
        <v>59</v>
      </c>
      <c r="B60" s="1">
        <v>4</v>
      </c>
      <c r="C60" s="1">
        <v>14</v>
      </c>
      <c r="D60" s="1">
        <v>13</v>
      </c>
      <c r="E60" s="3">
        <v>46419</v>
      </c>
      <c r="F60" s="3">
        <v>46433</v>
      </c>
      <c r="G60" s="3"/>
      <c r="H60" s="3"/>
      <c r="I60" s="4">
        <v>48000</v>
      </c>
      <c r="J60" s="4">
        <v>0</v>
      </c>
      <c r="K60" s="5" cm="1">
        <f t="array" aca="1" ref="K60" ca="1">_xlfn.SWITCH(TRUE,
ISBLANK(FactProgress[[#This Row],[Planned_EndDate]]),0,
TODAY()&gt;=FactProgress[[#This Row],[Planned_EndDate]],1,
TODAY()&lt;FactProgress[[#This Row],[Planned_StartDate]],0,
E60="",0,
(TODAY()-FactProgress[[#This Row],[Planned_StartDate]])/(FactProgress[[#This Row],[Planned_EndDate]]-FactProgress[[#This Row],[Planned_StartDate]]))</f>
        <v>0</v>
      </c>
      <c r="L60" s="5">
        <v>0</v>
      </c>
      <c r="M60" s="5">
        <f>IFERROR(FactProgress[[#This Row],[Real_Cost]]/FactProgress[[#This Row],[Expected_Cost]],0)</f>
        <v>0</v>
      </c>
      <c r="N60" s="1" t="str" cm="1">
        <f t="array" aca="1" ref="N6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60" s="1" t="str" cm="1">
        <f t="array" ref="O6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60" s="9" t="str" cm="1">
        <f t="array" ref="P6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60" s="10">
        <v>17</v>
      </c>
      <c r="R60" s="10">
        <v>4</v>
      </c>
      <c r="S60" s="10" cm="1">
        <f t="array" aca="1" ref="S6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60" s="10">
        <f>(FactProgress[[#This Row],[Planned_EndDate]]-FactProgress[[#This Row],[Planned_StartDate]])+1</f>
        <v>15</v>
      </c>
      <c r="U60" s="10" cm="1">
        <f t="array" aca="1" ref="U6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60" s="10" cm="1">
        <f t="array" aca="1" ref="V6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61" spans="1:22" x14ac:dyDescent="0.35">
      <c r="A61" s="1">
        <v>60</v>
      </c>
      <c r="B61" s="1">
        <v>4</v>
      </c>
      <c r="C61" s="1">
        <v>15</v>
      </c>
      <c r="D61" s="1">
        <v>14</v>
      </c>
      <c r="E61" s="3">
        <v>46434</v>
      </c>
      <c r="F61" s="3">
        <v>46446</v>
      </c>
      <c r="G61" s="3"/>
      <c r="H61" s="3"/>
      <c r="I61" s="4">
        <v>18000</v>
      </c>
      <c r="J61" s="4">
        <v>0</v>
      </c>
      <c r="K61" s="5" cm="1">
        <f t="array" aca="1" ref="K61" ca="1">_xlfn.SWITCH(TRUE,
ISBLANK(FactProgress[[#This Row],[Planned_EndDate]]),0,
TODAY()&gt;=FactProgress[[#This Row],[Planned_EndDate]],1,
TODAY()&lt;FactProgress[[#This Row],[Planned_StartDate]],0,
E61="",0,
(TODAY()-FactProgress[[#This Row],[Planned_StartDate]])/(FactProgress[[#This Row],[Planned_EndDate]]-FactProgress[[#This Row],[Planned_StartDate]]))</f>
        <v>0</v>
      </c>
      <c r="L61" s="5">
        <v>0</v>
      </c>
      <c r="M61" s="5">
        <f>IFERROR(FactProgress[[#This Row],[Real_Cost]]/FactProgress[[#This Row],[Expected_Cost]],0)</f>
        <v>0</v>
      </c>
      <c r="N61" s="1" t="str" cm="1">
        <f t="array" aca="1" ref="N6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61" s="1" t="str" cm="1">
        <f t="array" ref="O6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61" s="9" t="str" cm="1">
        <f t="array" ref="P6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61" s="10">
        <v>17</v>
      </c>
      <c r="R61" s="10">
        <v>4</v>
      </c>
      <c r="S61" s="10" cm="1">
        <f t="array" aca="1" ref="S6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61" s="10">
        <f>(FactProgress[[#This Row],[Planned_EndDate]]-FactProgress[[#This Row],[Planned_StartDate]])+1</f>
        <v>13</v>
      </c>
      <c r="U61" s="10" cm="1">
        <f t="array" aca="1" ref="U6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61" s="10" cm="1">
        <f t="array" aca="1" ref="V6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62" spans="1:22" x14ac:dyDescent="0.35">
      <c r="A62" s="1">
        <v>61</v>
      </c>
      <c r="B62" s="1">
        <v>5</v>
      </c>
      <c r="C62" s="1">
        <v>1</v>
      </c>
      <c r="D62" s="1"/>
      <c r="E62" s="3">
        <v>45809</v>
      </c>
      <c r="F62" s="3">
        <v>45823</v>
      </c>
      <c r="G62" s="3">
        <v>45809</v>
      </c>
      <c r="H62" s="3">
        <v>45822</v>
      </c>
      <c r="I62" s="4">
        <v>50000</v>
      </c>
      <c r="J62" s="4">
        <v>48000</v>
      </c>
      <c r="K62" s="5" cm="1">
        <f t="array" aca="1" ref="K62" ca="1">_xlfn.SWITCH(TRUE,
ISBLANK(FactProgress[[#This Row],[Planned_EndDate]]),0,
TODAY()&gt;=FactProgress[[#This Row],[Planned_EndDate]],1,
TODAY()&lt;FactProgress[[#This Row],[Planned_StartDate]],0,
E62="",0,
(TODAY()-FactProgress[[#This Row],[Planned_StartDate]])/(FactProgress[[#This Row],[Planned_EndDate]]-FactProgress[[#This Row],[Planned_StartDate]]))</f>
        <v>1</v>
      </c>
      <c r="L62" s="5">
        <v>1</v>
      </c>
      <c r="M62" s="5">
        <f>IFERROR(FactProgress[[#This Row],[Real_Cost]]/FactProgress[[#This Row],[Expected_Cost]],0)</f>
        <v>0.96</v>
      </c>
      <c r="N62" s="1" t="str" cm="1">
        <f t="array" aca="1" ref="N6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2" s="1" t="str" cm="1">
        <f t="array" ref="O6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62" s="9" t="str" cm="1">
        <f t="array" ref="P6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62" s="10">
        <v>15</v>
      </c>
      <c r="R62" s="10">
        <v>5</v>
      </c>
      <c r="S62" s="10" cm="1">
        <f t="array" aca="1" ref="S6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62" s="10">
        <f>(FactProgress[[#This Row],[Planned_EndDate]]-FactProgress[[#This Row],[Planned_StartDate]])+1</f>
        <v>15</v>
      </c>
      <c r="U62" s="10" cm="1">
        <f t="array" aca="1" ref="U6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62" s="10" cm="1">
        <f t="array" aca="1" ref="V6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14</v>
      </c>
    </row>
    <row r="63" spans="1:22" x14ac:dyDescent="0.35">
      <c r="A63" s="1">
        <v>62</v>
      </c>
      <c r="B63" s="1">
        <v>5</v>
      </c>
      <c r="C63" s="1">
        <v>2</v>
      </c>
      <c r="D63" s="1">
        <v>1</v>
      </c>
      <c r="E63" s="3">
        <v>45824</v>
      </c>
      <c r="F63" s="3">
        <v>45833</v>
      </c>
      <c r="G63" s="3">
        <v>45823</v>
      </c>
      <c r="H63" s="3">
        <v>45836</v>
      </c>
      <c r="I63" s="4">
        <v>22000</v>
      </c>
      <c r="J63" s="4">
        <v>25000</v>
      </c>
      <c r="K63" s="5" cm="1">
        <f t="array" aca="1" ref="K63" ca="1">_xlfn.SWITCH(TRUE,
ISBLANK(FactProgress[[#This Row],[Planned_EndDate]]),0,
TODAY()&gt;=FactProgress[[#This Row],[Planned_EndDate]],1,
TODAY()&lt;FactProgress[[#This Row],[Planned_StartDate]],0,
E63="",0,
(TODAY()-FactProgress[[#This Row],[Planned_StartDate]])/(FactProgress[[#This Row],[Planned_EndDate]]-FactProgress[[#This Row],[Planned_StartDate]]))</f>
        <v>1</v>
      </c>
      <c r="L63" s="5">
        <v>1</v>
      </c>
      <c r="M63" s="5">
        <f>IFERROR(FactProgress[[#This Row],[Real_Cost]]/FactProgress[[#This Row],[Expected_Cost]],0)</f>
        <v>1.1363636363636365</v>
      </c>
      <c r="N63" s="1" t="str" cm="1">
        <f t="array" aca="1" ref="N6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3" s="1" t="str" cm="1">
        <f t="array" ref="O6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63" s="9" t="str" cm="1">
        <f t="array" ref="P6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63" s="10">
        <v>15</v>
      </c>
      <c r="R63" s="10">
        <v>5</v>
      </c>
      <c r="S63" s="10" cm="1">
        <f t="array" aca="1" ref="S6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10</v>
      </c>
      <c r="T63" s="10">
        <f>(FactProgress[[#This Row],[Planned_EndDate]]-FactProgress[[#This Row],[Planned_StartDate]])+1</f>
        <v>10</v>
      </c>
      <c r="U63" s="10" cm="1">
        <f t="array" aca="1" ref="U6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63" s="10" cm="1">
        <f t="array" aca="1" ref="V6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14</v>
      </c>
    </row>
    <row r="64" spans="1:22" x14ac:dyDescent="0.35">
      <c r="A64" s="1">
        <v>63</v>
      </c>
      <c r="B64" s="1">
        <v>5</v>
      </c>
      <c r="C64" s="1">
        <v>3</v>
      </c>
      <c r="D64" s="1">
        <v>2</v>
      </c>
      <c r="E64" s="3">
        <v>45834</v>
      </c>
      <c r="F64" s="3">
        <v>45858</v>
      </c>
      <c r="G64" s="3">
        <v>45838</v>
      </c>
      <c r="H64" s="3">
        <v>45863</v>
      </c>
      <c r="I64" s="4">
        <v>140000</v>
      </c>
      <c r="J64" s="4">
        <v>145000</v>
      </c>
      <c r="K64" s="5" cm="1">
        <f t="array" aca="1" ref="K64" ca="1">_xlfn.SWITCH(TRUE,
ISBLANK(FactProgress[[#This Row],[Planned_EndDate]]),0,
TODAY()&gt;=FactProgress[[#This Row],[Planned_EndDate]],1,
TODAY()&lt;FactProgress[[#This Row],[Planned_StartDate]],0,
E64="",0,
(TODAY()-FactProgress[[#This Row],[Planned_StartDate]])/(FactProgress[[#This Row],[Planned_EndDate]]-FactProgress[[#This Row],[Planned_StartDate]]))</f>
        <v>1</v>
      </c>
      <c r="L64" s="5">
        <v>1</v>
      </c>
      <c r="M64" s="5">
        <f>IFERROR(FactProgress[[#This Row],[Real_Cost]]/FactProgress[[#This Row],[Expected_Cost]],0)</f>
        <v>1.0357142857142858</v>
      </c>
      <c r="N64" s="1" t="str" cm="1">
        <f t="array" aca="1" ref="N6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4" s="1" t="str" cm="1">
        <f t="array" ref="O6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4" s="9" t="str" cm="1">
        <f t="array" ref="P6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4" s="10">
        <v>9</v>
      </c>
      <c r="R64" s="10">
        <v>5</v>
      </c>
      <c r="S64" s="10" cm="1">
        <f t="array" aca="1" ref="S6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25</v>
      </c>
      <c r="T64" s="10">
        <f>(FactProgress[[#This Row],[Planned_EndDate]]-FactProgress[[#This Row],[Planned_StartDate]])+1</f>
        <v>25</v>
      </c>
      <c r="U64" s="10" cm="1">
        <f t="array" aca="1" ref="U6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26</v>
      </c>
      <c r="V64" s="10" cm="1">
        <f t="array" aca="1" ref="V6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26</v>
      </c>
    </row>
    <row r="65" spans="1:22" x14ac:dyDescent="0.35">
      <c r="A65" s="1">
        <v>64</v>
      </c>
      <c r="B65" s="1">
        <v>5</v>
      </c>
      <c r="C65" s="1">
        <v>4</v>
      </c>
      <c r="D65" s="1">
        <v>3</v>
      </c>
      <c r="E65" s="3">
        <v>45859</v>
      </c>
      <c r="F65" s="3">
        <v>45899</v>
      </c>
      <c r="G65" s="3">
        <v>45864</v>
      </c>
      <c r="H65" s="3">
        <v>45905</v>
      </c>
      <c r="I65" s="4">
        <v>550000</v>
      </c>
      <c r="J65" s="4">
        <v>580000</v>
      </c>
      <c r="K65" s="5" cm="1">
        <f t="array" aca="1" ref="K65" ca="1">_xlfn.SWITCH(TRUE,
ISBLANK(FactProgress[[#This Row],[Planned_EndDate]]),0,
TODAY()&gt;=FactProgress[[#This Row],[Planned_EndDate]],1,
TODAY()&lt;FactProgress[[#This Row],[Planned_StartDate]],0,
E65="",0,
(TODAY()-FactProgress[[#This Row],[Planned_StartDate]])/(FactProgress[[#This Row],[Planned_EndDate]]-FactProgress[[#This Row],[Planned_StartDate]]))</f>
        <v>1</v>
      </c>
      <c r="L65" s="5">
        <v>1</v>
      </c>
      <c r="M65" s="5">
        <f>IFERROR(FactProgress[[#This Row],[Real_Cost]]/FactProgress[[#This Row],[Expected_Cost]],0)</f>
        <v>1.0545454545454545</v>
      </c>
      <c r="N65" s="1" t="str" cm="1">
        <f t="array" aca="1" ref="N6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5" s="1" t="str" cm="1">
        <f t="array" ref="O6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5" s="9" t="str" cm="1">
        <f t="array" ref="P6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5" s="10">
        <v>9</v>
      </c>
      <c r="R65" s="10">
        <v>5</v>
      </c>
      <c r="S65" s="10" cm="1">
        <f t="array" aca="1" ref="S6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41</v>
      </c>
      <c r="T65" s="10">
        <f>(FactProgress[[#This Row],[Planned_EndDate]]-FactProgress[[#This Row],[Planned_StartDate]])+1</f>
        <v>41</v>
      </c>
      <c r="U65" s="10" cm="1">
        <f t="array" aca="1" ref="U6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42</v>
      </c>
      <c r="V65" s="10" cm="1">
        <f t="array" aca="1" ref="V6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42</v>
      </c>
    </row>
    <row r="66" spans="1:22" x14ac:dyDescent="0.35">
      <c r="A66" s="1">
        <v>65</v>
      </c>
      <c r="B66" s="1">
        <v>5</v>
      </c>
      <c r="C66" s="1">
        <v>5</v>
      </c>
      <c r="D66" s="1">
        <v>4</v>
      </c>
      <c r="E66" s="3">
        <v>45901</v>
      </c>
      <c r="F66" s="3">
        <v>45976</v>
      </c>
      <c r="G66" s="3">
        <v>45906</v>
      </c>
      <c r="H66" s="3">
        <v>45981</v>
      </c>
      <c r="I66" s="4">
        <v>1100000</v>
      </c>
      <c r="J66" s="4">
        <v>1150000</v>
      </c>
      <c r="K66" s="5" cm="1">
        <f t="array" aca="1" ref="K66" ca="1">_xlfn.SWITCH(TRUE,
ISBLANK(FactProgress[[#This Row],[Planned_EndDate]]),0,
TODAY()&gt;=FactProgress[[#This Row],[Planned_EndDate]],1,
TODAY()&lt;FactProgress[[#This Row],[Planned_StartDate]],0,
E66="",0,
(TODAY()-FactProgress[[#This Row],[Planned_StartDate]])/(FactProgress[[#This Row],[Planned_EndDate]]-FactProgress[[#This Row],[Planned_StartDate]]))</f>
        <v>1</v>
      </c>
      <c r="L66" s="5">
        <v>1</v>
      </c>
      <c r="M66" s="5">
        <f>IFERROR(FactProgress[[#This Row],[Real_Cost]]/FactProgress[[#This Row],[Expected_Cost]],0)</f>
        <v>1.0454545454545454</v>
      </c>
      <c r="N66" s="1" t="str" cm="1">
        <f t="array" aca="1" ref="N6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6" s="1" t="str" cm="1">
        <f t="array" ref="O6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6" s="9" t="str" cm="1">
        <f t="array" ref="P6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6" s="10">
        <v>9</v>
      </c>
      <c r="R66" s="10">
        <v>5</v>
      </c>
      <c r="S66" s="10" cm="1">
        <f t="array" aca="1" ref="S6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76</v>
      </c>
      <c r="T66" s="10">
        <f>(FactProgress[[#This Row],[Planned_EndDate]]-FactProgress[[#This Row],[Planned_StartDate]])+1</f>
        <v>76</v>
      </c>
      <c r="U66" s="10" cm="1">
        <f t="array" aca="1" ref="U6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76</v>
      </c>
      <c r="V66" s="10" cm="1">
        <f t="array" aca="1" ref="V6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76</v>
      </c>
    </row>
    <row r="67" spans="1:22" x14ac:dyDescent="0.35">
      <c r="A67" s="1">
        <v>66</v>
      </c>
      <c r="B67" s="1">
        <v>5</v>
      </c>
      <c r="C67" s="1">
        <v>6</v>
      </c>
      <c r="D67" s="1">
        <v>5</v>
      </c>
      <c r="E67" s="3">
        <v>45977</v>
      </c>
      <c r="F67" s="3">
        <v>46006</v>
      </c>
      <c r="G67" s="3">
        <v>45982</v>
      </c>
      <c r="H67" s="3">
        <v>46011</v>
      </c>
      <c r="I67" s="4">
        <v>520000</v>
      </c>
      <c r="J67" s="4">
        <v>540000</v>
      </c>
      <c r="K67" s="5" cm="1">
        <f t="array" aca="1" ref="K67" ca="1">_xlfn.SWITCH(TRUE,
ISBLANK(FactProgress[[#This Row],[Planned_EndDate]]),0,
TODAY()&gt;=FactProgress[[#This Row],[Planned_EndDate]],1,
TODAY()&lt;FactProgress[[#This Row],[Planned_StartDate]],0,
E67="",0,
(TODAY()-FactProgress[[#This Row],[Planned_StartDate]])/(FactProgress[[#This Row],[Planned_EndDate]]-FactProgress[[#This Row],[Planned_StartDate]]))</f>
        <v>1</v>
      </c>
      <c r="L67" s="5">
        <v>1</v>
      </c>
      <c r="M67" s="5">
        <f>IFERROR(FactProgress[[#This Row],[Real_Cost]]/FactProgress[[#This Row],[Expected_Cost]],0)</f>
        <v>1.0384615384615385</v>
      </c>
      <c r="N67" s="1" t="str" cm="1">
        <f t="array" aca="1" ref="N6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7" s="1" t="str" cm="1">
        <f t="array" ref="O6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7" s="9" t="str" cm="1">
        <f t="array" ref="P6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7" s="10">
        <v>9</v>
      </c>
      <c r="R67" s="10">
        <v>5</v>
      </c>
      <c r="S67" s="10" cm="1">
        <f t="array" aca="1" ref="S6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67" s="10">
        <f>(FactProgress[[#This Row],[Planned_EndDate]]-FactProgress[[#This Row],[Planned_StartDate]])+1</f>
        <v>30</v>
      </c>
      <c r="U67" s="10" cm="1">
        <f t="array" aca="1" ref="U6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30</v>
      </c>
      <c r="V67" s="10" cm="1">
        <f t="array" aca="1" ref="V6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30</v>
      </c>
    </row>
    <row r="68" spans="1:22" x14ac:dyDescent="0.35">
      <c r="A68" s="1">
        <v>67</v>
      </c>
      <c r="B68" s="1">
        <v>5</v>
      </c>
      <c r="C68" s="1">
        <v>7</v>
      </c>
      <c r="D68" s="1">
        <v>4</v>
      </c>
      <c r="E68" s="3">
        <v>45977</v>
      </c>
      <c r="F68" s="3">
        <v>46021</v>
      </c>
      <c r="G68" s="3">
        <v>45983</v>
      </c>
      <c r="H68" s="3">
        <v>46027</v>
      </c>
      <c r="I68" s="4">
        <v>310000</v>
      </c>
      <c r="J68" s="4">
        <v>330000</v>
      </c>
      <c r="K68" s="5" cm="1">
        <f t="array" aca="1" ref="K68" ca="1">_xlfn.SWITCH(TRUE,
ISBLANK(FactProgress[[#This Row],[Planned_EndDate]]),0,
TODAY()&gt;=FactProgress[[#This Row],[Planned_EndDate]],1,
TODAY()&lt;FactProgress[[#This Row],[Planned_StartDate]],0,
E68="",0,
(TODAY()-FactProgress[[#This Row],[Planned_StartDate]])/(FactProgress[[#This Row],[Planned_EndDate]]-FactProgress[[#This Row],[Planned_StartDate]]))</f>
        <v>1</v>
      </c>
      <c r="L68" s="5">
        <v>1</v>
      </c>
      <c r="M68" s="5">
        <f>IFERROR(FactProgress[[#This Row],[Real_Cost]]/FactProgress[[#This Row],[Expected_Cost]],0)</f>
        <v>1.064516129032258</v>
      </c>
      <c r="N68" s="1" t="str" cm="1">
        <f t="array" aca="1" ref="N6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8" s="1" t="str" cm="1">
        <f t="array" ref="O6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68" s="9" t="str" cm="1">
        <f t="array" ref="P6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68" s="10">
        <v>16</v>
      </c>
      <c r="R68" s="10">
        <v>5</v>
      </c>
      <c r="S68" s="10" cm="1">
        <f t="array" aca="1" ref="S6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45</v>
      </c>
      <c r="T68" s="10">
        <f>(FactProgress[[#This Row],[Planned_EndDate]]-FactProgress[[#This Row],[Planned_StartDate]])+1</f>
        <v>45</v>
      </c>
      <c r="U68" s="10" cm="1">
        <f t="array" aca="1" ref="U6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45</v>
      </c>
      <c r="V68" s="10" cm="1">
        <f t="array" aca="1" ref="V6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45</v>
      </c>
    </row>
    <row r="69" spans="1:22" x14ac:dyDescent="0.35">
      <c r="A69" s="1">
        <v>68</v>
      </c>
      <c r="B69" s="1">
        <v>5</v>
      </c>
      <c r="C69" s="1">
        <v>8</v>
      </c>
      <c r="D69" s="1">
        <v>6</v>
      </c>
      <c r="E69" s="3">
        <v>46007</v>
      </c>
      <c r="F69" s="3">
        <v>46037</v>
      </c>
      <c r="G69" s="3">
        <v>46012</v>
      </c>
      <c r="H69" s="3">
        <v>46040</v>
      </c>
      <c r="I69" s="4">
        <v>160000</v>
      </c>
      <c r="J69" s="4">
        <v>155000</v>
      </c>
      <c r="K69" s="5" cm="1">
        <f t="array" aca="1" ref="K69" ca="1">_xlfn.SWITCH(TRUE,
ISBLANK(FactProgress[[#This Row],[Planned_EndDate]]),0,
TODAY()&gt;=FactProgress[[#This Row],[Planned_EndDate]],1,
TODAY()&lt;FactProgress[[#This Row],[Planned_StartDate]],0,
E69="",0,
(TODAY()-FactProgress[[#This Row],[Planned_StartDate]])/(FactProgress[[#This Row],[Planned_EndDate]]-FactProgress[[#This Row],[Planned_StartDate]]))</f>
        <v>1</v>
      </c>
      <c r="L69" s="5">
        <v>1</v>
      </c>
      <c r="M69" s="5">
        <f>IFERROR(FactProgress[[#This Row],[Real_Cost]]/FactProgress[[#This Row],[Expected_Cost]],0)</f>
        <v>0.96875</v>
      </c>
      <c r="N69" s="1" t="str" cm="1">
        <f t="array" aca="1" ref="N6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69" s="1" t="str" cm="1">
        <f t="array" ref="O6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69" s="9" t="str" cm="1">
        <f t="array" ref="P6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69" s="10">
        <v>16</v>
      </c>
      <c r="R69" s="10">
        <v>5</v>
      </c>
      <c r="S69" s="10" cm="1">
        <f t="array" aca="1" ref="S6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69" s="10">
        <f>(FactProgress[[#This Row],[Planned_EndDate]]-FactProgress[[#This Row],[Planned_StartDate]])+1</f>
        <v>31</v>
      </c>
      <c r="U69" s="10" cm="1">
        <f t="array" aca="1" ref="U6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29</v>
      </c>
      <c r="V69" s="10" cm="1">
        <f t="array" aca="1" ref="V6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29</v>
      </c>
    </row>
    <row r="70" spans="1:22" x14ac:dyDescent="0.35">
      <c r="A70" s="1">
        <v>69</v>
      </c>
      <c r="B70" s="1">
        <v>5</v>
      </c>
      <c r="C70" s="1">
        <v>9</v>
      </c>
      <c r="D70" s="1">
        <v>7</v>
      </c>
      <c r="E70" s="3">
        <v>46023</v>
      </c>
      <c r="F70" s="3">
        <v>46037</v>
      </c>
      <c r="G70" s="3">
        <v>46028</v>
      </c>
      <c r="H70" s="3">
        <v>46042</v>
      </c>
      <c r="I70" s="4">
        <v>95000</v>
      </c>
      <c r="J70" s="4">
        <v>105000</v>
      </c>
      <c r="K70" s="5" cm="1">
        <f t="array" aca="1" ref="K70" ca="1">_xlfn.SWITCH(TRUE,
ISBLANK(FactProgress[[#This Row],[Planned_EndDate]]),0,
TODAY()&gt;=FactProgress[[#This Row],[Planned_EndDate]],1,
TODAY()&lt;FactProgress[[#This Row],[Planned_StartDate]],0,
E70="",0,
(TODAY()-FactProgress[[#This Row],[Planned_StartDate]])/(FactProgress[[#This Row],[Planned_EndDate]]-FactProgress[[#This Row],[Planned_StartDate]]))</f>
        <v>1</v>
      </c>
      <c r="L70" s="5">
        <v>1</v>
      </c>
      <c r="M70" s="5">
        <f>IFERROR(FactProgress[[#This Row],[Real_Cost]]/FactProgress[[#This Row],[Expected_Cost]],0)</f>
        <v>1.1052631578947369</v>
      </c>
      <c r="N70" s="1" t="str" cm="1">
        <f t="array" aca="1" ref="N7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70" s="1" t="str" cm="1">
        <f t="array" ref="O7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70" s="9" t="str" cm="1">
        <f t="array" ref="P7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70" s="10">
        <v>16</v>
      </c>
      <c r="R70" s="10">
        <v>5</v>
      </c>
      <c r="S70" s="10" cm="1">
        <f t="array" aca="1" ref="S7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70" s="10">
        <f>(FactProgress[[#This Row],[Planned_EndDate]]-FactProgress[[#This Row],[Planned_StartDate]])+1</f>
        <v>15</v>
      </c>
      <c r="U70" s="10" cm="1">
        <f t="array" aca="1" ref="U7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15</v>
      </c>
      <c r="V70" s="10" cm="1">
        <f t="array" aca="1" ref="V7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15</v>
      </c>
    </row>
    <row r="71" spans="1:22" x14ac:dyDescent="0.35">
      <c r="A71" s="1">
        <v>70</v>
      </c>
      <c r="B71" s="1">
        <v>5</v>
      </c>
      <c r="C71" s="1">
        <v>10</v>
      </c>
      <c r="D71" s="1">
        <v>5</v>
      </c>
      <c r="E71" s="3">
        <v>46023</v>
      </c>
      <c r="F71" s="3">
        <v>46081</v>
      </c>
      <c r="G71" s="3">
        <v>46037</v>
      </c>
      <c r="H71" s="3"/>
      <c r="I71" s="4">
        <v>450000</v>
      </c>
      <c r="J71" s="4">
        <v>280000</v>
      </c>
      <c r="K71" s="5" cm="1">
        <f t="array" aca="1" ref="K71" ca="1">_xlfn.SWITCH(TRUE,
ISBLANK(FactProgress[[#This Row],[Planned_EndDate]]),0,
TODAY()&gt;=FactProgress[[#This Row],[Planned_EndDate]],1,
TODAY()&lt;FactProgress[[#This Row],[Planned_StartDate]],0,
E71="",0,
(TODAY()-FactProgress[[#This Row],[Planned_StartDate]])/(FactProgress[[#This Row],[Planned_EndDate]]-FactProgress[[#This Row],[Planned_StartDate]]))</f>
        <v>1</v>
      </c>
      <c r="L71" s="5">
        <v>0.41</v>
      </c>
      <c r="M71" s="5">
        <f>IFERROR(FactProgress[[#This Row],[Real_Cost]]/FactProgress[[#This Row],[Expected_Cost]],0)</f>
        <v>0.62222222222222223</v>
      </c>
      <c r="N71" s="1" t="str" cm="1">
        <f t="array" aca="1" ref="N7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71" s="1" t="str" cm="1">
        <f t="array" ref="O7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71" s="9" t="str" cm="1">
        <f t="array" ref="P7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71" s="10">
        <v>19</v>
      </c>
      <c r="R71" s="10">
        <v>5</v>
      </c>
      <c r="S71" s="10" cm="1">
        <f t="array" aca="1" ref="S7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59</v>
      </c>
      <c r="T71" s="10">
        <f>(FactProgress[[#This Row],[Planned_EndDate]]-FactProgress[[#This Row],[Planned_StartDate]])+1</f>
        <v>59</v>
      </c>
      <c r="U71" s="10" cm="1">
        <f t="array" aca="1" ref="U7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63</v>
      </c>
      <c r="V71" s="10" cm="1">
        <f t="array" aca="1" ref="V7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154</v>
      </c>
    </row>
    <row r="72" spans="1:22" x14ac:dyDescent="0.35">
      <c r="A72" s="1">
        <v>71</v>
      </c>
      <c r="B72" s="1">
        <v>5</v>
      </c>
      <c r="C72" s="1">
        <v>11</v>
      </c>
      <c r="D72" s="1">
        <v>10</v>
      </c>
      <c r="E72" s="3">
        <v>46082</v>
      </c>
      <c r="F72" s="3">
        <v>46127</v>
      </c>
      <c r="G72" s="3"/>
      <c r="H72" s="3"/>
      <c r="I72" s="4">
        <v>380000</v>
      </c>
      <c r="J72" s="4">
        <v>0</v>
      </c>
      <c r="K72" s="5" cm="1">
        <f t="array" aca="1" ref="K72" ca="1">_xlfn.SWITCH(TRUE,
ISBLANK(FactProgress[[#This Row],[Planned_EndDate]]),0,
TODAY()&gt;=FactProgress[[#This Row],[Planned_EndDate]],1,
TODAY()&lt;FactProgress[[#This Row],[Planned_StartDate]],0,
E72="",0,
(TODAY()-FactProgress[[#This Row],[Planned_StartDate]])/(FactProgress[[#This Row],[Planned_EndDate]]-FactProgress[[#This Row],[Planned_StartDate]]))</f>
        <v>0.4</v>
      </c>
      <c r="L72" s="5">
        <v>0</v>
      </c>
      <c r="M72" s="5">
        <f>IFERROR(FactProgress[[#This Row],[Real_Cost]]/FactProgress[[#This Row],[Expected_Cost]],0)</f>
        <v>0</v>
      </c>
      <c r="N72" s="1" t="str" cm="1">
        <f t="array" aca="1" ref="N7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72" s="1" t="str" cm="1">
        <f t="array" ref="O7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72" s="9" t="str" cm="1">
        <f t="array" ref="P7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72" s="10">
        <v>19</v>
      </c>
      <c r="R72" s="10">
        <v>5</v>
      </c>
      <c r="S72" s="10" cm="1">
        <f t="array" aca="1" ref="S7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18</v>
      </c>
      <c r="T72" s="10">
        <f>(FactProgress[[#This Row],[Planned_EndDate]]-FactProgress[[#This Row],[Planned_StartDate]])+1</f>
        <v>46</v>
      </c>
      <c r="U72" s="10" cm="1">
        <f t="array" aca="1" ref="U7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72" s="10" cm="1">
        <f t="array" aca="1" ref="V7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73" spans="1:22" x14ac:dyDescent="0.35">
      <c r="A73" s="1">
        <v>72</v>
      </c>
      <c r="B73" s="1">
        <v>5</v>
      </c>
      <c r="C73" s="1">
        <v>12</v>
      </c>
      <c r="D73" s="1">
        <v>10</v>
      </c>
      <c r="E73" s="3">
        <v>46082</v>
      </c>
      <c r="F73" s="3">
        <v>46142</v>
      </c>
      <c r="G73" s="3"/>
      <c r="H73" s="3"/>
      <c r="I73" s="4">
        <v>240000</v>
      </c>
      <c r="J73" s="4">
        <v>0</v>
      </c>
      <c r="K73" s="5" cm="1">
        <f t="array" aca="1" ref="K73" ca="1">_xlfn.SWITCH(TRUE,
ISBLANK(FactProgress[[#This Row],[Planned_EndDate]]),0,
TODAY()&gt;=FactProgress[[#This Row],[Planned_EndDate]],1,
TODAY()&lt;FactProgress[[#This Row],[Planned_StartDate]],0,
E73="",0,
(TODAY()-FactProgress[[#This Row],[Planned_StartDate]])/(FactProgress[[#This Row],[Planned_EndDate]]-FactProgress[[#This Row],[Planned_StartDate]]))</f>
        <v>0.3</v>
      </c>
      <c r="L73" s="5">
        <v>0</v>
      </c>
      <c r="M73" s="5">
        <f>IFERROR(FactProgress[[#This Row],[Real_Cost]]/FactProgress[[#This Row],[Expected_Cost]],0)</f>
        <v>0</v>
      </c>
      <c r="N73" s="1" t="str" cm="1">
        <f t="array" aca="1" ref="N7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73" s="1" t="str" cm="1">
        <f t="array" ref="O7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73" s="9" t="str" cm="1">
        <f t="array" ref="P7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73" s="10">
        <v>19</v>
      </c>
      <c r="R73" s="10">
        <v>5</v>
      </c>
      <c r="S73" s="10" cm="1">
        <f t="array" aca="1" ref="S7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18</v>
      </c>
      <c r="T73" s="10">
        <f>(FactProgress[[#This Row],[Planned_EndDate]]-FactProgress[[#This Row],[Planned_StartDate]])+1</f>
        <v>61</v>
      </c>
      <c r="U73" s="10" cm="1">
        <f t="array" aca="1" ref="U7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73" s="10" cm="1">
        <f t="array" aca="1" ref="V7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74" spans="1:22" x14ac:dyDescent="0.35">
      <c r="A74" s="1">
        <v>73</v>
      </c>
      <c r="B74" s="1">
        <v>5</v>
      </c>
      <c r="C74" s="1">
        <v>13</v>
      </c>
      <c r="D74" s="1">
        <v>11</v>
      </c>
      <c r="E74" s="3">
        <v>46143</v>
      </c>
      <c r="F74" s="3">
        <v>46172</v>
      </c>
      <c r="G74" s="3"/>
      <c r="H74" s="3"/>
      <c r="I74" s="4">
        <v>190000</v>
      </c>
      <c r="J74" s="4">
        <v>0</v>
      </c>
      <c r="K74" s="5" cm="1">
        <f t="array" aca="1" ref="K74" ca="1">_xlfn.SWITCH(TRUE,
ISBLANK(FactProgress[[#This Row],[Planned_EndDate]]),0,
TODAY()&gt;=FactProgress[[#This Row],[Planned_EndDate]],1,
TODAY()&lt;FactProgress[[#This Row],[Planned_StartDate]],0,
E74="",0,
(TODAY()-FactProgress[[#This Row],[Planned_StartDate]])/(FactProgress[[#This Row],[Planned_EndDate]]-FactProgress[[#This Row],[Planned_StartDate]]))</f>
        <v>0</v>
      </c>
      <c r="L74" s="5">
        <v>0</v>
      </c>
      <c r="M74" s="5">
        <f>IFERROR(FactProgress[[#This Row],[Real_Cost]]/FactProgress[[#This Row],[Expected_Cost]],0)</f>
        <v>0</v>
      </c>
      <c r="N74" s="1" t="str" cm="1">
        <f t="array" aca="1" ref="N7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74" s="1" t="str" cm="1">
        <f t="array" ref="O7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74" s="9" t="str" cm="1">
        <f t="array" ref="P7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74" s="10">
        <v>19</v>
      </c>
      <c r="R74" s="10">
        <v>5</v>
      </c>
      <c r="S74" s="10" cm="1">
        <f t="array" aca="1" ref="S7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74" s="10">
        <f>(FactProgress[[#This Row],[Planned_EndDate]]-FactProgress[[#This Row],[Planned_StartDate]])+1</f>
        <v>30</v>
      </c>
      <c r="U74" s="10" cm="1">
        <f t="array" aca="1" ref="U7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74" s="10" cm="1">
        <f t="array" aca="1" ref="V7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75" spans="1:22" x14ac:dyDescent="0.35">
      <c r="A75" s="1">
        <v>74</v>
      </c>
      <c r="B75" s="1">
        <v>5</v>
      </c>
      <c r="C75" s="1">
        <v>14</v>
      </c>
      <c r="D75" s="1">
        <v>13</v>
      </c>
      <c r="E75" s="3">
        <v>46174</v>
      </c>
      <c r="F75" s="3">
        <v>46188</v>
      </c>
      <c r="G75" s="3"/>
      <c r="H75" s="3"/>
      <c r="I75" s="4">
        <v>42000</v>
      </c>
      <c r="J75" s="4">
        <v>0</v>
      </c>
      <c r="K75" s="5" cm="1">
        <f t="array" aca="1" ref="K75" ca="1">_xlfn.SWITCH(TRUE,
ISBLANK(FactProgress[[#This Row],[Planned_EndDate]]),0,
TODAY()&gt;=FactProgress[[#This Row],[Planned_EndDate]],1,
TODAY()&lt;FactProgress[[#This Row],[Planned_StartDate]],0,
E75="",0,
(TODAY()-FactProgress[[#This Row],[Planned_StartDate]])/(FactProgress[[#This Row],[Planned_EndDate]]-FactProgress[[#This Row],[Planned_StartDate]]))</f>
        <v>0</v>
      </c>
      <c r="L75" s="5">
        <v>0</v>
      </c>
      <c r="M75" s="5">
        <f>IFERROR(FactProgress[[#This Row],[Real_Cost]]/FactProgress[[#This Row],[Expected_Cost]],0)</f>
        <v>0</v>
      </c>
      <c r="N75" s="1" t="str" cm="1">
        <f t="array" aca="1" ref="N7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75" s="1" t="str" cm="1">
        <f t="array" ref="O7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75" s="9" t="str" cm="1">
        <f t="array" ref="P7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75" s="10">
        <v>22</v>
      </c>
      <c r="R75" s="10">
        <v>5</v>
      </c>
      <c r="S75" s="10" cm="1">
        <f t="array" aca="1" ref="S7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75" s="10">
        <f>(FactProgress[[#This Row],[Planned_EndDate]]-FactProgress[[#This Row],[Planned_StartDate]])+1</f>
        <v>15</v>
      </c>
      <c r="U75" s="10" cm="1">
        <f t="array" aca="1" ref="U7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75" s="10" cm="1">
        <f t="array" aca="1" ref="V7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76" spans="1:22" x14ac:dyDescent="0.35">
      <c r="A76" s="1">
        <v>75</v>
      </c>
      <c r="B76" s="1">
        <v>5</v>
      </c>
      <c r="C76" s="1">
        <v>15</v>
      </c>
      <c r="D76" s="1">
        <v>14</v>
      </c>
      <c r="E76" s="3">
        <v>46189</v>
      </c>
      <c r="F76" s="3">
        <v>46203</v>
      </c>
      <c r="G76" s="3"/>
      <c r="H76" s="3"/>
      <c r="I76" s="4">
        <v>18000</v>
      </c>
      <c r="J76" s="4">
        <v>0</v>
      </c>
      <c r="K76" s="5" cm="1">
        <f t="array" aca="1" ref="K76" ca="1">_xlfn.SWITCH(TRUE,
ISBLANK(FactProgress[[#This Row],[Planned_EndDate]]),0,
TODAY()&gt;=FactProgress[[#This Row],[Planned_EndDate]],1,
TODAY()&lt;FactProgress[[#This Row],[Planned_StartDate]],0,
E76="",0,
(TODAY()-FactProgress[[#This Row],[Planned_StartDate]])/(FactProgress[[#This Row],[Planned_EndDate]]-FactProgress[[#This Row],[Planned_StartDate]]))</f>
        <v>0</v>
      </c>
      <c r="L76" s="5">
        <v>0</v>
      </c>
      <c r="M76" s="5">
        <f>IFERROR(FactProgress[[#This Row],[Real_Cost]]/FactProgress[[#This Row],[Expected_Cost]],0)</f>
        <v>0</v>
      </c>
      <c r="N76" s="1" t="str" cm="1">
        <f t="array" aca="1" ref="N7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76" s="1" t="str" cm="1">
        <f t="array" ref="O7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76" s="9" t="str" cm="1">
        <f t="array" ref="P7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76" s="10">
        <v>22</v>
      </c>
      <c r="R76" s="10">
        <v>5</v>
      </c>
      <c r="S76" s="10" cm="1">
        <f t="array" aca="1" ref="S7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76" s="10">
        <f>(FactProgress[[#This Row],[Planned_EndDate]]-FactProgress[[#This Row],[Planned_StartDate]])+1</f>
        <v>15</v>
      </c>
      <c r="U76" s="10" cm="1">
        <f t="array" aca="1" ref="U7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76" s="10" cm="1">
        <f t="array" aca="1" ref="V7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77" spans="1:22" x14ac:dyDescent="0.35">
      <c r="A77" s="1">
        <v>76</v>
      </c>
      <c r="B77" s="1">
        <v>6</v>
      </c>
      <c r="C77" s="1">
        <v>1</v>
      </c>
      <c r="D77" s="1"/>
      <c r="E77" s="3">
        <v>45962</v>
      </c>
      <c r="F77" s="3">
        <v>45976</v>
      </c>
      <c r="G77" s="3">
        <v>45971</v>
      </c>
      <c r="H77" s="3">
        <v>45986</v>
      </c>
      <c r="I77" s="4">
        <v>120000</v>
      </c>
      <c r="J77" s="4">
        <v>145000</v>
      </c>
      <c r="K77" s="5" cm="1">
        <f t="array" aca="1" ref="K77" ca="1">_xlfn.SWITCH(TRUE,
ISBLANK(FactProgress[[#This Row],[Planned_EndDate]]),0,
TODAY()&gt;=FactProgress[[#This Row],[Planned_EndDate]],1,
TODAY()&lt;FactProgress[[#This Row],[Planned_StartDate]],0,
E77="",0,
(TODAY()-FactProgress[[#This Row],[Planned_StartDate]])/(FactProgress[[#This Row],[Planned_EndDate]]-FactProgress[[#This Row],[Planned_StartDate]]))</f>
        <v>1</v>
      </c>
      <c r="L77" s="5">
        <v>1</v>
      </c>
      <c r="M77" s="5">
        <f>IFERROR(FactProgress[[#This Row],[Real_Cost]]/FactProgress[[#This Row],[Expected_Cost]],0)</f>
        <v>1.2083333333333333</v>
      </c>
      <c r="N77" s="1" t="str" cm="1">
        <f t="array" aca="1" ref="N7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77" s="1" t="str" cm="1">
        <f t="array" ref="O7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77" s="9" t="str" cm="1">
        <f t="array" ref="P7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77" s="10">
        <v>18</v>
      </c>
      <c r="R77" s="10">
        <v>6</v>
      </c>
      <c r="S77" s="10" cm="1">
        <f t="array" aca="1" ref="S7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77" s="10">
        <f>(FactProgress[[#This Row],[Planned_EndDate]]-FactProgress[[#This Row],[Planned_StartDate]])+1</f>
        <v>15</v>
      </c>
      <c r="U77" s="10" cm="1">
        <f t="array" aca="1" ref="U7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16</v>
      </c>
      <c r="V77" s="10" cm="1">
        <f t="array" aca="1" ref="V7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16</v>
      </c>
    </row>
    <row r="78" spans="1:22" x14ac:dyDescent="0.35">
      <c r="A78" s="1">
        <v>77</v>
      </c>
      <c r="B78" s="1">
        <v>6</v>
      </c>
      <c r="C78" s="1">
        <v>2</v>
      </c>
      <c r="D78" s="1">
        <v>1</v>
      </c>
      <c r="E78" s="3">
        <v>45977</v>
      </c>
      <c r="F78" s="3">
        <v>45991</v>
      </c>
      <c r="G78" s="3">
        <v>45985</v>
      </c>
      <c r="H78" s="3">
        <v>45996</v>
      </c>
      <c r="I78" s="4">
        <v>45000</v>
      </c>
      <c r="J78" s="4">
        <v>55000</v>
      </c>
      <c r="K78" s="5" cm="1">
        <f t="array" aca="1" ref="K78" ca="1">_xlfn.SWITCH(TRUE,
ISBLANK(FactProgress[[#This Row],[Planned_EndDate]]),0,
TODAY()&gt;=FactProgress[[#This Row],[Planned_EndDate]],1,
TODAY()&lt;FactProgress[[#This Row],[Planned_StartDate]],0,
E78="",0,
(TODAY()-FactProgress[[#This Row],[Planned_StartDate]])/(FactProgress[[#This Row],[Planned_EndDate]]-FactProgress[[#This Row],[Planned_StartDate]]))</f>
        <v>1</v>
      </c>
      <c r="L78" s="5">
        <v>1</v>
      </c>
      <c r="M78" s="5">
        <f>IFERROR(FactProgress[[#This Row],[Real_Cost]]/FactProgress[[#This Row],[Expected_Cost]],0)</f>
        <v>1.2222222222222223</v>
      </c>
      <c r="N78" s="1" t="str" cm="1">
        <f t="array" aca="1" ref="N7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78" s="1" t="str" cm="1">
        <f t="array" ref="O7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78" s="9" t="str" cm="1">
        <f t="array" ref="P7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78" s="10">
        <v>18</v>
      </c>
      <c r="R78" s="10">
        <v>6</v>
      </c>
      <c r="S78" s="10" cm="1">
        <f t="array" aca="1" ref="S7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78" s="10">
        <f>(FactProgress[[#This Row],[Planned_EndDate]]-FactProgress[[#This Row],[Planned_StartDate]])+1</f>
        <v>15</v>
      </c>
      <c r="U78" s="10" cm="1">
        <f t="array" aca="1" ref="U7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12</v>
      </c>
      <c r="V78" s="10" cm="1">
        <f t="array" aca="1" ref="V7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12</v>
      </c>
    </row>
    <row r="79" spans="1:22" x14ac:dyDescent="0.35">
      <c r="A79" s="1">
        <v>78</v>
      </c>
      <c r="B79" s="1">
        <v>6</v>
      </c>
      <c r="C79" s="1">
        <v>3</v>
      </c>
      <c r="D79" s="1">
        <v>2</v>
      </c>
      <c r="E79" s="3">
        <v>45992</v>
      </c>
      <c r="F79" s="3">
        <v>46022</v>
      </c>
      <c r="G79" s="3">
        <v>45997</v>
      </c>
      <c r="H79" s="3">
        <v>46032</v>
      </c>
      <c r="I79" s="4">
        <v>210000</v>
      </c>
      <c r="J79" s="4">
        <v>240000</v>
      </c>
      <c r="K79" s="5" cm="1">
        <f t="array" aca="1" ref="K79" ca="1">_xlfn.SWITCH(TRUE,
ISBLANK(FactProgress[[#This Row],[Planned_EndDate]]),0,
TODAY()&gt;=FactProgress[[#This Row],[Planned_EndDate]],1,
TODAY()&lt;FactProgress[[#This Row],[Planned_StartDate]],0,
E79="",0,
(TODAY()-FactProgress[[#This Row],[Planned_StartDate]])/(FactProgress[[#This Row],[Planned_EndDate]]-FactProgress[[#This Row],[Planned_StartDate]]))</f>
        <v>1</v>
      </c>
      <c r="L79" s="5">
        <v>1</v>
      </c>
      <c r="M79" s="5">
        <f>IFERROR(FactProgress[[#This Row],[Real_Cost]]/FactProgress[[#This Row],[Expected_Cost]],0)</f>
        <v>1.1428571428571428</v>
      </c>
      <c r="N79" s="1" t="str" cm="1">
        <f t="array" aca="1" ref="N7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79" s="1" t="str" cm="1">
        <f t="array" ref="O7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79" s="9" t="str" cm="1">
        <f t="array" ref="P7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79" s="10">
        <v>23</v>
      </c>
      <c r="R79" s="10">
        <v>6</v>
      </c>
      <c r="S79" s="10" cm="1">
        <f t="array" aca="1" ref="S7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79" s="10">
        <f>(FactProgress[[#This Row],[Planned_EndDate]]-FactProgress[[#This Row],[Planned_StartDate]])+1</f>
        <v>31</v>
      </c>
      <c r="U79" s="10" cm="1">
        <f t="array" aca="1" ref="U7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36</v>
      </c>
      <c r="V79" s="10" cm="1">
        <f t="array" aca="1" ref="V7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36</v>
      </c>
    </row>
    <row r="80" spans="1:22" x14ac:dyDescent="0.35">
      <c r="A80" s="1">
        <v>79</v>
      </c>
      <c r="B80" s="1">
        <v>6</v>
      </c>
      <c r="C80" s="1">
        <v>4</v>
      </c>
      <c r="D80" s="1">
        <v>3</v>
      </c>
      <c r="E80" s="3">
        <v>46023</v>
      </c>
      <c r="F80" s="3">
        <v>46068</v>
      </c>
      <c r="G80" s="3">
        <v>46034</v>
      </c>
      <c r="H80" s="3"/>
      <c r="I80" s="4">
        <v>850000</v>
      </c>
      <c r="J80" s="4">
        <v>450000</v>
      </c>
      <c r="K80" s="5" cm="1">
        <f t="array" aca="1" ref="K80" ca="1">_xlfn.SWITCH(TRUE,
ISBLANK(FactProgress[[#This Row],[Planned_EndDate]]),0,
TODAY()&gt;=FactProgress[[#This Row],[Planned_EndDate]],1,
TODAY()&lt;FactProgress[[#This Row],[Planned_StartDate]],0,
E80="",0,
(TODAY()-FactProgress[[#This Row],[Planned_StartDate]])/(FactProgress[[#This Row],[Planned_EndDate]]-FactProgress[[#This Row],[Planned_StartDate]]))</f>
        <v>1</v>
      </c>
      <c r="L80" s="5">
        <v>0.38</v>
      </c>
      <c r="M80" s="5">
        <f>IFERROR(FactProgress[[#This Row],[Real_Cost]]/FactProgress[[#This Row],[Expected_Cost]],0)</f>
        <v>0.52941176470588236</v>
      </c>
      <c r="N80" s="1" t="str" cm="1">
        <f t="array" aca="1" ref="N8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80" s="1" t="str" cm="1">
        <f t="array" ref="O8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80" s="9" t="str" cm="1">
        <f t="array" ref="P8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80" s="10">
        <v>23</v>
      </c>
      <c r="R80" s="10">
        <v>6</v>
      </c>
      <c r="S80" s="10" cm="1">
        <f t="array" aca="1" ref="S8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46</v>
      </c>
      <c r="T80" s="10">
        <f>(FactProgress[[#This Row],[Planned_EndDate]]-FactProgress[[#This Row],[Planned_StartDate]])+1</f>
        <v>46</v>
      </c>
      <c r="U80" s="10" cm="1">
        <f t="array" aca="1" ref="U8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66</v>
      </c>
      <c r="V80" s="10" cm="1">
        <f t="array" aca="1" ref="V8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174</v>
      </c>
    </row>
    <row r="81" spans="1:22" x14ac:dyDescent="0.35">
      <c r="A81" s="1">
        <v>80</v>
      </c>
      <c r="B81" s="1">
        <v>6</v>
      </c>
      <c r="C81" s="1">
        <v>5</v>
      </c>
      <c r="D81" s="1">
        <v>4</v>
      </c>
      <c r="E81" s="3">
        <v>46069</v>
      </c>
      <c r="F81" s="3">
        <v>46127</v>
      </c>
      <c r="G81" s="3"/>
      <c r="H81" s="3"/>
      <c r="I81" s="4">
        <v>1200000</v>
      </c>
      <c r="J81" s="4">
        <v>0</v>
      </c>
      <c r="K81" s="5" cm="1">
        <f t="array" aca="1" ref="K81" ca="1">_xlfn.SWITCH(TRUE,
ISBLANK(FactProgress[[#This Row],[Planned_EndDate]]),0,
TODAY()&gt;=FactProgress[[#This Row],[Planned_EndDate]],1,
TODAY()&lt;FactProgress[[#This Row],[Planned_StartDate]],0,
E81="",0,
(TODAY()-FactProgress[[#This Row],[Planned_StartDate]])/(FactProgress[[#This Row],[Planned_EndDate]]-FactProgress[[#This Row],[Planned_StartDate]]))</f>
        <v>0.53448275862068961</v>
      </c>
      <c r="L81" s="5">
        <v>0</v>
      </c>
      <c r="M81" s="5">
        <f>IFERROR(FactProgress[[#This Row],[Real_Cost]]/FactProgress[[#This Row],[Expected_Cost]],0)</f>
        <v>0</v>
      </c>
      <c r="N81" s="1" t="str" cm="1">
        <f t="array" aca="1" ref="N8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81" s="1" t="str" cm="1">
        <f t="array" ref="O8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1" s="9" t="str" cm="1">
        <f t="array" ref="P8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1" s="10">
        <v>23</v>
      </c>
      <c r="R81" s="10">
        <v>6</v>
      </c>
      <c r="S81" s="10" cm="1">
        <f t="array" aca="1" ref="S8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81" s="10">
        <f>(FactProgress[[#This Row],[Planned_EndDate]]-FactProgress[[#This Row],[Planned_StartDate]])+1</f>
        <v>59</v>
      </c>
      <c r="U81" s="10" cm="1">
        <f t="array" aca="1" ref="U8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1" s="10" cm="1">
        <f t="array" aca="1" ref="V8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2" spans="1:22" x14ac:dyDescent="0.35">
      <c r="A82" s="1">
        <v>81</v>
      </c>
      <c r="B82" s="1">
        <v>6</v>
      </c>
      <c r="C82" s="1">
        <v>6</v>
      </c>
      <c r="D82" s="1">
        <v>5</v>
      </c>
      <c r="E82" s="3">
        <v>46128</v>
      </c>
      <c r="F82" s="3">
        <v>46157</v>
      </c>
      <c r="G82" s="3"/>
      <c r="H82" s="3"/>
      <c r="I82" s="4">
        <v>680000</v>
      </c>
      <c r="J82" s="4">
        <v>0</v>
      </c>
      <c r="K82" s="5" cm="1">
        <f t="array" aca="1" ref="K82" ca="1">_xlfn.SWITCH(TRUE,
ISBLANK(FactProgress[[#This Row],[Planned_EndDate]]),0,
TODAY()&gt;=FactProgress[[#This Row],[Planned_EndDate]],1,
TODAY()&lt;FactProgress[[#This Row],[Planned_StartDate]],0,
E82="",0,
(TODAY()-FactProgress[[#This Row],[Planned_StartDate]])/(FactProgress[[#This Row],[Planned_EndDate]]-FactProgress[[#This Row],[Planned_StartDate]]))</f>
        <v>0</v>
      </c>
      <c r="L82" s="5">
        <v>0</v>
      </c>
      <c r="M82" s="5">
        <f>IFERROR(FactProgress[[#This Row],[Real_Cost]]/FactProgress[[#This Row],[Expected_Cost]],0)</f>
        <v>0</v>
      </c>
      <c r="N82" s="1" t="str" cm="1">
        <f t="array" aca="1" ref="N8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2" s="1" t="str" cm="1">
        <f t="array" ref="O8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2" s="9" t="str" cm="1">
        <f t="array" ref="P8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2" s="10">
        <v>23</v>
      </c>
      <c r="R82" s="10">
        <v>6</v>
      </c>
      <c r="S82" s="10" cm="1">
        <f t="array" aca="1" ref="S8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2" s="10">
        <f>(FactProgress[[#This Row],[Planned_EndDate]]-FactProgress[[#This Row],[Planned_StartDate]])+1</f>
        <v>30</v>
      </c>
      <c r="U82" s="10" cm="1">
        <f t="array" aca="1" ref="U8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2" s="10" cm="1">
        <f t="array" aca="1" ref="V8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3" spans="1:22" x14ac:dyDescent="0.35">
      <c r="A83" s="1">
        <v>82</v>
      </c>
      <c r="B83" s="1">
        <v>6</v>
      </c>
      <c r="C83" s="1">
        <v>7</v>
      </c>
      <c r="D83" s="1">
        <v>4</v>
      </c>
      <c r="E83" s="3">
        <v>46128</v>
      </c>
      <c r="F83" s="3">
        <v>46172</v>
      </c>
      <c r="G83" s="3"/>
      <c r="H83" s="3"/>
      <c r="I83" s="4">
        <v>310000</v>
      </c>
      <c r="J83" s="4">
        <v>0</v>
      </c>
      <c r="K83" s="5" cm="1">
        <f t="array" aca="1" ref="K83" ca="1">_xlfn.SWITCH(TRUE,
ISBLANK(FactProgress[[#This Row],[Planned_EndDate]]),0,
TODAY()&gt;=FactProgress[[#This Row],[Planned_EndDate]],1,
TODAY()&lt;FactProgress[[#This Row],[Planned_StartDate]],0,
E83="",0,
(TODAY()-FactProgress[[#This Row],[Planned_StartDate]])/(FactProgress[[#This Row],[Planned_EndDate]]-FactProgress[[#This Row],[Planned_StartDate]]))</f>
        <v>0</v>
      </c>
      <c r="L83" s="5">
        <v>0</v>
      </c>
      <c r="M83" s="5">
        <f>IFERROR(FactProgress[[#This Row],[Real_Cost]]/FactProgress[[#This Row],[Expected_Cost]],0)</f>
        <v>0</v>
      </c>
      <c r="N83" s="1" t="str" cm="1">
        <f t="array" aca="1" ref="N8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3" s="1" t="str" cm="1">
        <f t="array" ref="O8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3" s="9" t="str" cm="1">
        <f t="array" ref="P8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3" s="10">
        <v>25</v>
      </c>
      <c r="R83" s="10">
        <v>6</v>
      </c>
      <c r="S83" s="10" cm="1">
        <f t="array" aca="1" ref="S8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3" s="10">
        <f>(FactProgress[[#This Row],[Planned_EndDate]]-FactProgress[[#This Row],[Planned_StartDate]])+1</f>
        <v>45</v>
      </c>
      <c r="U83" s="10" cm="1">
        <f t="array" aca="1" ref="U8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3" s="10" cm="1">
        <f t="array" aca="1" ref="V8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4" spans="1:22" x14ac:dyDescent="0.35">
      <c r="A84" s="1">
        <v>83</v>
      </c>
      <c r="B84" s="1">
        <v>6</v>
      </c>
      <c r="C84" s="1">
        <v>8</v>
      </c>
      <c r="D84" s="1">
        <v>6</v>
      </c>
      <c r="E84" s="3">
        <v>46158</v>
      </c>
      <c r="F84" s="3">
        <v>46188</v>
      </c>
      <c r="G84" s="3"/>
      <c r="H84" s="3"/>
      <c r="I84" s="4">
        <v>190000</v>
      </c>
      <c r="J84" s="4">
        <v>0</v>
      </c>
      <c r="K84" s="5" cm="1">
        <f t="array" aca="1" ref="K84" ca="1">_xlfn.SWITCH(TRUE,
ISBLANK(FactProgress[[#This Row],[Planned_EndDate]]),0,
TODAY()&gt;=FactProgress[[#This Row],[Planned_EndDate]],1,
TODAY()&lt;FactProgress[[#This Row],[Planned_StartDate]],0,
E84="",0,
(TODAY()-FactProgress[[#This Row],[Planned_StartDate]])/(FactProgress[[#This Row],[Planned_EndDate]]-FactProgress[[#This Row],[Planned_StartDate]]))</f>
        <v>0</v>
      </c>
      <c r="L84" s="5">
        <v>0</v>
      </c>
      <c r="M84" s="5">
        <f>IFERROR(FactProgress[[#This Row],[Real_Cost]]/FactProgress[[#This Row],[Expected_Cost]],0)</f>
        <v>0</v>
      </c>
      <c r="N84" s="1" t="str" cm="1">
        <f t="array" aca="1" ref="N8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4" s="1" t="str" cm="1">
        <f t="array" ref="O8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4" s="9" t="str" cm="1">
        <f t="array" ref="P8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4" s="10">
        <v>25</v>
      </c>
      <c r="R84" s="10">
        <v>6</v>
      </c>
      <c r="S84" s="10" cm="1">
        <f t="array" aca="1" ref="S8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4" s="10">
        <f>(FactProgress[[#This Row],[Planned_EndDate]]-FactProgress[[#This Row],[Planned_StartDate]])+1</f>
        <v>31</v>
      </c>
      <c r="U84" s="10" cm="1">
        <f t="array" aca="1" ref="U8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4" s="10" cm="1">
        <f t="array" aca="1" ref="V8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5" spans="1:22" x14ac:dyDescent="0.35">
      <c r="A85" s="1">
        <v>84</v>
      </c>
      <c r="B85" s="1">
        <v>6</v>
      </c>
      <c r="C85" s="1">
        <v>9</v>
      </c>
      <c r="D85" s="1">
        <v>7</v>
      </c>
      <c r="E85" s="3">
        <v>46174</v>
      </c>
      <c r="F85" s="3">
        <v>46188</v>
      </c>
      <c r="G85" s="3"/>
      <c r="H85" s="3"/>
      <c r="I85" s="4">
        <v>100000</v>
      </c>
      <c r="J85" s="4">
        <v>0</v>
      </c>
      <c r="K85" s="5" cm="1">
        <f t="array" aca="1" ref="K85" ca="1">_xlfn.SWITCH(TRUE,
ISBLANK(FactProgress[[#This Row],[Planned_EndDate]]),0,
TODAY()&gt;=FactProgress[[#This Row],[Planned_EndDate]],1,
TODAY()&lt;FactProgress[[#This Row],[Planned_StartDate]],0,
E85="",0,
(TODAY()-FactProgress[[#This Row],[Planned_StartDate]])/(FactProgress[[#This Row],[Planned_EndDate]]-FactProgress[[#This Row],[Planned_StartDate]]))</f>
        <v>0</v>
      </c>
      <c r="L85" s="5">
        <v>0</v>
      </c>
      <c r="M85" s="5">
        <f>IFERROR(FactProgress[[#This Row],[Real_Cost]]/FactProgress[[#This Row],[Expected_Cost]],0)</f>
        <v>0</v>
      </c>
      <c r="N85" s="1" t="str" cm="1">
        <f t="array" aca="1" ref="N8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5" s="1" t="str" cm="1">
        <f t="array" ref="O8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5" s="9" t="str" cm="1">
        <f t="array" ref="P8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5" s="10">
        <v>25</v>
      </c>
      <c r="R85" s="10">
        <v>6</v>
      </c>
      <c r="S85" s="10" cm="1">
        <f t="array" aca="1" ref="S8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5" s="10">
        <f>(FactProgress[[#This Row],[Planned_EndDate]]-FactProgress[[#This Row],[Planned_StartDate]])+1</f>
        <v>15</v>
      </c>
      <c r="U85" s="10" cm="1">
        <f t="array" aca="1" ref="U8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5" s="10" cm="1">
        <f t="array" aca="1" ref="V8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6" spans="1:22" x14ac:dyDescent="0.35">
      <c r="A86" s="1">
        <v>85</v>
      </c>
      <c r="B86" s="1">
        <v>6</v>
      </c>
      <c r="C86" s="1">
        <v>10</v>
      </c>
      <c r="D86" s="1">
        <v>5</v>
      </c>
      <c r="E86" s="3">
        <v>46174</v>
      </c>
      <c r="F86" s="3">
        <v>46234</v>
      </c>
      <c r="G86" s="3"/>
      <c r="H86" s="3"/>
      <c r="I86" s="4">
        <v>300000</v>
      </c>
      <c r="J86" s="4">
        <v>0</v>
      </c>
      <c r="K86" s="5" cm="1">
        <f t="array" aca="1" ref="K86" ca="1">_xlfn.SWITCH(TRUE,
ISBLANK(FactProgress[[#This Row],[Planned_EndDate]]),0,
TODAY()&gt;=FactProgress[[#This Row],[Planned_EndDate]],1,
TODAY()&lt;FactProgress[[#This Row],[Planned_StartDate]],0,
E86="",0,
(TODAY()-FactProgress[[#This Row],[Planned_StartDate]])/(FactProgress[[#This Row],[Planned_EndDate]]-FactProgress[[#This Row],[Planned_StartDate]]))</f>
        <v>0</v>
      </c>
      <c r="L86" s="5">
        <v>0</v>
      </c>
      <c r="M86" s="5">
        <f>IFERROR(FactProgress[[#This Row],[Real_Cost]]/FactProgress[[#This Row],[Expected_Cost]],0)</f>
        <v>0</v>
      </c>
      <c r="N86" s="1" t="str" cm="1">
        <f t="array" aca="1" ref="N8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6" s="1" t="str" cm="1">
        <f t="array" ref="O8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6" s="9" t="str" cm="1">
        <f t="array" ref="P8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6" s="10">
        <v>28</v>
      </c>
      <c r="R86" s="10">
        <v>6</v>
      </c>
      <c r="S86" s="10" cm="1">
        <f t="array" aca="1" ref="S8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6" s="10">
        <f>(FactProgress[[#This Row],[Planned_EndDate]]-FactProgress[[#This Row],[Planned_StartDate]])+1</f>
        <v>61</v>
      </c>
      <c r="U86" s="10" cm="1">
        <f t="array" aca="1" ref="U8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6" s="10" cm="1">
        <f t="array" aca="1" ref="V8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7" spans="1:22" x14ac:dyDescent="0.35">
      <c r="A87" s="1">
        <v>86</v>
      </c>
      <c r="B87" s="1">
        <v>6</v>
      </c>
      <c r="C87" s="1">
        <v>11</v>
      </c>
      <c r="D87" s="1">
        <v>10</v>
      </c>
      <c r="E87" s="3">
        <v>46235</v>
      </c>
      <c r="F87" s="3">
        <v>46280</v>
      </c>
      <c r="G87" s="3"/>
      <c r="H87" s="3"/>
      <c r="I87" s="4">
        <v>410000</v>
      </c>
      <c r="J87" s="4">
        <v>0</v>
      </c>
      <c r="K87" s="5" cm="1">
        <f t="array" aca="1" ref="K87" ca="1">_xlfn.SWITCH(TRUE,
ISBLANK(FactProgress[[#This Row],[Planned_EndDate]]),0,
TODAY()&gt;=FactProgress[[#This Row],[Planned_EndDate]],1,
TODAY()&lt;FactProgress[[#This Row],[Planned_StartDate]],0,
E87="",0,
(TODAY()-FactProgress[[#This Row],[Planned_StartDate]])/(FactProgress[[#This Row],[Planned_EndDate]]-FactProgress[[#This Row],[Planned_StartDate]]))</f>
        <v>0</v>
      </c>
      <c r="L87" s="5">
        <v>0</v>
      </c>
      <c r="M87" s="5">
        <f>IFERROR(FactProgress[[#This Row],[Real_Cost]]/FactProgress[[#This Row],[Expected_Cost]],0)</f>
        <v>0</v>
      </c>
      <c r="N87" s="1" t="str" cm="1">
        <f t="array" aca="1" ref="N8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7" s="1" t="str" cm="1">
        <f t="array" ref="O8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7" s="9" t="str" cm="1">
        <f t="array" ref="P8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7" s="10">
        <v>28</v>
      </c>
      <c r="R87" s="10">
        <v>6</v>
      </c>
      <c r="S87" s="10" cm="1">
        <f t="array" aca="1" ref="S8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7" s="10">
        <f>(FactProgress[[#This Row],[Planned_EndDate]]-FactProgress[[#This Row],[Planned_StartDate]])+1</f>
        <v>46</v>
      </c>
      <c r="U87" s="10" cm="1">
        <f t="array" aca="1" ref="U8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7" s="10" cm="1">
        <f t="array" aca="1" ref="V8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8" spans="1:22" x14ac:dyDescent="0.35">
      <c r="A88" s="1">
        <v>87</v>
      </c>
      <c r="B88" s="1">
        <v>6</v>
      </c>
      <c r="C88" s="1">
        <v>12</v>
      </c>
      <c r="D88" s="1">
        <v>10</v>
      </c>
      <c r="E88" s="3">
        <v>46235</v>
      </c>
      <c r="F88" s="3">
        <v>46295</v>
      </c>
      <c r="G88" s="3"/>
      <c r="H88" s="3"/>
      <c r="I88" s="4">
        <v>280000</v>
      </c>
      <c r="J88" s="4">
        <v>0</v>
      </c>
      <c r="K88" s="5" cm="1">
        <f t="array" aca="1" ref="K88" ca="1">_xlfn.SWITCH(TRUE,
ISBLANK(FactProgress[[#This Row],[Planned_EndDate]]),0,
TODAY()&gt;=FactProgress[[#This Row],[Planned_EndDate]],1,
TODAY()&lt;FactProgress[[#This Row],[Planned_StartDate]],0,
E88="",0,
(TODAY()-FactProgress[[#This Row],[Planned_StartDate]])/(FactProgress[[#This Row],[Planned_EndDate]]-FactProgress[[#This Row],[Planned_StartDate]]))</f>
        <v>0</v>
      </c>
      <c r="L88" s="5">
        <v>0</v>
      </c>
      <c r="M88" s="5">
        <f>IFERROR(FactProgress[[#This Row],[Real_Cost]]/FactProgress[[#This Row],[Expected_Cost]],0)</f>
        <v>0</v>
      </c>
      <c r="N88" s="1" t="str" cm="1">
        <f t="array" aca="1" ref="N8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8" s="1" t="str" cm="1">
        <f t="array" ref="O8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8" s="9" t="str" cm="1">
        <f t="array" ref="P8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8" s="10">
        <v>28</v>
      </c>
      <c r="R88" s="10">
        <v>6</v>
      </c>
      <c r="S88" s="10" cm="1">
        <f t="array" aca="1" ref="S8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8" s="10">
        <f>(FactProgress[[#This Row],[Planned_EndDate]]-FactProgress[[#This Row],[Planned_StartDate]])+1</f>
        <v>61</v>
      </c>
      <c r="U88" s="10" cm="1">
        <f t="array" aca="1" ref="U8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8" s="10" cm="1">
        <f t="array" aca="1" ref="V8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89" spans="1:22" x14ac:dyDescent="0.35">
      <c r="A89" s="1">
        <v>88</v>
      </c>
      <c r="B89" s="1">
        <v>6</v>
      </c>
      <c r="C89" s="1">
        <v>13</v>
      </c>
      <c r="D89" s="1">
        <v>11</v>
      </c>
      <c r="E89" s="3">
        <v>46296</v>
      </c>
      <c r="F89" s="3">
        <v>46325</v>
      </c>
      <c r="G89" s="3"/>
      <c r="H89" s="3"/>
      <c r="I89" s="4">
        <v>200000</v>
      </c>
      <c r="J89" s="4">
        <v>0</v>
      </c>
      <c r="K89" s="5" cm="1">
        <f t="array" aca="1" ref="K89" ca="1">_xlfn.SWITCH(TRUE,
ISBLANK(FactProgress[[#This Row],[Planned_EndDate]]),0,
TODAY()&gt;=FactProgress[[#This Row],[Planned_EndDate]],1,
TODAY()&lt;FactProgress[[#This Row],[Planned_StartDate]],0,
E89="",0,
(TODAY()-FactProgress[[#This Row],[Planned_StartDate]])/(FactProgress[[#This Row],[Planned_EndDate]]-FactProgress[[#This Row],[Planned_StartDate]]))</f>
        <v>0</v>
      </c>
      <c r="L89" s="5">
        <v>0</v>
      </c>
      <c r="M89" s="5">
        <f>IFERROR(FactProgress[[#This Row],[Real_Cost]]/FactProgress[[#This Row],[Expected_Cost]],0)</f>
        <v>0</v>
      </c>
      <c r="N89" s="1" t="str" cm="1">
        <f t="array" aca="1" ref="N8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89" s="1" t="str" cm="1">
        <f t="array" ref="O8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89" s="9" t="str" cm="1">
        <f t="array" ref="P8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89" s="10">
        <v>28</v>
      </c>
      <c r="R89" s="10">
        <v>6</v>
      </c>
      <c r="S89" s="10" cm="1">
        <f t="array" aca="1" ref="S8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89" s="10">
        <f>(FactProgress[[#This Row],[Planned_EndDate]]-FactProgress[[#This Row],[Planned_StartDate]])+1</f>
        <v>30</v>
      </c>
      <c r="U89" s="10" cm="1">
        <f t="array" aca="1" ref="U8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89" s="10" cm="1">
        <f t="array" aca="1" ref="V8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0" spans="1:22" x14ac:dyDescent="0.35">
      <c r="A90" s="1">
        <v>89</v>
      </c>
      <c r="B90" s="1">
        <v>6</v>
      </c>
      <c r="C90" s="1">
        <v>14</v>
      </c>
      <c r="D90" s="1">
        <v>13</v>
      </c>
      <c r="E90" s="3">
        <v>46327</v>
      </c>
      <c r="F90" s="3">
        <v>46341</v>
      </c>
      <c r="G90" s="3"/>
      <c r="H90" s="3"/>
      <c r="I90" s="4">
        <v>40000</v>
      </c>
      <c r="J90" s="4">
        <v>0</v>
      </c>
      <c r="K90" s="5" cm="1">
        <f t="array" aca="1" ref="K90" ca="1">_xlfn.SWITCH(TRUE,
ISBLANK(FactProgress[[#This Row],[Planned_EndDate]]),0,
TODAY()&gt;=FactProgress[[#This Row],[Planned_EndDate]],1,
TODAY()&lt;FactProgress[[#This Row],[Planned_StartDate]],0,
E90="",0,
(TODAY()-FactProgress[[#This Row],[Planned_StartDate]])/(FactProgress[[#This Row],[Planned_EndDate]]-FactProgress[[#This Row],[Planned_StartDate]]))</f>
        <v>0</v>
      </c>
      <c r="L90" s="5">
        <v>0</v>
      </c>
      <c r="M90" s="5">
        <f>IFERROR(FactProgress[[#This Row],[Real_Cost]]/FactProgress[[#This Row],[Expected_Cost]],0)</f>
        <v>0</v>
      </c>
      <c r="N90" s="1" t="str" cm="1">
        <f t="array" aca="1" ref="N9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0" s="1" t="str" cm="1">
        <f t="array" ref="O9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0" s="9" t="str" cm="1">
        <f t="array" ref="P9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0" s="10">
        <v>29</v>
      </c>
      <c r="R90" s="10">
        <v>6</v>
      </c>
      <c r="S90" s="10" cm="1">
        <f t="array" aca="1" ref="S9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0" s="10">
        <f>(FactProgress[[#This Row],[Planned_EndDate]]-FactProgress[[#This Row],[Planned_StartDate]])+1</f>
        <v>15</v>
      </c>
      <c r="U90" s="10" cm="1">
        <f t="array" aca="1" ref="U9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0" s="10" cm="1">
        <f t="array" aca="1" ref="V9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1" spans="1:22" x14ac:dyDescent="0.35">
      <c r="A91" s="1">
        <v>90</v>
      </c>
      <c r="B91" s="1">
        <v>6</v>
      </c>
      <c r="C91" s="1">
        <v>15</v>
      </c>
      <c r="D91" s="1">
        <v>14</v>
      </c>
      <c r="E91" s="3">
        <v>46342</v>
      </c>
      <c r="F91" s="3">
        <v>46356</v>
      </c>
      <c r="G91" s="3"/>
      <c r="H91" s="3"/>
      <c r="I91" s="4">
        <v>15000</v>
      </c>
      <c r="J91" s="4">
        <v>0</v>
      </c>
      <c r="K91" s="5" cm="1">
        <f t="array" aca="1" ref="K91" ca="1">_xlfn.SWITCH(TRUE,
ISBLANK(FactProgress[[#This Row],[Planned_EndDate]]),0,
TODAY()&gt;=FactProgress[[#This Row],[Planned_EndDate]],1,
TODAY()&lt;FactProgress[[#This Row],[Planned_StartDate]],0,
E91="",0,
(TODAY()-FactProgress[[#This Row],[Planned_StartDate]])/(FactProgress[[#This Row],[Planned_EndDate]]-FactProgress[[#This Row],[Planned_StartDate]]))</f>
        <v>0</v>
      </c>
      <c r="L91" s="5">
        <v>0</v>
      </c>
      <c r="M91" s="5">
        <f>IFERROR(FactProgress[[#This Row],[Real_Cost]]/FactProgress[[#This Row],[Expected_Cost]],0)</f>
        <v>0</v>
      </c>
      <c r="N91" s="1" t="str" cm="1">
        <f t="array" aca="1" ref="N9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1" s="1" t="str" cm="1">
        <f t="array" ref="O9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1" s="9" t="str" cm="1">
        <f t="array" ref="P9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1" s="10">
        <v>29</v>
      </c>
      <c r="R91" s="10">
        <v>6</v>
      </c>
      <c r="S91" s="10" cm="1">
        <f t="array" aca="1" ref="S9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1" s="10">
        <f>(FactProgress[[#This Row],[Planned_EndDate]]-FactProgress[[#This Row],[Planned_StartDate]])+1</f>
        <v>15</v>
      </c>
      <c r="U91" s="10" cm="1">
        <f t="array" aca="1" ref="U9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1" s="10" cm="1">
        <f t="array" aca="1" ref="V9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2" spans="1:22" x14ac:dyDescent="0.35">
      <c r="A92" s="1">
        <v>91</v>
      </c>
      <c r="B92" s="1">
        <v>7</v>
      </c>
      <c r="C92" s="1">
        <v>1</v>
      </c>
      <c r="D92" s="1"/>
      <c r="E92" s="3">
        <v>46023</v>
      </c>
      <c r="F92" s="3">
        <v>46037</v>
      </c>
      <c r="G92" s="3">
        <v>46027</v>
      </c>
      <c r="H92" s="3">
        <v>46042</v>
      </c>
      <c r="I92" s="4">
        <v>40000</v>
      </c>
      <c r="J92" s="4">
        <v>45000</v>
      </c>
      <c r="K92" s="5" cm="1">
        <f t="array" aca="1" ref="K92" ca="1">_xlfn.SWITCH(TRUE,
ISBLANK(FactProgress[[#This Row],[Planned_EndDate]]),0,
TODAY()&gt;=FactProgress[[#This Row],[Planned_EndDate]],1,
TODAY()&lt;FactProgress[[#This Row],[Planned_StartDate]],0,
E92="",0,
(TODAY()-FactProgress[[#This Row],[Planned_StartDate]])/(FactProgress[[#This Row],[Planned_EndDate]]-FactProgress[[#This Row],[Planned_StartDate]]))</f>
        <v>1</v>
      </c>
      <c r="L92" s="5">
        <v>1</v>
      </c>
      <c r="M92" s="5">
        <f>IFERROR(FactProgress[[#This Row],[Real_Cost]]/FactProgress[[#This Row],[Expected_Cost]],0)</f>
        <v>1.125</v>
      </c>
      <c r="N92" s="1" t="str" cm="1">
        <f t="array" aca="1" ref="N9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92" s="1" t="str" cm="1">
        <f t="array" ref="O9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92" s="9" t="str" cm="1">
        <f t="array" ref="P9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92" s="10">
        <v>24</v>
      </c>
      <c r="R92" s="10">
        <v>7</v>
      </c>
      <c r="S92" s="10" cm="1">
        <f t="array" aca="1" ref="S9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92" s="10">
        <f>(FactProgress[[#This Row],[Planned_EndDate]]-FactProgress[[#This Row],[Planned_StartDate]])+1</f>
        <v>15</v>
      </c>
      <c r="U92" s="10" cm="1">
        <f t="array" aca="1" ref="U9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16</v>
      </c>
      <c r="V92" s="10" cm="1">
        <f t="array" aca="1" ref="V9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16</v>
      </c>
    </row>
    <row r="93" spans="1:22" x14ac:dyDescent="0.35">
      <c r="A93" s="1">
        <v>92</v>
      </c>
      <c r="B93" s="1">
        <v>7</v>
      </c>
      <c r="C93" s="1">
        <v>2</v>
      </c>
      <c r="D93" s="1">
        <v>1</v>
      </c>
      <c r="E93" s="3">
        <v>46038</v>
      </c>
      <c r="F93" s="3">
        <v>46053</v>
      </c>
      <c r="G93" s="3">
        <v>46043</v>
      </c>
      <c r="H93" s="3">
        <v>46058</v>
      </c>
      <c r="I93" s="4">
        <v>18000</v>
      </c>
      <c r="J93" s="4">
        <v>22000</v>
      </c>
      <c r="K93" s="5" cm="1">
        <f t="array" aca="1" ref="K93" ca="1">_xlfn.SWITCH(TRUE,
ISBLANK(FactProgress[[#This Row],[Planned_EndDate]]),0,
TODAY()&gt;=FactProgress[[#This Row],[Planned_EndDate]],1,
TODAY()&lt;FactProgress[[#This Row],[Planned_StartDate]],0,
E93="",0,
(TODAY()-FactProgress[[#This Row],[Planned_StartDate]])/(FactProgress[[#This Row],[Planned_EndDate]]-FactProgress[[#This Row],[Planned_StartDate]]))</f>
        <v>1</v>
      </c>
      <c r="L93" s="5">
        <v>1</v>
      </c>
      <c r="M93" s="5">
        <f>IFERROR(FactProgress[[#This Row],[Real_Cost]]/FactProgress[[#This Row],[Expected_Cost]],0)</f>
        <v>1.2222222222222223</v>
      </c>
      <c r="N93" s="1" t="str" cm="1">
        <f t="array" aca="1" ref="N9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93" s="1" t="str" cm="1">
        <f t="array" ref="O9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93" s="9" t="str" cm="1">
        <f t="array" ref="P9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93" s="10">
        <v>24</v>
      </c>
      <c r="R93" s="10">
        <v>7</v>
      </c>
      <c r="S93" s="10" cm="1">
        <f t="array" aca="1" ref="S9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16</v>
      </c>
      <c r="T93" s="10">
        <f>(FactProgress[[#This Row],[Planned_EndDate]]-FactProgress[[#This Row],[Planned_StartDate]])+1</f>
        <v>16</v>
      </c>
      <c r="U93" s="10" cm="1">
        <f t="array" aca="1" ref="U9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16</v>
      </c>
      <c r="V93" s="10" cm="1">
        <f t="array" aca="1" ref="V9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16</v>
      </c>
    </row>
    <row r="94" spans="1:22" x14ac:dyDescent="0.35">
      <c r="A94" s="1">
        <v>93</v>
      </c>
      <c r="B94" s="1">
        <v>7</v>
      </c>
      <c r="C94" s="1">
        <v>3</v>
      </c>
      <c r="D94" s="1">
        <v>2</v>
      </c>
      <c r="E94" s="3">
        <v>46054</v>
      </c>
      <c r="F94" s="3">
        <v>46068</v>
      </c>
      <c r="G94" s="3">
        <v>46059</v>
      </c>
      <c r="H94" s="3">
        <v>46073</v>
      </c>
      <c r="I94" s="4">
        <v>95000</v>
      </c>
      <c r="J94" s="4">
        <v>105000</v>
      </c>
      <c r="K94" s="5" cm="1">
        <f t="array" aca="1" ref="K94" ca="1">_xlfn.SWITCH(TRUE,
ISBLANK(FactProgress[[#This Row],[Planned_EndDate]]),0,
TODAY()&gt;=FactProgress[[#This Row],[Planned_EndDate]],1,
TODAY()&lt;FactProgress[[#This Row],[Planned_StartDate]],0,
E94="",0,
(TODAY()-FactProgress[[#This Row],[Planned_StartDate]])/(FactProgress[[#This Row],[Planned_EndDate]]-FactProgress[[#This Row],[Planned_StartDate]]))</f>
        <v>1</v>
      </c>
      <c r="L94" s="5">
        <v>1</v>
      </c>
      <c r="M94" s="5">
        <f>IFERROR(FactProgress[[#This Row],[Real_Cost]]/FactProgress[[#This Row],[Expected_Cost]],0)</f>
        <v>1.1052631578947369</v>
      </c>
      <c r="N94" s="1" t="str" cm="1">
        <f t="array" aca="1" ref="N9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94" s="1" t="str" cm="1">
        <f t="array" ref="O9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94" s="9" t="str" cm="1">
        <f t="array" ref="P9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94" s="10">
        <v>26</v>
      </c>
      <c r="R94" s="10">
        <v>7</v>
      </c>
      <c r="S94" s="10" cm="1">
        <f t="array" aca="1" ref="S9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94" s="10">
        <f>(FactProgress[[#This Row],[Planned_EndDate]]-FactProgress[[#This Row],[Planned_StartDate]])+1</f>
        <v>15</v>
      </c>
      <c r="U94" s="10" cm="1">
        <f t="array" aca="1" ref="U9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15</v>
      </c>
      <c r="V94" s="10" cm="1">
        <f t="array" aca="1" ref="V9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15</v>
      </c>
    </row>
    <row r="95" spans="1:22" x14ac:dyDescent="0.35">
      <c r="A95" s="1">
        <v>94</v>
      </c>
      <c r="B95" s="1">
        <v>7</v>
      </c>
      <c r="C95" s="1">
        <v>4</v>
      </c>
      <c r="D95" s="1">
        <v>3</v>
      </c>
      <c r="E95" s="3">
        <v>46069</v>
      </c>
      <c r="F95" s="3">
        <v>46111</v>
      </c>
      <c r="G95" s="3">
        <v>46074</v>
      </c>
      <c r="H95" s="3"/>
      <c r="I95" s="4">
        <v>480000</v>
      </c>
      <c r="J95" s="4">
        <v>120000</v>
      </c>
      <c r="K95" s="5" cm="1">
        <f t="array" aca="1" ref="K95" ca="1">_xlfn.SWITCH(TRUE,
ISBLANK(FactProgress[[#This Row],[Planned_EndDate]]),0,
TODAY()&gt;=FactProgress[[#This Row],[Planned_EndDate]],1,
TODAY()&lt;FactProgress[[#This Row],[Planned_StartDate]],0,
E95="",0,
(TODAY()-FactProgress[[#This Row],[Planned_StartDate]])/(FactProgress[[#This Row],[Planned_EndDate]]-FactProgress[[#This Row],[Planned_StartDate]]))</f>
        <v>0.73809523809523814</v>
      </c>
      <c r="L95" s="5">
        <v>0.05</v>
      </c>
      <c r="M95" s="5">
        <f>IFERROR(FactProgress[[#This Row],[Real_Cost]]/FactProgress[[#This Row],[Expected_Cost]],0)</f>
        <v>0.25</v>
      </c>
      <c r="N95" s="1" t="str" cm="1">
        <f t="array" aca="1" ref="N9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95" s="1" t="str" cm="1">
        <f t="array" ref="O9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95" s="9" t="str" cm="1">
        <f t="array" ref="P9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95" s="10">
        <v>26</v>
      </c>
      <c r="R95" s="10">
        <v>7</v>
      </c>
      <c r="S95" s="10" cm="1">
        <f t="array" aca="1" ref="S9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95" s="10">
        <f>(FactProgress[[#This Row],[Planned_EndDate]]-FactProgress[[#This Row],[Planned_StartDate]])+1</f>
        <v>43</v>
      </c>
      <c r="U95" s="10" cm="1">
        <f t="array" aca="1" ref="U9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26</v>
      </c>
      <c r="V95" s="10" cm="1">
        <f t="array" aca="1" ref="V9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520</v>
      </c>
    </row>
    <row r="96" spans="1:22" x14ac:dyDescent="0.35">
      <c r="A96" s="1">
        <v>95</v>
      </c>
      <c r="B96" s="1">
        <v>7</v>
      </c>
      <c r="C96" s="1">
        <v>5</v>
      </c>
      <c r="D96" s="1">
        <v>4</v>
      </c>
      <c r="E96" s="3">
        <v>46112</v>
      </c>
      <c r="F96" s="3">
        <v>46188</v>
      </c>
      <c r="G96" s="3"/>
      <c r="H96" s="3"/>
      <c r="I96" s="4">
        <v>850000</v>
      </c>
      <c r="J96" s="4">
        <v>0</v>
      </c>
      <c r="K96" s="5" cm="1">
        <f t="array" aca="1" ref="K96" ca="1">_xlfn.SWITCH(TRUE,
ISBLANK(FactProgress[[#This Row],[Planned_EndDate]]),0,
TODAY()&gt;=FactProgress[[#This Row],[Planned_EndDate]],1,
TODAY()&lt;FactProgress[[#This Row],[Planned_StartDate]],0,
E96="",0,
(TODAY()-FactProgress[[#This Row],[Planned_StartDate]])/(FactProgress[[#This Row],[Planned_EndDate]]-FactProgress[[#This Row],[Planned_StartDate]]))</f>
        <v>0</v>
      </c>
      <c r="L96" s="5">
        <v>0</v>
      </c>
      <c r="M96" s="5">
        <f>IFERROR(FactProgress[[#This Row],[Real_Cost]]/FactProgress[[#This Row],[Expected_Cost]],0)</f>
        <v>0</v>
      </c>
      <c r="N96" s="1" t="str" cm="1">
        <f t="array" aca="1" ref="N9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6" s="1" t="str" cm="1">
        <f t="array" ref="O9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6" s="9" t="str" cm="1">
        <f t="array" ref="P9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6" s="10">
        <v>26</v>
      </c>
      <c r="R96" s="10">
        <v>7</v>
      </c>
      <c r="S96" s="10" cm="1">
        <f t="array" aca="1" ref="S9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6" s="10">
        <f>(FactProgress[[#This Row],[Planned_EndDate]]-FactProgress[[#This Row],[Planned_StartDate]])+1</f>
        <v>77</v>
      </c>
      <c r="U96" s="10" cm="1">
        <f t="array" aca="1" ref="U9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6" s="10" cm="1">
        <f t="array" aca="1" ref="V9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7" spans="1:22" x14ac:dyDescent="0.35">
      <c r="A97" s="1">
        <v>96</v>
      </c>
      <c r="B97" s="1">
        <v>7</v>
      </c>
      <c r="C97" s="1">
        <v>6</v>
      </c>
      <c r="D97" s="1">
        <v>5</v>
      </c>
      <c r="E97" s="3">
        <v>46189</v>
      </c>
      <c r="F97" s="3">
        <v>46218</v>
      </c>
      <c r="G97" s="3"/>
      <c r="H97" s="3"/>
      <c r="I97" s="4">
        <v>510000</v>
      </c>
      <c r="J97" s="4">
        <v>0</v>
      </c>
      <c r="K97" s="5" cm="1">
        <f t="array" aca="1" ref="K97" ca="1">_xlfn.SWITCH(TRUE,
ISBLANK(FactProgress[[#This Row],[Planned_EndDate]]),0,
TODAY()&gt;=FactProgress[[#This Row],[Planned_EndDate]],1,
TODAY()&lt;FactProgress[[#This Row],[Planned_StartDate]],0,
E97="",0,
(TODAY()-FactProgress[[#This Row],[Planned_StartDate]])/(FactProgress[[#This Row],[Planned_EndDate]]-FactProgress[[#This Row],[Planned_StartDate]]))</f>
        <v>0</v>
      </c>
      <c r="L97" s="5">
        <v>0</v>
      </c>
      <c r="M97" s="5">
        <f>IFERROR(FactProgress[[#This Row],[Real_Cost]]/FactProgress[[#This Row],[Expected_Cost]],0)</f>
        <v>0</v>
      </c>
      <c r="N97" s="1" t="str" cm="1">
        <f t="array" aca="1" ref="N9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7" s="1" t="str" cm="1">
        <f t="array" ref="O9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7" s="9" t="str" cm="1">
        <f t="array" ref="P9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7" s="10">
        <v>26</v>
      </c>
      <c r="R97" s="10">
        <v>7</v>
      </c>
      <c r="S97" s="10" cm="1">
        <f t="array" aca="1" ref="S9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7" s="10">
        <f>(FactProgress[[#This Row],[Planned_EndDate]]-FactProgress[[#This Row],[Planned_StartDate]])+1</f>
        <v>30</v>
      </c>
      <c r="U97" s="10" cm="1">
        <f t="array" aca="1" ref="U9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7" s="10" cm="1">
        <f t="array" aca="1" ref="V9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8" spans="1:22" x14ac:dyDescent="0.35">
      <c r="A98" s="1">
        <v>97</v>
      </c>
      <c r="B98" s="1">
        <v>7</v>
      </c>
      <c r="C98" s="1">
        <v>7</v>
      </c>
      <c r="D98" s="1">
        <v>4</v>
      </c>
      <c r="E98" s="3">
        <v>46189</v>
      </c>
      <c r="F98" s="3">
        <v>46233</v>
      </c>
      <c r="G98" s="3"/>
      <c r="H98" s="3"/>
      <c r="I98" s="4">
        <v>240000</v>
      </c>
      <c r="J98" s="4">
        <v>0</v>
      </c>
      <c r="K98" s="5" cm="1">
        <f t="array" aca="1" ref="K98" ca="1">_xlfn.SWITCH(TRUE,
ISBLANK(FactProgress[[#This Row],[Planned_EndDate]]),0,
TODAY()&gt;=FactProgress[[#This Row],[Planned_EndDate]],1,
TODAY()&lt;FactProgress[[#This Row],[Planned_StartDate]],0,
E98="",0,
(TODAY()-FactProgress[[#This Row],[Planned_StartDate]])/(FactProgress[[#This Row],[Planned_EndDate]]-FactProgress[[#This Row],[Planned_StartDate]]))</f>
        <v>0</v>
      </c>
      <c r="L98" s="5">
        <v>0</v>
      </c>
      <c r="M98" s="5">
        <f>IFERROR(FactProgress[[#This Row],[Real_Cost]]/FactProgress[[#This Row],[Expected_Cost]],0)</f>
        <v>0</v>
      </c>
      <c r="N98" s="1" t="str" cm="1">
        <f t="array" aca="1" ref="N9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8" s="1" t="str" cm="1">
        <f t="array" ref="O9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8" s="9" t="str" cm="1">
        <f t="array" ref="P9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8" s="10">
        <v>27</v>
      </c>
      <c r="R98" s="10">
        <v>7</v>
      </c>
      <c r="S98" s="10" cm="1">
        <f t="array" aca="1" ref="S9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8" s="10">
        <f>(FactProgress[[#This Row],[Planned_EndDate]]-FactProgress[[#This Row],[Planned_StartDate]])+1</f>
        <v>45</v>
      </c>
      <c r="U98" s="10" cm="1">
        <f t="array" aca="1" ref="U9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8" s="10" cm="1">
        <f t="array" aca="1" ref="V9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99" spans="1:22" x14ac:dyDescent="0.35">
      <c r="A99" s="1">
        <v>98</v>
      </c>
      <c r="B99" s="1">
        <v>7</v>
      </c>
      <c r="C99" s="1">
        <v>8</v>
      </c>
      <c r="D99" s="1">
        <v>6</v>
      </c>
      <c r="E99" s="3">
        <v>46219</v>
      </c>
      <c r="F99" s="3">
        <v>46249</v>
      </c>
      <c r="G99" s="3"/>
      <c r="H99" s="3"/>
      <c r="I99" s="4">
        <v>130000</v>
      </c>
      <c r="J99" s="4">
        <v>0</v>
      </c>
      <c r="K99" s="5" cm="1">
        <f t="array" aca="1" ref="K99" ca="1">_xlfn.SWITCH(TRUE,
ISBLANK(FactProgress[[#This Row],[Planned_EndDate]]),0,
TODAY()&gt;=FactProgress[[#This Row],[Planned_EndDate]],1,
TODAY()&lt;FactProgress[[#This Row],[Planned_StartDate]],0,
E99="",0,
(TODAY()-FactProgress[[#This Row],[Planned_StartDate]])/(FactProgress[[#This Row],[Planned_EndDate]]-FactProgress[[#This Row],[Planned_StartDate]]))</f>
        <v>0</v>
      </c>
      <c r="L99" s="5">
        <v>0</v>
      </c>
      <c r="M99" s="5">
        <f>IFERROR(FactProgress[[#This Row],[Real_Cost]]/FactProgress[[#This Row],[Expected_Cost]],0)</f>
        <v>0</v>
      </c>
      <c r="N99" s="1" t="str" cm="1">
        <f t="array" aca="1" ref="N9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99" s="1" t="str" cm="1">
        <f t="array" ref="O9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99" s="9" t="str" cm="1">
        <f t="array" ref="P9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99" s="10">
        <v>27</v>
      </c>
      <c r="R99" s="10">
        <v>7</v>
      </c>
      <c r="S99" s="10" cm="1">
        <f t="array" aca="1" ref="S9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99" s="10">
        <f>(FactProgress[[#This Row],[Planned_EndDate]]-FactProgress[[#This Row],[Planned_StartDate]])+1</f>
        <v>31</v>
      </c>
      <c r="U99" s="10" cm="1">
        <f t="array" aca="1" ref="U9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99" s="10" cm="1">
        <f t="array" aca="1" ref="V9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0" spans="1:22" x14ac:dyDescent="0.35">
      <c r="A100" s="1">
        <v>99</v>
      </c>
      <c r="B100" s="1">
        <v>7</v>
      </c>
      <c r="C100" s="1">
        <v>9</v>
      </c>
      <c r="D100" s="1">
        <v>7</v>
      </c>
      <c r="E100" s="3">
        <v>46235</v>
      </c>
      <c r="F100" s="3">
        <v>46249</v>
      </c>
      <c r="G100" s="3"/>
      <c r="H100" s="3"/>
      <c r="I100" s="4">
        <v>85000</v>
      </c>
      <c r="J100" s="4">
        <v>0</v>
      </c>
      <c r="K100" s="5" cm="1">
        <f t="array" aca="1" ref="K100" ca="1">_xlfn.SWITCH(TRUE,
ISBLANK(FactProgress[[#This Row],[Planned_EndDate]]),0,
TODAY()&gt;=FactProgress[[#This Row],[Planned_EndDate]],1,
TODAY()&lt;FactProgress[[#This Row],[Planned_StartDate]],0,
E100="",0,
(TODAY()-FactProgress[[#This Row],[Planned_StartDate]])/(FactProgress[[#This Row],[Planned_EndDate]]-FactProgress[[#This Row],[Planned_StartDate]]))</f>
        <v>0</v>
      </c>
      <c r="L100" s="5">
        <v>0</v>
      </c>
      <c r="M100" s="5">
        <f>IFERROR(FactProgress[[#This Row],[Real_Cost]]/FactProgress[[#This Row],[Expected_Cost]],0)</f>
        <v>0</v>
      </c>
      <c r="N100" s="1" t="str" cm="1">
        <f t="array" aca="1" ref="N10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0" s="1" t="str" cm="1">
        <f t="array" ref="O10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0" s="9" t="str" cm="1">
        <f t="array" ref="P10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0" s="10">
        <v>27</v>
      </c>
      <c r="R100" s="10">
        <v>7</v>
      </c>
      <c r="S100" s="10" cm="1">
        <f t="array" aca="1" ref="S10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0" s="10">
        <f>(FactProgress[[#This Row],[Planned_EndDate]]-FactProgress[[#This Row],[Planned_StartDate]])+1</f>
        <v>15</v>
      </c>
      <c r="U100" s="10" cm="1">
        <f t="array" aca="1" ref="U10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0" s="10" cm="1">
        <f t="array" aca="1" ref="V10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1" spans="1:22" x14ac:dyDescent="0.35">
      <c r="A101" s="1">
        <v>100</v>
      </c>
      <c r="B101" s="1">
        <v>7</v>
      </c>
      <c r="C101" s="1">
        <v>10</v>
      </c>
      <c r="D101" s="1">
        <v>5</v>
      </c>
      <c r="E101" s="3">
        <v>46235</v>
      </c>
      <c r="F101" s="3">
        <v>46295</v>
      </c>
      <c r="G101" s="3"/>
      <c r="H101" s="3"/>
      <c r="I101" s="4">
        <v>250000</v>
      </c>
      <c r="J101" s="4">
        <v>0</v>
      </c>
      <c r="K101" s="5" cm="1">
        <f t="array" aca="1" ref="K101" ca="1">_xlfn.SWITCH(TRUE,
ISBLANK(FactProgress[[#This Row],[Planned_EndDate]]),0,
TODAY()&gt;=FactProgress[[#This Row],[Planned_EndDate]],1,
TODAY()&lt;FactProgress[[#This Row],[Planned_StartDate]],0,
E101="",0,
(TODAY()-FactProgress[[#This Row],[Planned_StartDate]])/(FactProgress[[#This Row],[Planned_EndDate]]-FactProgress[[#This Row],[Planned_StartDate]]))</f>
        <v>0</v>
      </c>
      <c r="L101" s="5">
        <v>0</v>
      </c>
      <c r="M101" s="5">
        <f>IFERROR(FactProgress[[#This Row],[Real_Cost]]/FactProgress[[#This Row],[Expected_Cost]],0)</f>
        <v>0</v>
      </c>
      <c r="N101" s="1" t="str" cm="1">
        <f t="array" aca="1" ref="N10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1" s="1" t="str" cm="1">
        <f t="array" ref="O10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1" s="9" t="str" cm="1">
        <f t="array" ref="P10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1" s="10">
        <v>27</v>
      </c>
      <c r="R101" s="10">
        <v>7</v>
      </c>
      <c r="S101" s="10" cm="1">
        <f t="array" aca="1" ref="S10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1" s="10">
        <f>(FactProgress[[#This Row],[Planned_EndDate]]-FactProgress[[#This Row],[Planned_StartDate]])+1</f>
        <v>61</v>
      </c>
      <c r="U101" s="10" cm="1">
        <f t="array" aca="1" ref="U10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1" s="10" cm="1">
        <f t="array" aca="1" ref="V10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2" spans="1:22" x14ac:dyDescent="0.35">
      <c r="A102" s="1">
        <v>101</v>
      </c>
      <c r="B102" s="1">
        <v>7</v>
      </c>
      <c r="C102" s="1">
        <v>11</v>
      </c>
      <c r="D102" s="1">
        <v>10</v>
      </c>
      <c r="E102" s="3">
        <v>46296</v>
      </c>
      <c r="F102" s="3">
        <v>46341</v>
      </c>
      <c r="G102" s="3"/>
      <c r="H102" s="3"/>
      <c r="I102" s="4">
        <v>320000</v>
      </c>
      <c r="J102" s="4">
        <v>0</v>
      </c>
      <c r="K102" s="5" cm="1">
        <f t="array" aca="1" ref="K102" ca="1">_xlfn.SWITCH(TRUE,
ISBLANK(FactProgress[[#This Row],[Planned_EndDate]]),0,
TODAY()&gt;=FactProgress[[#This Row],[Planned_EndDate]],1,
TODAY()&lt;FactProgress[[#This Row],[Planned_StartDate]],0,
E102="",0,
(TODAY()-FactProgress[[#This Row],[Planned_StartDate]])/(FactProgress[[#This Row],[Planned_EndDate]]-FactProgress[[#This Row],[Planned_StartDate]]))</f>
        <v>0</v>
      </c>
      <c r="L102" s="5">
        <v>0</v>
      </c>
      <c r="M102" s="5">
        <f>IFERROR(FactProgress[[#This Row],[Real_Cost]]/FactProgress[[#This Row],[Expected_Cost]],0)</f>
        <v>0</v>
      </c>
      <c r="N102" s="1" t="str" cm="1">
        <f t="array" aca="1" ref="N10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2" s="1" t="str" cm="1">
        <f t="array" ref="O10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2" s="9" t="str" cm="1">
        <f t="array" ref="P10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2" s="10">
        <v>30</v>
      </c>
      <c r="R102" s="10">
        <v>7</v>
      </c>
      <c r="S102" s="10" cm="1">
        <f t="array" aca="1" ref="S10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2" s="10">
        <f>(FactProgress[[#This Row],[Planned_EndDate]]-FactProgress[[#This Row],[Planned_StartDate]])+1</f>
        <v>46</v>
      </c>
      <c r="U102" s="10" cm="1">
        <f t="array" aca="1" ref="U10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2" s="10" cm="1">
        <f t="array" aca="1" ref="V10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3" spans="1:22" x14ac:dyDescent="0.35">
      <c r="A103" s="1">
        <v>102</v>
      </c>
      <c r="B103" s="1">
        <v>7</v>
      </c>
      <c r="C103" s="1">
        <v>12</v>
      </c>
      <c r="D103" s="1">
        <v>10</v>
      </c>
      <c r="E103" s="3">
        <v>46296</v>
      </c>
      <c r="F103" s="3">
        <v>46356</v>
      </c>
      <c r="G103" s="3"/>
      <c r="H103" s="3"/>
      <c r="I103" s="4">
        <v>180000</v>
      </c>
      <c r="J103" s="4">
        <v>0</v>
      </c>
      <c r="K103" s="5" cm="1">
        <f t="array" aca="1" ref="K103" ca="1">_xlfn.SWITCH(TRUE,
ISBLANK(FactProgress[[#This Row],[Planned_EndDate]]),0,
TODAY()&gt;=FactProgress[[#This Row],[Planned_EndDate]],1,
TODAY()&lt;FactProgress[[#This Row],[Planned_StartDate]],0,
E103="",0,
(TODAY()-FactProgress[[#This Row],[Planned_StartDate]])/(FactProgress[[#This Row],[Planned_EndDate]]-FactProgress[[#This Row],[Planned_StartDate]]))</f>
        <v>0</v>
      </c>
      <c r="L103" s="5">
        <v>0</v>
      </c>
      <c r="M103" s="5">
        <f>IFERROR(FactProgress[[#This Row],[Real_Cost]]/FactProgress[[#This Row],[Expected_Cost]],0)</f>
        <v>0</v>
      </c>
      <c r="N103" s="1" t="str" cm="1">
        <f t="array" aca="1" ref="N10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3" s="1" t="str" cm="1">
        <f t="array" ref="O10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3" s="9" t="str" cm="1">
        <f t="array" ref="P10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3" s="10">
        <v>30</v>
      </c>
      <c r="R103" s="10">
        <v>7</v>
      </c>
      <c r="S103" s="10" cm="1">
        <f t="array" aca="1" ref="S10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3" s="10">
        <f>(FactProgress[[#This Row],[Planned_EndDate]]-FactProgress[[#This Row],[Planned_StartDate]])+1</f>
        <v>61</v>
      </c>
      <c r="U103" s="10" cm="1">
        <f t="array" aca="1" ref="U10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3" s="10" cm="1">
        <f t="array" aca="1" ref="V10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4" spans="1:22" x14ac:dyDescent="0.35">
      <c r="A104" s="1">
        <v>103</v>
      </c>
      <c r="B104" s="1">
        <v>7</v>
      </c>
      <c r="C104" s="1">
        <v>13</v>
      </c>
      <c r="D104" s="1">
        <v>11</v>
      </c>
      <c r="E104" s="3">
        <v>46357</v>
      </c>
      <c r="F104" s="3">
        <v>46387</v>
      </c>
      <c r="G104" s="3"/>
      <c r="H104" s="3"/>
      <c r="I104" s="4">
        <v>150000</v>
      </c>
      <c r="J104" s="4">
        <v>0</v>
      </c>
      <c r="K104" s="5" cm="1">
        <f t="array" aca="1" ref="K104" ca="1">_xlfn.SWITCH(TRUE,
ISBLANK(FactProgress[[#This Row],[Planned_EndDate]]),0,
TODAY()&gt;=FactProgress[[#This Row],[Planned_EndDate]],1,
TODAY()&lt;FactProgress[[#This Row],[Planned_StartDate]],0,
E104="",0,
(TODAY()-FactProgress[[#This Row],[Planned_StartDate]])/(FactProgress[[#This Row],[Planned_EndDate]]-FactProgress[[#This Row],[Planned_StartDate]]))</f>
        <v>0</v>
      </c>
      <c r="L104" s="5">
        <v>0</v>
      </c>
      <c r="M104" s="5">
        <f>IFERROR(FactProgress[[#This Row],[Real_Cost]]/FactProgress[[#This Row],[Expected_Cost]],0)</f>
        <v>0</v>
      </c>
      <c r="N104" s="1" t="str" cm="1">
        <f t="array" aca="1" ref="N10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4" s="1" t="str" cm="1">
        <f t="array" ref="O10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4" s="9" t="str" cm="1">
        <f t="array" ref="P10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4" s="10">
        <v>30</v>
      </c>
      <c r="R104" s="10">
        <v>7</v>
      </c>
      <c r="S104" s="10" cm="1">
        <f t="array" aca="1" ref="S10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4" s="10">
        <f>(FactProgress[[#This Row],[Planned_EndDate]]-FactProgress[[#This Row],[Planned_StartDate]])+1</f>
        <v>31</v>
      </c>
      <c r="U104" s="10" cm="1">
        <f t="array" aca="1" ref="U10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4" s="10" cm="1">
        <f t="array" aca="1" ref="V10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5" spans="1:22" x14ac:dyDescent="0.35">
      <c r="A105" s="1">
        <v>104</v>
      </c>
      <c r="B105" s="1">
        <v>7</v>
      </c>
      <c r="C105" s="1">
        <v>14</v>
      </c>
      <c r="D105" s="1">
        <v>13</v>
      </c>
      <c r="E105" s="3">
        <v>46388</v>
      </c>
      <c r="F105" s="3">
        <v>46402</v>
      </c>
      <c r="G105" s="3"/>
      <c r="H105" s="3"/>
      <c r="I105" s="4">
        <v>38000</v>
      </c>
      <c r="J105" s="4">
        <v>0</v>
      </c>
      <c r="K105" s="5" cm="1">
        <f t="array" aca="1" ref="K105" ca="1">_xlfn.SWITCH(TRUE,
ISBLANK(FactProgress[[#This Row],[Planned_EndDate]]),0,
TODAY()&gt;=FactProgress[[#This Row],[Planned_EndDate]],1,
TODAY()&lt;FactProgress[[#This Row],[Planned_StartDate]],0,
E105="",0,
(TODAY()-FactProgress[[#This Row],[Planned_StartDate]])/(FactProgress[[#This Row],[Planned_EndDate]]-FactProgress[[#This Row],[Planned_StartDate]]))</f>
        <v>0</v>
      </c>
      <c r="L105" s="5">
        <v>0</v>
      </c>
      <c r="M105" s="5">
        <f>IFERROR(FactProgress[[#This Row],[Real_Cost]]/FactProgress[[#This Row],[Expected_Cost]],0)</f>
        <v>0</v>
      </c>
      <c r="N105" s="1" t="str" cm="1">
        <f t="array" aca="1" ref="N10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5" s="1" t="str" cm="1">
        <f t="array" ref="O10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5" s="9" t="str" cm="1">
        <f t="array" ref="P10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5" s="10">
        <v>11</v>
      </c>
      <c r="R105" s="10">
        <v>7</v>
      </c>
      <c r="S105" s="10" cm="1">
        <f t="array" aca="1" ref="S10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5" s="10">
        <f>(FactProgress[[#This Row],[Planned_EndDate]]-FactProgress[[#This Row],[Planned_StartDate]])+1</f>
        <v>15</v>
      </c>
      <c r="U105" s="10" cm="1">
        <f t="array" aca="1" ref="U10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5" s="10" cm="1">
        <f t="array" aca="1" ref="V10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6" spans="1:22" x14ac:dyDescent="0.35">
      <c r="A106" s="1">
        <v>105</v>
      </c>
      <c r="B106" s="1">
        <v>7</v>
      </c>
      <c r="C106" s="1">
        <v>15</v>
      </c>
      <c r="D106" s="1">
        <v>14</v>
      </c>
      <c r="E106" s="3">
        <v>46403</v>
      </c>
      <c r="F106" s="3">
        <v>46417</v>
      </c>
      <c r="G106" s="3"/>
      <c r="H106" s="3"/>
      <c r="I106" s="4">
        <v>15000</v>
      </c>
      <c r="J106" s="4">
        <v>0</v>
      </c>
      <c r="K106" s="5" cm="1">
        <f t="array" aca="1" ref="K106" ca="1">_xlfn.SWITCH(TRUE,
ISBLANK(FactProgress[[#This Row],[Planned_EndDate]]),0,
TODAY()&gt;=FactProgress[[#This Row],[Planned_EndDate]],1,
TODAY()&lt;FactProgress[[#This Row],[Planned_StartDate]],0,
E106="",0,
(TODAY()-FactProgress[[#This Row],[Planned_StartDate]])/(FactProgress[[#This Row],[Planned_EndDate]]-FactProgress[[#This Row],[Planned_StartDate]]))</f>
        <v>0</v>
      </c>
      <c r="L106" s="5">
        <v>0</v>
      </c>
      <c r="M106" s="5">
        <f>IFERROR(FactProgress[[#This Row],[Real_Cost]]/FactProgress[[#This Row],[Expected_Cost]],0)</f>
        <v>0</v>
      </c>
      <c r="N106" s="1" t="str" cm="1">
        <f t="array" aca="1" ref="N10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06" s="1" t="str" cm="1">
        <f t="array" ref="O10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06" s="9" t="str" cm="1">
        <f t="array" ref="P10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06" s="10">
        <v>11</v>
      </c>
      <c r="R106" s="10">
        <v>7</v>
      </c>
      <c r="S106" s="10" cm="1">
        <f t="array" aca="1" ref="S10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06" s="10">
        <f>(FactProgress[[#This Row],[Planned_EndDate]]-FactProgress[[#This Row],[Planned_StartDate]])+1</f>
        <v>15</v>
      </c>
      <c r="U106" s="10" cm="1">
        <f t="array" aca="1" ref="U10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06" s="10" cm="1">
        <f t="array" aca="1" ref="V10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07" spans="1:22" x14ac:dyDescent="0.35">
      <c r="A107" s="1">
        <v>106</v>
      </c>
      <c r="B107" s="1">
        <v>8</v>
      </c>
      <c r="C107" s="1">
        <v>1</v>
      </c>
      <c r="D107" s="1"/>
      <c r="E107" s="3">
        <v>45717</v>
      </c>
      <c r="F107" s="3">
        <v>45731</v>
      </c>
      <c r="G107" s="3">
        <v>45717</v>
      </c>
      <c r="H107" s="3">
        <v>45728</v>
      </c>
      <c r="I107" s="4">
        <v>60000</v>
      </c>
      <c r="J107" s="4">
        <v>58000</v>
      </c>
      <c r="K107" s="5" cm="1">
        <f t="array" aca="1" ref="K107" ca="1">_xlfn.SWITCH(TRUE,
ISBLANK(FactProgress[[#This Row],[Planned_EndDate]]),0,
TODAY()&gt;=FactProgress[[#This Row],[Planned_EndDate]],1,
TODAY()&lt;FactProgress[[#This Row],[Planned_StartDate]],0,
E107="",0,
(TODAY()-FactProgress[[#This Row],[Planned_StartDate]])/(FactProgress[[#This Row],[Planned_EndDate]]-FactProgress[[#This Row],[Planned_StartDate]]))</f>
        <v>1</v>
      </c>
      <c r="L107" s="5">
        <v>1</v>
      </c>
      <c r="M107" s="5">
        <f>IFERROR(FactProgress[[#This Row],[Real_Cost]]/FactProgress[[#This Row],[Expected_Cost]],0)</f>
        <v>0.96666666666666667</v>
      </c>
      <c r="N107" s="1" t="str" cm="1">
        <f t="array" aca="1" ref="N10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07" s="1" t="str" cm="1">
        <f t="array" ref="O10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107" s="9" t="str" cm="1">
        <f t="array" ref="P10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107" s="10">
        <v>5</v>
      </c>
      <c r="R107" s="10">
        <v>2</v>
      </c>
      <c r="S107" s="10" cm="1">
        <f t="array" aca="1" ref="S10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07" s="10">
        <f>(FactProgress[[#This Row],[Planned_EndDate]]-FactProgress[[#This Row],[Planned_StartDate]])+1</f>
        <v>15</v>
      </c>
      <c r="U107" s="10" cm="1">
        <f t="array" aca="1" ref="U10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12</v>
      </c>
      <c r="V107" s="10" cm="1">
        <f t="array" aca="1" ref="V10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12</v>
      </c>
    </row>
    <row r="108" spans="1:22" x14ac:dyDescent="0.35">
      <c r="A108" s="1">
        <v>107</v>
      </c>
      <c r="B108" s="1">
        <v>8</v>
      </c>
      <c r="C108" s="1">
        <v>2</v>
      </c>
      <c r="D108" s="1">
        <v>1</v>
      </c>
      <c r="E108" s="3">
        <v>45732</v>
      </c>
      <c r="F108" s="3">
        <v>45747</v>
      </c>
      <c r="G108" s="3">
        <v>45730</v>
      </c>
      <c r="H108" s="3">
        <v>45752</v>
      </c>
      <c r="I108" s="4">
        <v>35000</v>
      </c>
      <c r="J108" s="4">
        <v>42000</v>
      </c>
      <c r="K108" s="5" cm="1">
        <f t="array" aca="1" ref="K108" ca="1">_xlfn.SWITCH(TRUE,
ISBLANK(FactProgress[[#This Row],[Planned_EndDate]]),0,
TODAY()&gt;=FactProgress[[#This Row],[Planned_EndDate]],1,
TODAY()&lt;FactProgress[[#This Row],[Planned_StartDate]],0,
E108="",0,
(TODAY()-FactProgress[[#This Row],[Planned_StartDate]])/(FactProgress[[#This Row],[Planned_EndDate]]-FactProgress[[#This Row],[Planned_StartDate]]))</f>
        <v>1</v>
      </c>
      <c r="L108" s="5">
        <v>1</v>
      </c>
      <c r="M108" s="5">
        <f>IFERROR(FactProgress[[#This Row],[Real_Cost]]/FactProgress[[#This Row],[Expected_Cost]],0)</f>
        <v>1.2</v>
      </c>
      <c r="N108" s="1" t="str" cm="1">
        <f t="array" aca="1" ref="N10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08" s="1" t="str" cm="1">
        <f t="array" ref="O10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08" s="9" t="str" cm="1">
        <f t="array" ref="P10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08" s="10">
        <v>5</v>
      </c>
      <c r="R108" s="10">
        <v>2</v>
      </c>
      <c r="S108" s="10" cm="1">
        <f t="array" aca="1" ref="S10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16</v>
      </c>
      <c r="T108" s="10">
        <f>(FactProgress[[#This Row],[Planned_EndDate]]-FactProgress[[#This Row],[Planned_StartDate]])+1</f>
        <v>16</v>
      </c>
      <c r="U108" s="10" cm="1">
        <f t="array" aca="1" ref="U10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23</v>
      </c>
      <c r="V108" s="10" cm="1">
        <f t="array" aca="1" ref="V10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23</v>
      </c>
    </row>
    <row r="109" spans="1:22" x14ac:dyDescent="0.35">
      <c r="A109" s="1">
        <v>108</v>
      </c>
      <c r="B109" s="1">
        <v>8</v>
      </c>
      <c r="C109" s="1">
        <v>3</v>
      </c>
      <c r="D109" s="1">
        <v>2</v>
      </c>
      <c r="E109" s="3">
        <v>45748</v>
      </c>
      <c r="F109" s="3">
        <v>45777</v>
      </c>
      <c r="G109" s="3">
        <v>45753</v>
      </c>
      <c r="H109" s="3">
        <v>45782</v>
      </c>
      <c r="I109" s="4">
        <v>220000</v>
      </c>
      <c r="J109" s="4">
        <v>240000</v>
      </c>
      <c r="K109" s="5" cm="1">
        <f t="array" aca="1" ref="K109" ca="1">_xlfn.SWITCH(TRUE,
ISBLANK(FactProgress[[#This Row],[Planned_EndDate]]),0,
TODAY()&gt;=FactProgress[[#This Row],[Planned_EndDate]],1,
TODAY()&lt;FactProgress[[#This Row],[Planned_StartDate]],0,
E109="",0,
(TODAY()-FactProgress[[#This Row],[Planned_StartDate]])/(FactProgress[[#This Row],[Planned_EndDate]]-FactProgress[[#This Row],[Planned_StartDate]]))</f>
        <v>1</v>
      </c>
      <c r="L109" s="5">
        <v>1</v>
      </c>
      <c r="M109" s="5">
        <f>IFERROR(FactProgress[[#This Row],[Real_Cost]]/FactProgress[[#This Row],[Expected_Cost]],0)</f>
        <v>1.0909090909090908</v>
      </c>
      <c r="N109" s="1" t="str" cm="1">
        <f t="array" aca="1" ref="N10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09" s="1" t="str" cm="1">
        <f t="array" ref="O10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09" s="9" t="str" cm="1">
        <f t="array" ref="P10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09" s="10">
        <v>24</v>
      </c>
      <c r="R109" s="10">
        <v>2</v>
      </c>
      <c r="S109" s="10" cm="1">
        <f t="array" aca="1" ref="S10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109" s="10">
        <f>(FactProgress[[#This Row],[Planned_EndDate]]-FactProgress[[#This Row],[Planned_StartDate]])+1</f>
        <v>30</v>
      </c>
      <c r="U109" s="10" cm="1">
        <f t="array" aca="1" ref="U10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30</v>
      </c>
      <c r="V109" s="10" cm="1">
        <f t="array" aca="1" ref="V10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30</v>
      </c>
    </row>
    <row r="110" spans="1:22" x14ac:dyDescent="0.35">
      <c r="A110" s="1">
        <v>109</v>
      </c>
      <c r="B110" s="1">
        <v>8</v>
      </c>
      <c r="C110" s="1">
        <v>4</v>
      </c>
      <c r="D110" s="1">
        <v>3</v>
      </c>
      <c r="E110" s="3">
        <v>45778</v>
      </c>
      <c r="F110" s="3">
        <v>45823</v>
      </c>
      <c r="G110" s="3">
        <v>45782</v>
      </c>
      <c r="H110" s="3">
        <v>45826</v>
      </c>
      <c r="I110" s="4">
        <v>750000</v>
      </c>
      <c r="J110" s="4">
        <v>785000</v>
      </c>
      <c r="K110" s="5" cm="1">
        <f t="array" aca="1" ref="K110" ca="1">_xlfn.SWITCH(TRUE,
ISBLANK(FactProgress[[#This Row],[Planned_EndDate]]),0,
TODAY()&gt;=FactProgress[[#This Row],[Planned_EndDate]],1,
TODAY()&lt;FactProgress[[#This Row],[Planned_StartDate]],0,
E110="",0,
(TODAY()-FactProgress[[#This Row],[Planned_StartDate]])/(FactProgress[[#This Row],[Planned_EndDate]]-FactProgress[[#This Row],[Planned_StartDate]]))</f>
        <v>1</v>
      </c>
      <c r="L110" s="5">
        <v>1</v>
      </c>
      <c r="M110" s="5">
        <f>IFERROR(FactProgress[[#This Row],[Real_Cost]]/FactProgress[[#This Row],[Expected_Cost]],0)</f>
        <v>1.0466666666666666</v>
      </c>
      <c r="N110" s="1" t="str" cm="1">
        <f t="array" aca="1" ref="N11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0" s="1" t="str" cm="1">
        <f t="array" ref="O11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0" s="9" t="str" cm="1">
        <f t="array" ref="P11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0" s="10">
        <v>24</v>
      </c>
      <c r="R110" s="10">
        <v>2</v>
      </c>
      <c r="S110" s="10" cm="1">
        <f t="array" aca="1" ref="S11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46</v>
      </c>
      <c r="T110" s="10">
        <f>(FactProgress[[#This Row],[Planned_EndDate]]-FactProgress[[#This Row],[Planned_StartDate]])+1</f>
        <v>46</v>
      </c>
      <c r="U110" s="10" cm="1">
        <f t="array" aca="1" ref="U11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45</v>
      </c>
      <c r="V110" s="10" cm="1">
        <f t="array" aca="1" ref="V11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45</v>
      </c>
    </row>
    <row r="111" spans="1:22" x14ac:dyDescent="0.35">
      <c r="A111" s="1">
        <v>110</v>
      </c>
      <c r="B111" s="1">
        <v>8</v>
      </c>
      <c r="C111" s="1">
        <v>5</v>
      </c>
      <c r="D111" s="1">
        <v>4</v>
      </c>
      <c r="E111" s="3">
        <v>45824</v>
      </c>
      <c r="F111" s="3">
        <v>45899</v>
      </c>
      <c r="G111" s="3">
        <v>45828</v>
      </c>
      <c r="H111" s="3">
        <v>45905</v>
      </c>
      <c r="I111" s="4">
        <v>1250000</v>
      </c>
      <c r="J111" s="4">
        <v>1320000</v>
      </c>
      <c r="K111" s="5" cm="1">
        <f t="array" aca="1" ref="K111" ca="1">_xlfn.SWITCH(TRUE,
ISBLANK(FactProgress[[#This Row],[Planned_EndDate]]),0,
TODAY()&gt;=FactProgress[[#This Row],[Planned_EndDate]],1,
TODAY()&lt;FactProgress[[#This Row],[Planned_StartDate]],0,
E111="",0,
(TODAY()-FactProgress[[#This Row],[Planned_StartDate]])/(FactProgress[[#This Row],[Planned_EndDate]]-FactProgress[[#This Row],[Planned_StartDate]]))</f>
        <v>1</v>
      </c>
      <c r="L111" s="5">
        <v>1</v>
      </c>
      <c r="M111" s="5">
        <f>IFERROR(FactProgress[[#This Row],[Real_Cost]]/FactProgress[[#This Row],[Expected_Cost]],0)</f>
        <v>1.056</v>
      </c>
      <c r="N111" s="1" t="str" cm="1">
        <f t="array" aca="1" ref="N11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1" s="1" t="str" cm="1">
        <f t="array" ref="O11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1" s="9" t="str" cm="1">
        <f t="array" ref="P11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1" s="10">
        <v>24</v>
      </c>
      <c r="R111" s="10">
        <v>2</v>
      </c>
      <c r="S111" s="10" cm="1">
        <f t="array" aca="1" ref="S11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76</v>
      </c>
      <c r="T111" s="10">
        <f>(FactProgress[[#This Row],[Planned_EndDate]]-FactProgress[[#This Row],[Planned_StartDate]])+1</f>
        <v>76</v>
      </c>
      <c r="U111" s="10" cm="1">
        <f t="array" aca="1" ref="U11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78</v>
      </c>
      <c r="V111" s="10" cm="1">
        <f t="array" aca="1" ref="V11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78</v>
      </c>
    </row>
    <row r="112" spans="1:22" x14ac:dyDescent="0.35">
      <c r="A112" s="1">
        <v>111</v>
      </c>
      <c r="B112" s="1">
        <v>8</v>
      </c>
      <c r="C112" s="1">
        <v>6</v>
      </c>
      <c r="D112" s="1">
        <v>5</v>
      </c>
      <c r="E112" s="3">
        <v>45901</v>
      </c>
      <c r="F112" s="3">
        <v>45930</v>
      </c>
      <c r="G112" s="3">
        <v>45908</v>
      </c>
      <c r="H112" s="3">
        <v>45935</v>
      </c>
      <c r="I112" s="4">
        <v>650000</v>
      </c>
      <c r="J112" s="4">
        <v>680000</v>
      </c>
      <c r="K112" s="5" cm="1">
        <f t="array" aca="1" ref="K112" ca="1">_xlfn.SWITCH(TRUE,
ISBLANK(FactProgress[[#This Row],[Planned_EndDate]]),0,
TODAY()&gt;=FactProgress[[#This Row],[Planned_EndDate]],1,
TODAY()&lt;FactProgress[[#This Row],[Planned_StartDate]],0,
E112="",0,
(TODAY()-FactProgress[[#This Row],[Planned_StartDate]])/(FactProgress[[#This Row],[Planned_EndDate]]-FactProgress[[#This Row],[Planned_StartDate]]))</f>
        <v>1</v>
      </c>
      <c r="L112" s="5">
        <v>1</v>
      </c>
      <c r="M112" s="5">
        <f>IFERROR(FactProgress[[#This Row],[Real_Cost]]/FactProgress[[#This Row],[Expected_Cost]],0)</f>
        <v>1.0461538461538462</v>
      </c>
      <c r="N112" s="1" t="str" cm="1">
        <f t="array" aca="1" ref="N11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2" s="1" t="str" cm="1">
        <f t="array" ref="O11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2" s="9" t="str" cm="1">
        <f t="array" ref="P11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2" s="10">
        <v>24</v>
      </c>
      <c r="R112" s="10">
        <v>2</v>
      </c>
      <c r="S112" s="10" cm="1">
        <f t="array" aca="1" ref="S11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112" s="10">
        <f>(FactProgress[[#This Row],[Planned_EndDate]]-FactProgress[[#This Row],[Planned_StartDate]])+1</f>
        <v>30</v>
      </c>
      <c r="U112" s="10" cm="1">
        <f t="array" aca="1" ref="U11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28</v>
      </c>
      <c r="V112" s="10" cm="1">
        <f t="array" aca="1" ref="V11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28</v>
      </c>
    </row>
    <row r="113" spans="1:22" x14ac:dyDescent="0.35">
      <c r="A113" s="1">
        <v>112</v>
      </c>
      <c r="B113" s="1">
        <v>8</v>
      </c>
      <c r="C113" s="1">
        <v>7</v>
      </c>
      <c r="D113" s="1">
        <v>4</v>
      </c>
      <c r="E113" s="3">
        <v>45901</v>
      </c>
      <c r="F113" s="3">
        <v>45945</v>
      </c>
      <c r="G113" s="3">
        <v>45910</v>
      </c>
      <c r="H113" s="3">
        <v>45950</v>
      </c>
      <c r="I113" s="4">
        <v>380000</v>
      </c>
      <c r="J113" s="4">
        <v>410000</v>
      </c>
      <c r="K113" s="5" cm="1">
        <f t="array" aca="1" ref="K113" ca="1">_xlfn.SWITCH(TRUE,
ISBLANK(FactProgress[[#This Row],[Planned_EndDate]]),0,
TODAY()&gt;=FactProgress[[#This Row],[Planned_EndDate]],1,
TODAY()&lt;FactProgress[[#This Row],[Planned_StartDate]],0,
E113="",0,
(TODAY()-FactProgress[[#This Row],[Planned_StartDate]])/(FactProgress[[#This Row],[Planned_EndDate]]-FactProgress[[#This Row],[Planned_StartDate]]))</f>
        <v>1</v>
      </c>
      <c r="L113" s="5">
        <v>1</v>
      </c>
      <c r="M113" s="5">
        <f>IFERROR(FactProgress[[#This Row],[Real_Cost]]/FactProgress[[#This Row],[Expected_Cost]],0)</f>
        <v>1.0789473684210527</v>
      </c>
      <c r="N113" s="1" t="str" cm="1">
        <f t="array" aca="1" ref="N11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3" s="1" t="str" cm="1">
        <f t="array" ref="O11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3" s="9" t="str" cm="1">
        <f t="array" ref="P11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3" s="10">
        <v>13</v>
      </c>
      <c r="R113" s="10">
        <v>2</v>
      </c>
      <c r="S113" s="10" cm="1">
        <f t="array" aca="1" ref="S11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45</v>
      </c>
      <c r="T113" s="10">
        <f>(FactProgress[[#This Row],[Planned_EndDate]]-FactProgress[[#This Row],[Planned_StartDate]])+1</f>
        <v>45</v>
      </c>
      <c r="U113" s="10" cm="1">
        <f t="array" aca="1" ref="U11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41</v>
      </c>
      <c r="V113" s="10" cm="1">
        <f t="array" aca="1" ref="V11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41</v>
      </c>
    </row>
    <row r="114" spans="1:22" x14ac:dyDescent="0.35">
      <c r="A114" s="1">
        <v>113</v>
      </c>
      <c r="B114" s="1">
        <v>8</v>
      </c>
      <c r="C114" s="1">
        <v>8</v>
      </c>
      <c r="D114" s="1">
        <v>6</v>
      </c>
      <c r="E114" s="3">
        <v>45931</v>
      </c>
      <c r="F114" s="3">
        <v>45960</v>
      </c>
      <c r="G114" s="3">
        <v>45936</v>
      </c>
      <c r="H114" s="3">
        <v>45963</v>
      </c>
      <c r="I114" s="4">
        <v>190000</v>
      </c>
      <c r="J114" s="4">
        <v>205000</v>
      </c>
      <c r="K114" s="5" cm="1">
        <f t="array" aca="1" ref="K114" ca="1">_xlfn.SWITCH(TRUE,
ISBLANK(FactProgress[[#This Row],[Planned_EndDate]]),0,
TODAY()&gt;=FactProgress[[#This Row],[Planned_EndDate]],1,
TODAY()&lt;FactProgress[[#This Row],[Planned_StartDate]],0,
E114="",0,
(TODAY()-FactProgress[[#This Row],[Planned_StartDate]])/(FactProgress[[#This Row],[Planned_EndDate]]-FactProgress[[#This Row],[Planned_StartDate]]))</f>
        <v>1</v>
      </c>
      <c r="L114" s="5">
        <v>1</v>
      </c>
      <c r="M114" s="5">
        <f>IFERROR(FactProgress[[#This Row],[Real_Cost]]/FactProgress[[#This Row],[Expected_Cost]],0)</f>
        <v>1.0789473684210527</v>
      </c>
      <c r="N114" s="1" t="str" cm="1">
        <f t="array" aca="1" ref="N11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4" s="1" t="str" cm="1">
        <f t="array" ref="O11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4" s="9" t="str" cm="1">
        <f t="array" ref="P11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4" s="10">
        <v>13</v>
      </c>
      <c r="R114" s="10">
        <v>2</v>
      </c>
      <c r="S114" s="10" cm="1">
        <f t="array" aca="1" ref="S11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30</v>
      </c>
      <c r="T114" s="10">
        <f>(FactProgress[[#This Row],[Planned_EndDate]]-FactProgress[[#This Row],[Planned_StartDate]])+1</f>
        <v>30</v>
      </c>
      <c r="U114" s="10" cm="1">
        <f t="array" aca="1" ref="U11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28</v>
      </c>
      <c r="V114" s="10" cm="1">
        <f t="array" aca="1" ref="V11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28</v>
      </c>
    </row>
    <row r="115" spans="1:22" x14ac:dyDescent="0.35">
      <c r="A115" s="1">
        <v>114</v>
      </c>
      <c r="B115" s="1">
        <v>8</v>
      </c>
      <c r="C115" s="1">
        <v>9</v>
      </c>
      <c r="D115" s="1">
        <v>7</v>
      </c>
      <c r="E115" s="3">
        <v>45946</v>
      </c>
      <c r="F115" s="3">
        <v>45960</v>
      </c>
      <c r="G115" s="3">
        <v>45951</v>
      </c>
      <c r="H115" s="3">
        <v>45966</v>
      </c>
      <c r="I115" s="4">
        <v>110000</v>
      </c>
      <c r="J115" s="4">
        <v>118000</v>
      </c>
      <c r="K115" s="5" cm="1">
        <f t="array" aca="1" ref="K115" ca="1">_xlfn.SWITCH(TRUE,
ISBLANK(FactProgress[[#This Row],[Planned_EndDate]]),0,
TODAY()&gt;=FactProgress[[#This Row],[Planned_EndDate]],1,
TODAY()&lt;FactProgress[[#This Row],[Planned_StartDate]],0,
E115="",0,
(TODAY()-FactProgress[[#This Row],[Planned_StartDate]])/(FactProgress[[#This Row],[Planned_EndDate]]-FactProgress[[#This Row],[Planned_StartDate]]))</f>
        <v>1</v>
      </c>
      <c r="L115" s="5">
        <v>1</v>
      </c>
      <c r="M115" s="5">
        <f>IFERROR(FactProgress[[#This Row],[Real_Cost]]/FactProgress[[#This Row],[Expected_Cost]],0)</f>
        <v>1.0727272727272728</v>
      </c>
      <c r="N115" s="1" t="str" cm="1">
        <f t="array" aca="1" ref="N11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5" s="1" t="str" cm="1">
        <f t="array" ref="O11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15" s="9" t="str" cm="1">
        <f t="array" ref="P11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5" s="10">
        <v>13</v>
      </c>
      <c r="R115" s="10">
        <v>2</v>
      </c>
      <c r="S115" s="10" cm="1">
        <f t="array" aca="1" ref="S11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15" s="10">
        <f>(FactProgress[[#This Row],[Planned_EndDate]]-FactProgress[[#This Row],[Planned_StartDate]])+1</f>
        <v>15</v>
      </c>
      <c r="U115" s="10" cm="1">
        <f t="array" aca="1" ref="U11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16</v>
      </c>
      <c r="V115" s="10" cm="1">
        <f t="array" aca="1" ref="V11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16</v>
      </c>
    </row>
    <row r="116" spans="1:22" x14ac:dyDescent="0.35">
      <c r="A116" s="1">
        <v>115</v>
      </c>
      <c r="B116" s="1">
        <v>8</v>
      </c>
      <c r="C116" s="1">
        <v>10</v>
      </c>
      <c r="D116" s="1">
        <v>5</v>
      </c>
      <c r="E116" s="3">
        <v>45962</v>
      </c>
      <c r="F116" s="3">
        <v>46022</v>
      </c>
      <c r="G116" s="3">
        <v>45967</v>
      </c>
      <c r="H116" s="3">
        <v>46032</v>
      </c>
      <c r="I116" s="4">
        <v>550000</v>
      </c>
      <c r="J116" s="4">
        <v>610000</v>
      </c>
      <c r="K116" s="5" cm="1">
        <f t="array" aca="1" ref="K116" ca="1">_xlfn.SWITCH(TRUE,
ISBLANK(FactProgress[[#This Row],[Planned_EndDate]]),0,
TODAY()&gt;=FactProgress[[#This Row],[Planned_EndDate]],1,
TODAY()&lt;FactProgress[[#This Row],[Planned_StartDate]],0,
E116="",0,
(TODAY()-FactProgress[[#This Row],[Planned_StartDate]])/(FactProgress[[#This Row],[Planned_EndDate]]-FactProgress[[#This Row],[Planned_StartDate]]))</f>
        <v>1</v>
      </c>
      <c r="L116" s="5">
        <v>1</v>
      </c>
      <c r="M116" s="5">
        <f>IFERROR(FactProgress[[#This Row],[Real_Cost]]/FactProgress[[#This Row],[Expected_Cost]],0)</f>
        <v>1.1090909090909091</v>
      </c>
      <c r="N116" s="1" t="str" cm="1">
        <f t="array" aca="1" ref="N11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16" s="1" t="str" cm="1">
        <f t="array" ref="O11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16" s="9" t="str" cm="1">
        <f t="array" ref="P11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16" s="10">
        <v>8</v>
      </c>
      <c r="R116" s="10">
        <v>2</v>
      </c>
      <c r="S116" s="10" cm="1">
        <f t="array" aca="1" ref="S11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61</v>
      </c>
      <c r="T116" s="10">
        <f>(FactProgress[[#This Row],[Planned_EndDate]]-FactProgress[[#This Row],[Planned_StartDate]])+1</f>
        <v>61</v>
      </c>
      <c r="U116" s="10" cm="1">
        <f t="array" aca="1" ref="U11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66</v>
      </c>
      <c r="V116" s="10" cm="1">
        <f t="array" aca="1" ref="V11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66</v>
      </c>
    </row>
    <row r="117" spans="1:22" x14ac:dyDescent="0.35">
      <c r="A117" s="1">
        <v>116</v>
      </c>
      <c r="B117" s="1">
        <v>8</v>
      </c>
      <c r="C117" s="1">
        <v>11</v>
      </c>
      <c r="D117" s="1">
        <v>10</v>
      </c>
      <c r="E117" s="3">
        <v>46023</v>
      </c>
      <c r="F117" s="3">
        <v>46068</v>
      </c>
      <c r="G117" s="3">
        <v>46034</v>
      </c>
      <c r="H117" s="3"/>
      <c r="I117" s="4">
        <v>350000</v>
      </c>
      <c r="J117" s="4">
        <v>185000</v>
      </c>
      <c r="K117" s="5" cm="1">
        <f t="array" aca="1" ref="K117" ca="1">_xlfn.SWITCH(TRUE,
ISBLANK(FactProgress[[#This Row],[Planned_EndDate]]),0,
TODAY()&gt;=FactProgress[[#This Row],[Planned_EndDate]],1,
TODAY()&lt;FactProgress[[#This Row],[Planned_StartDate]],0,
E117="",0,
(TODAY()-FactProgress[[#This Row],[Planned_StartDate]])/(FactProgress[[#This Row],[Planned_EndDate]]-FactProgress[[#This Row],[Planned_StartDate]]))</f>
        <v>1</v>
      </c>
      <c r="L117" s="5">
        <v>0.27</v>
      </c>
      <c r="M117" s="5">
        <f>IFERROR(FactProgress[[#This Row],[Real_Cost]]/FactProgress[[#This Row],[Expected_Cost]],0)</f>
        <v>0.52857142857142858</v>
      </c>
      <c r="N117" s="1" t="str" cm="1">
        <f t="array" aca="1" ref="N11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17" s="1" t="str" cm="1">
        <f t="array" ref="O11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17" s="9" t="str" cm="1">
        <f t="array" ref="P11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17" s="10">
        <v>8</v>
      </c>
      <c r="R117" s="10">
        <v>2</v>
      </c>
      <c r="S117" s="10" cm="1">
        <f t="array" aca="1" ref="S11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46</v>
      </c>
      <c r="T117" s="10">
        <f>(FactProgress[[#This Row],[Planned_EndDate]]-FactProgress[[#This Row],[Planned_StartDate]])+1</f>
        <v>46</v>
      </c>
      <c r="U117" s="10" cm="1">
        <f t="array" aca="1" ref="U11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66</v>
      </c>
      <c r="V117" s="10" cm="1">
        <f t="array" aca="1" ref="V11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244</v>
      </c>
    </row>
    <row r="118" spans="1:22" x14ac:dyDescent="0.35">
      <c r="A118" s="1">
        <v>117</v>
      </c>
      <c r="B118" s="1">
        <v>8</v>
      </c>
      <c r="C118" s="1">
        <v>12</v>
      </c>
      <c r="D118" s="1">
        <v>10</v>
      </c>
      <c r="E118" s="3">
        <v>46023</v>
      </c>
      <c r="F118" s="3">
        <v>46081</v>
      </c>
      <c r="G118" s="3">
        <v>46037</v>
      </c>
      <c r="H118" s="3"/>
      <c r="I118" s="4">
        <v>240000</v>
      </c>
      <c r="J118" s="4">
        <v>120000</v>
      </c>
      <c r="K118" s="5" cm="1">
        <f t="array" aca="1" ref="K118" ca="1">_xlfn.SWITCH(TRUE,
ISBLANK(FactProgress[[#This Row],[Planned_EndDate]]),0,
TODAY()&gt;=FactProgress[[#This Row],[Planned_EndDate]],1,
TODAY()&lt;FactProgress[[#This Row],[Planned_StartDate]],0,
E118="",0,
(TODAY()-FactProgress[[#This Row],[Planned_StartDate]])/(FactProgress[[#This Row],[Planned_EndDate]]-FactProgress[[#This Row],[Planned_StartDate]]))</f>
        <v>1</v>
      </c>
      <c r="L118" s="5">
        <v>0.52</v>
      </c>
      <c r="M118" s="5">
        <f>IFERROR(FactProgress[[#This Row],[Real_Cost]]/FactProgress[[#This Row],[Expected_Cost]],0)</f>
        <v>0.5</v>
      </c>
      <c r="N118" s="1" t="str" cm="1">
        <f t="array" aca="1" ref="N11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18" s="1" t="str" cm="1">
        <f t="array" ref="O11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18" s="9" t="str" cm="1">
        <f t="array" ref="P11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118" s="10">
        <v>8</v>
      </c>
      <c r="R118" s="10">
        <v>2</v>
      </c>
      <c r="S118" s="10" cm="1">
        <f t="array" aca="1" ref="S11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59</v>
      </c>
      <c r="T118" s="10">
        <f>(FactProgress[[#This Row],[Planned_EndDate]]-FactProgress[[#This Row],[Planned_StartDate]])+1</f>
        <v>59</v>
      </c>
      <c r="U118" s="10" cm="1">
        <f t="array" aca="1" ref="U11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63</v>
      </c>
      <c r="V118" s="10" cm="1">
        <f t="array" aca="1" ref="V11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121</v>
      </c>
    </row>
    <row r="119" spans="1:22" x14ac:dyDescent="0.35">
      <c r="A119" s="1">
        <v>118</v>
      </c>
      <c r="B119" s="1">
        <v>8</v>
      </c>
      <c r="C119" s="1">
        <v>13</v>
      </c>
      <c r="D119" s="1">
        <v>11</v>
      </c>
      <c r="E119" s="3">
        <v>46082</v>
      </c>
      <c r="F119" s="3">
        <v>46111</v>
      </c>
      <c r="G119" s="3"/>
      <c r="H119" s="3"/>
      <c r="I119" s="4">
        <v>210000</v>
      </c>
      <c r="J119" s="4">
        <v>0</v>
      </c>
      <c r="K119" s="5" cm="1">
        <f t="array" aca="1" ref="K119" ca="1">_xlfn.SWITCH(TRUE,
ISBLANK(FactProgress[[#This Row],[Planned_EndDate]]),0,
TODAY()&gt;=FactProgress[[#This Row],[Planned_EndDate]],1,
TODAY()&lt;FactProgress[[#This Row],[Planned_StartDate]],0,
E119="",0,
(TODAY()-FactProgress[[#This Row],[Planned_StartDate]])/(FactProgress[[#This Row],[Planned_EndDate]]-FactProgress[[#This Row],[Planned_StartDate]]))</f>
        <v>0.62068965517241381</v>
      </c>
      <c r="L119" s="5"/>
      <c r="M119" s="5">
        <f>IFERROR(FactProgress[[#This Row],[Real_Cost]]/FactProgress[[#This Row],[Expected_Cost]],0)</f>
        <v>0</v>
      </c>
      <c r="N119" s="1" t="str" cm="1">
        <f t="array" aca="1" ref="N11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119" s="1" t="str" cm="1">
        <f t="array" ref="O11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19" s="9" t="str" cm="1">
        <f t="array" ref="P11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19" s="10">
        <v>8</v>
      </c>
      <c r="R119" s="10">
        <v>2</v>
      </c>
      <c r="S119" s="10" cm="1">
        <f t="array" aca="1" ref="S11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18</v>
      </c>
      <c r="T119" s="10">
        <f>(FactProgress[[#This Row],[Planned_EndDate]]-FactProgress[[#This Row],[Planned_StartDate]])+1</f>
        <v>30</v>
      </c>
      <c r="U119" s="10" cm="1">
        <f t="array" aca="1" ref="U11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19" s="10" cm="1">
        <f t="array" aca="1" ref="V11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20" spans="1:22" x14ac:dyDescent="0.35">
      <c r="A120" s="1">
        <v>119</v>
      </c>
      <c r="B120" s="1">
        <v>8</v>
      </c>
      <c r="C120" s="1">
        <v>14</v>
      </c>
      <c r="D120" s="1">
        <v>13</v>
      </c>
      <c r="E120" s="3">
        <v>46113</v>
      </c>
      <c r="F120" s="3">
        <v>46127</v>
      </c>
      <c r="G120" s="3"/>
      <c r="H120" s="3"/>
      <c r="I120" s="4">
        <v>45000</v>
      </c>
      <c r="J120" s="4">
        <v>0</v>
      </c>
      <c r="K120" s="5" cm="1">
        <f t="array" aca="1" ref="K120" ca="1">_xlfn.SWITCH(TRUE,
ISBLANK(FactProgress[[#This Row],[Planned_EndDate]]),0,
TODAY()&gt;=FactProgress[[#This Row],[Planned_EndDate]],1,
TODAY()&lt;FactProgress[[#This Row],[Planned_StartDate]],0,
E120="",0,
(TODAY()-FactProgress[[#This Row],[Planned_StartDate]])/(FactProgress[[#This Row],[Planned_EndDate]]-FactProgress[[#This Row],[Planned_StartDate]]))</f>
        <v>0</v>
      </c>
      <c r="L120" s="5">
        <v>0</v>
      </c>
      <c r="M120" s="5">
        <f>IFERROR(FactProgress[[#This Row],[Real_Cost]]/FactProgress[[#This Row],[Expected_Cost]],0)</f>
        <v>0</v>
      </c>
      <c r="N120" s="1" t="str" cm="1">
        <f t="array" aca="1" ref="N12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20" s="1" t="str" cm="1">
        <f t="array" ref="O12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20" s="9" t="str" cm="1">
        <f t="array" ref="P12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20" s="10">
        <v>3</v>
      </c>
      <c r="R120" s="10">
        <v>2</v>
      </c>
      <c r="S120" s="10" cm="1">
        <f t="array" aca="1" ref="S12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20" s="10">
        <f>(FactProgress[[#This Row],[Planned_EndDate]]-FactProgress[[#This Row],[Planned_StartDate]])+1</f>
        <v>15</v>
      </c>
      <c r="U120" s="10" cm="1">
        <f t="array" aca="1" ref="U12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20" s="10" cm="1">
        <f t="array" aca="1" ref="V12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21" spans="1:22" x14ac:dyDescent="0.35">
      <c r="A121" s="1">
        <v>120</v>
      </c>
      <c r="B121" s="1">
        <v>8</v>
      </c>
      <c r="C121" s="1">
        <v>15</v>
      </c>
      <c r="D121" s="1">
        <v>14</v>
      </c>
      <c r="E121" s="3">
        <v>46128</v>
      </c>
      <c r="F121" s="3">
        <v>46142</v>
      </c>
      <c r="G121" s="3"/>
      <c r="H121" s="3"/>
      <c r="I121" s="4">
        <v>20000</v>
      </c>
      <c r="J121" s="4">
        <v>0</v>
      </c>
      <c r="K121" s="5" cm="1">
        <f t="array" aca="1" ref="K121" ca="1">_xlfn.SWITCH(TRUE,
ISBLANK(FactProgress[[#This Row],[Planned_EndDate]]),0,
TODAY()&gt;=FactProgress[[#This Row],[Planned_EndDate]],1,
TODAY()&lt;FactProgress[[#This Row],[Planned_StartDate]],0,
E121="",0,
(TODAY()-FactProgress[[#This Row],[Planned_StartDate]])/(FactProgress[[#This Row],[Planned_EndDate]]-FactProgress[[#This Row],[Planned_StartDate]]))</f>
        <v>0</v>
      </c>
      <c r="L121" s="5">
        <v>0</v>
      </c>
      <c r="M121" s="5">
        <f>IFERROR(FactProgress[[#This Row],[Real_Cost]]/FactProgress[[#This Row],[Expected_Cost]],0)</f>
        <v>0</v>
      </c>
      <c r="N121" s="1" t="str" cm="1">
        <f t="array" aca="1" ref="N12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21" s="1" t="str" cm="1">
        <f t="array" ref="O12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21" s="9" t="str" cm="1">
        <f t="array" ref="P12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21" s="10">
        <v>3</v>
      </c>
      <c r="R121" s="10">
        <v>2</v>
      </c>
      <c r="S121" s="10" cm="1">
        <f t="array" aca="1" ref="S12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21" s="10">
        <f>(FactProgress[[#This Row],[Planned_EndDate]]-FactProgress[[#This Row],[Planned_StartDate]])+1</f>
        <v>15</v>
      </c>
      <c r="U121" s="10" cm="1">
        <f t="array" aca="1" ref="U12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21" s="10" cm="1">
        <f t="array" aca="1" ref="V12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22" spans="1:22" x14ac:dyDescent="0.35">
      <c r="A122" s="1">
        <v>121</v>
      </c>
      <c r="B122" s="1">
        <v>9</v>
      </c>
      <c r="C122" s="1">
        <v>1</v>
      </c>
      <c r="D122" s="1"/>
      <c r="E122" s="3">
        <v>45870</v>
      </c>
      <c r="F122" s="3">
        <v>45884</v>
      </c>
      <c r="G122" s="3">
        <v>45870</v>
      </c>
      <c r="H122" s="3">
        <v>45883</v>
      </c>
      <c r="I122" s="4">
        <v>90000</v>
      </c>
      <c r="J122" s="4">
        <v>88000</v>
      </c>
      <c r="K122" s="5" cm="1">
        <f t="array" aca="1" ref="K122" ca="1">_xlfn.SWITCH(TRUE,
ISBLANK(FactProgress[[#This Row],[Planned_EndDate]]),0,
TODAY()&gt;=FactProgress[[#This Row],[Planned_EndDate]],1,
TODAY()&lt;FactProgress[[#This Row],[Planned_StartDate]],0,
E122="",0,
(TODAY()-FactProgress[[#This Row],[Planned_StartDate]])/(FactProgress[[#This Row],[Planned_EndDate]]-FactProgress[[#This Row],[Planned_StartDate]]))</f>
        <v>1</v>
      </c>
      <c r="L122" s="5">
        <v>1</v>
      </c>
      <c r="M122" s="5">
        <f>IFERROR(FactProgress[[#This Row],[Real_Cost]]/FactProgress[[#This Row],[Expected_Cost]],0)</f>
        <v>0.97777777777777775</v>
      </c>
      <c r="N122" s="1" t="str" cm="1">
        <f t="array" aca="1" ref="N12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2" s="1" t="str" cm="1">
        <f t="array" ref="O12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En presupuesto</v>
      </c>
      <c r="P122" s="9" t="str" cm="1">
        <f t="array" ref="P12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Bueno</v>
      </c>
      <c r="Q122" s="10">
        <v>7</v>
      </c>
      <c r="R122" s="10">
        <v>5</v>
      </c>
      <c r="S122" s="10" cm="1">
        <f t="array" aca="1" ref="S12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22" s="10">
        <f>(FactProgress[[#This Row],[Planned_EndDate]]-FactProgress[[#This Row],[Planned_StartDate]])+1</f>
        <v>15</v>
      </c>
      <c r="U122" s="10" cm="1">
        <f t="array" aca="1" ref="U12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122" s="10" cm="1">
        <f t="array" aca="1" ref="V12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14</v>
      </c>
    </row>
    <row r="123" spans="1:22" x14ac:dyDescent="0.35">
      <c r="A123" s="1">
        <v>122</v>
      </c>
      <c r="B123" s="1">
        <v>9</v>
      </c>
      <c r="C123" s="1">
        <v>2</v>
      </c>
      <c r="D123" s="1">
        <v>1</v>
      </c>
      <c r="E123" s="3">
        <v>45885</v>
      </c>
      <c r="F123" s="3">
        <v>45894</v>
      </c>
      <c r="G123" s="3">
        <v>45884</v>
      </c>
      <c r="H123" s="3">
        <v>45897</v>
      </c>
      <c r="I123" s="4">
        <v>32000</v>
      </c>
      <c r="J123" s="4">
        <v>36000</v>
      </c>
      <c r="K123" s="5" cm="1">
        <f t="array" aca="1" ref="K123" ca="1">_xlfn.SWITCH(TRUE,
ISBLANK(FactProgress[[#This Row],[Planned_EndDate]]),0,
TODAY()&gt;=FactProgress[[#This Row],[Planned_EndDate]],1,
TODAY()&lt;FactProgress[[#This Row],[Planned_StartDate]],0,
E123="",0,
(TODAY()-FactProgress[[#This Row],[Planned_StartDate]])/(FactProgress[[#This Row],[Planned_EndDate]]-FactProgress[[#This Row],[Planned_StartDate]]))</f>
        <v>1</v>
      </c>
      <c r="L123" s="5">
        <v>1</v>
      </c>
      <c r="M123" s="5">
        <f>IFERROR(FactProgress[[#This Row],[Real_Cost]]/FactProgress[[#This Row],[Expected_Cost]],0)</f>
        <v>1.125</v>
      </c>
      <c r="N123" s="1" t="str" cm="1">
        <f t="array" aca="1" ref="N12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3" s="1" t="str" cm="1">
        <f t="array" ref="O12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23" s="9" t="str" cm="1">
        <f t="array" ref="P12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23" s="10">
        <v>7</v>
      </c>
      <c r="R123" s="10">
        <v>5</v>
      </c>
      <c r="S123" s="10" cm="1">
        <f t="array" aca="1" ref="S12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10</v>
      </c>
      <c r="T123" s="10">
        <f>(FactProgress[[#This Row],[Planned_EndDate]]-FactProgress[[#This Row],[Planned_StartDate]])+1</f>
        <v>10</v>
      </c>
      <c r="U123" s="10" cm="1">
        <f t="array" aca="1" ref="U12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123" s="10" cm="1">
        <f t="array" aca="1" ref="V12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14</v>
      </c>
    </row>
    <row r="124" spans="1:22" x14ac:dyDescent="0.35">
      <c r="A124" s="1">
        <v>123</v>
      </c>
      <c r="B124" s="1">
        <v>9</v>
      </c>
      <c r="C124" s="1">
        <v>3</v>
      </c>
      <c r="D124" s="1">
        <v>2</v>
      </c>
      <c r="E124" s="3">
        <v>45895</v>
      </c>
      <c r="F124" s="3">
        <v>45920</v>
      </c>
      <c r="G124" s="3">
        <v>45897</v>
      </c>
      <c r="H124" s="3">
        <v>45925</v>
      </c>
      <c r="I124" s="4">
        <v>180000</v>
      </c>
      <c r="J124" s="4">
        <v>195000</v>
      </c>
      <c r="K124" s="5" cm="1">
        <f t="array" aca="1" ref="K124" ca="1">_xlfn.SWITCH(TRUE,
ISBLANK(FactProgress[[#This Row],[Planned_EndDate]]),0,
TODAY()&gt;=FactProgress[[#This Row],[Planned_EndDate]],1,
TODAY()&lt;FactProgress[[#This Row],[Planned_StartDate]],0,
E124="",0,
(TODAY()-FactProgress[[#This Row],[Planned_StartDate]])/(FactProgress[[#This Row],[Planned_EndDate]]-FactProgress[[#This Row],[Planned_StartDate]]))</f>
        <v>1</v>
      </c>
      <c r="L124" s="5">
        <v>1</v>
      </c>
      <c r="M124" s="5">
        <f>IFERROR(FactProgress[[#This Row],[Real_Cost]]/FactProgress[[#This Row],[Expected_Cost]],0)</f>
        <v>1.0833333333333333</v>
      </c>
      <c r="N124" s="1" t="str" cm="1">
        <f t="array" aca="1" ref="N12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4" s="1" t="str" cm="1">
        <f t="array" ref="O12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24" s="9" t="str" cm="1">
        <f t="array" ref="P12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24" s="10">
        <v>29</v>
      </c>
      <c r="R124" s="10">
        <v>5</v>
      </c>
      <c r="S124" s="10" cm="1">
        <f t="array" aca="1" ref="S12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26</v>
      </c>
      <c r="T124" s="10">
        <f>(FactProgress[[#This Row],[Planned_EndDate]]-FactProgress[[#This Row],[Planned_StartDate]])+1</f>
        <v>26</v>
      </c>
      <c r="U124" s="10" cm="1">
        <f t="array" aca="1" ref="U12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29</v>
      </c>
      <c r="V124" s="10" cm="1">
        <f t="array" aca="1" ref="V12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29</v>
      </c>
    </row>
    <row r="125" spans="1:22" x14ac:dyDescent="0.35">
      <c r="A125" s="1">
        <v>124</v>
      </c>
      <c r="B125" s="1">
        <v>9</v>
      </c>
      <c r="C125" s="1">
        <v>4</v>
      </c>
      <c r="D125" s="1">
        <v>3</v>
      </c>
      <c r="E125" s="3">
        <v>45921</v>
      </c>
      <c r="F125" s="3">
        <v>45960</v>
      </c>
      <c r="G125" s="3">
        <v>45926</v>
      </c>
      <c r="H125" s="3">
        <v>45966</v>
      </c>
      <c r="I125" s="4">
        <v>1100000</v>
      </c>
      <c r="J125" s="4">
        <v>1210000</v>
      </c>
      <c r="K125" s="5" cm="1">
        <f t="array" aca="1" ref="K125" ca="1">_xlfn.SWITCH(TRUE,
ISBLANK(FactProgress[[#This Row],[Planned_EndDate]]),0,
TODAY()&gt;=FactProgress[[#This Row],[Planned_EndDate]],1,
TODAY()&lt;FactProgress[[#This Row],[Planned_StartDate]],0,
E125="",0,
(TODAY()-FactProgress[[#This Row],[Planned_StartDate]])/(FactProgress[[#This Row],[Planned_EndDate]]-FactProgress[[#This Row],[Planned_StartDate]]))</f>
        <v>1</v>
      </c>
      <c r="L125" s="5">
        <v>1</v>
      </c>
      <c r="M125" s="5">
        <f>IFERROR(FactProgress[[#This Row],[Real_Cost]]/FactProgress[[#This Row],[Expected_Cost]],0)</f>
        <v>1.1000000000000001</v>
      </c>
      <c r="N125" s="1" t="str" cm="1">
        <f t="array" aca="1" ref="N12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5" s="1" t="str" cm="1">
        <f t="array" ref="O12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25" s="9" t="str" cm="1">
        <f t="array" ref="P12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25" s="10">
        <v>29</v>
      </c>
      <c r="R125" s="10">
        <v>5</v>
      </c>
      <c r="S125" s="10" cm="1">
        <f t="array" aca="1" ref="S12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40</v>
      </c>
      <c r="T125" s="10">
        <f>(FactProgress[[#This Row],[Planned_EndDate]]-FactProgress[[#This Row],[Planned_StartDate]])+1</f>
        <v>40</v>
      </c>
      <c r="U125" s="10" cm="1">
        <f t="array" aca="1" ref="U12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41</v>
      </c>
      <c r="V125" s="10" cm="1">
        <f t="array" aca="1" ref="V12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41</v>
      </c>
    </row>
    <row r="126" spans="1:22" x14ac:dyDescent="0.35">
      <c r="A126" s="1">
        <v>125</v>
      </c>
      <c r="B126" s="1">
        <v>9</v>
      </c>
      <c r="C126" s="1">
        <v>5</v>
      </c>
      <c r="D126" s="1">
        <v>4</v>
      </c>
      <c r="E126" s="3">
        <v>45962</v>
      </c>
      <c r="F126" s="3">
        <v>46037</v>
      </c>
      <c r="G126" s="3">
        <v>45967</v>
      </c>
      <c r="H126" s="3">
        <v>46047</v>
      </c>
      <c r="I126" s="4">
        <v>2200000</v>
      </c>
      <c r="J126" s="4">
        <v>2450000</v>
      </c>
      <c r="K126" s="5" cm="1">
        <f t="array" aca="1" ref="K126" ca="1">_xlfn.SWITCH(TRUE,
ISBLANK(FactProgress[[#This Row],[Planned_EndDate]]),0,
TODAY()&gt;=FactProgress[[#This Row],[Planned_EndDate]],1,
TODAY()&lt;FactProgress[[#This Row],[Planned_StartDate]],0,
E126="",0,
(TODAY()-FactProgress[[#This Row],[Planned_StartDate]])/(FactProgress[[#This Row],[Planned_EndDate]]-FactProgress[[#This Row],[Planned_StartDate]]))</f>
        <v>1</v>
      </c>
      <c r="L126" s="5">
        <v>1</v>
      </c>
      <c r="M126" s="5">
        <f>IFERROR(FactProgress[[#This Row],[Real_Cost]]/FactProgress[[#This Row],[Expected_Cost]],0)</f>
        <v>1.1136363636363635</v>
      </c>
      <c r="N126" s="1" t="str" cm="1">
        <f t="array" aca="1" ref="N12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6" s="1" t="str" cm="1">
        <f t="array" ref="O12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crítico</v>
      </c>
      <c r="P126" s="9" t="str" cm="1">
        <f t="array" ref="P12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26" s="10">
        <v>29</v>
      </c>
      <c r="R126" s="10">
        <v>5</v>
      </c>
      <c r="S126" s="10" cm="1">
        <f t="array" aca="1" ref="S12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76</v>
      </c>
      <c r="T126" s="10">
        <f>(FactProgress[[#This Row],[Planned_EndDate]]-FactProgress[[#This Row],[Planned_StartDate]])+1</f>
        <v>76</v>
      </c>
      <c r="U126" s="10" cm="1">
        <f t="array" aca="1" ref="U12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81</v>
      </c>
      <c r="V126" s="10" cm="1">
        <f t="array" aca="1" ref="V12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81</v>
      </c>
    </row>
    <row r="127" spans="1:22" x14ac:dyDescent="0.35">
      <c r="A127" s="1">
        <v>126</v>
      </c>
      <c r="B127" s="1">
        <v>9</v>
      </c>
      <c r="C127" s="1">
        <v>6</v>
      </c>
      <c r="D127" s="1">
        <v>5</v>
      </c>
      <c r="E127" s="3">
        <v>46038</v>
      </c>
      <c r="F127" s="3">
        <v>46068</v>
      </c>
      <c r="G127" s="3">
        <v>46048</v>
      </c>
      <c r="H127" s="3">
        <v>46073</v>
      </c>
      <c r="I127" s="4">
        <v>950000</v>
      </c>
      <c r="J127" s="4">
        <v>1020000</v>
      </c>
      <c r="K127" s="5" cm="1">
        <f t="array" aca="1" ref="K127" ca="1">_xlfn.SWITCH(TRUE,
ISBLANK(FactProgress[[#This Row],[Planned_EndDate]]),0,
TODAY()&gt;=FactProgress[[#This Row],[Planned_EndDate]],1,
TODAY()&lt;FactProgress[[#This Row],[Planned_StartDate]],0,
E127="",0,
(TODAY()-FactProgress[[#This Row],[Planned_StartDate]])/(FactProgress[[#This Row],[Planned_EndDate]]-FactProgress[[#This Row],[Planned_StartDate]]))</f>
        <v>1</v>
      </c>
      <c r="L127" s="5">
        <v>1</v>
      </c>
      <c r="M127" s="5">
        <f>IFERROR(FactProgress[[#This Row],[Real_Cost]]/FactProgress[[#This Row],[Expected_Cost]],0)</f>
        <v>1.0736842105263158</v>
      </c>
      <c r="N127" s="1" t="str" cm="1">
        <f t="array" aca="1" ref="N12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7" s="1" t="str" cm="1">
        <f t="array" ref="O12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27" s="9" t="str" cm="1">
        <f t="array" ref="P12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27" s="10">
        <v>29</v>
      </c>
      <c r="R127" s="10">
        <v>5</v>
      </c>
      <c r="S127" s="10" cm="1">
        <f t="array" aca="1" ref="S12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31</v>
      </c>
      <c r="T127" s="10">
        <f>(FactProgress[[#This Row],[Planned_EndDate]]-FactProgress[[#This Row],[Planned_StartDate]])+1</f>
        <v>31</v>
      </c>
      <c r="U127" s="10" cm="1">
        <f t="array" aca="1" ref="U12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26</v>
      </c>
      <c r="V127" s="10" cm="1">
        <f t="array" aca="1" ref="V12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26</v>
      </c>
    </row>
    <row r="128" spans="1:22" x14ac:dyDescent="0.35">
      <c r="A128" s="1">
        <v>127</v>
      </c>
      <c r="B128" s="1">
        <v>9</v>
      </c>
      <c r="C128" s="1">
        <v>7</v>
      </c>
      <c r="D128" s="1">
        <v>4</v>
      </c>
      <c r="E128" s="3">
        <v>46038</v>
      </c>
      <c r="F128" s="3">
        <v>46081</v>
      </c>
      <c r="G128" s="3">
        <v>46050</v>
      </c>
      <c r="H128" s="3">
        <v>46091</v>
      </c>
      <c r="I128" s="4">
        <v>650000</v>
      </c>
      <c r="J128" s="4">
        <v>710000</v>
      </c>
      <c r="K128" s="5" cm="1">
        <f t="array" aca="1" ref="K128" ca="1">_xlfn.SWITCH(TRUE,
ISBLANK(FactProgress[[#This Row],[Planned_EndDate]]),0,
TODAY()&gt;=FactProgress[[#This Row],[Planned_EndDate]],1,
TODAY()&lt;FactProgress[[#This Row],[Planned_StartDate]],0,
E128="",0,
(TODAY()-FactProgress[[#This Row],[Planned_StartDate]])/(FactProgress[[#This Row],[Planned_EndDate]]-FactProgress[[#This Row],[Planned_StartDate]]))</f>
        <v>1</v>
      </c>
      <c r="L128" s="5">
        <v>1</v>
      </c>
      <c r="M128" s="5">
        <f>IFERROR(FactProgress[[#This Row],[Real_Cost]]/FactProgress[[#This Row],[Expected_Cost]],0)</f>
        <v>1.0923076923076922</v>
      </c>
      <c r="N128" s="1" t="str" cm="1">
        <f t="array" aca="1" ref="N12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Completado</v>
      </c>
      <c r="O128" s="1" t="str" cm="1">
        <f t="array" ref="O12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Sobre costo moderado</v>
      </c>
      <c r="P128" s="9" t="str" cm="1">
        <f t="array" ref="P12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Atención</v>
      </c>
      <c r="Q128" s="10">
        <v>23</v>
      </c>
      <c r="R128" s="10">
        <v>5</v>
      </c>
      <c r="S128" s="10" cm="1">
        <f t="array" aca="1" ref="S12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44</v>
      </c>
      <c r="T128" s="10">
        <f>(FactProgress[[#This Row],[Planned_EndDate]]-FactProgress[[#This Row],[Planned_StartDate]])+1</f>
        <v>44</v>
      </c>
      <c r="U128" s="10" cm="1">
        <f t="array" aca="1" ref="U12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42</v>
      </c>
      <c r="V128" s="10" cm="1">
        <f t="array" aca="1" ref="V12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42</v>
      </c>
    </row>
    <row r="129" spans="1:22" x14ac:dyDescent="0.35">
      <c r="A129" s="1">
        <v>128</v>
      </c>
      <c r="B129" s="1">
        <v>9</v>
      </c>
      <c r="C129" s="1">
        <v>8</v>
      </c>
      <c r="D129" s="1">
        <v>6</v>
      </c>
      <c r="E129" s="3">
        <v>46069</v>
      </c>
      <c r="F129" s="3">
        <v>46096</v>
      </c>
      <c r="G129" s="3">
        <v>46075</v>
      </c>
      <c r="H129" s="3"/>
      <c r="I129" s="4">
        <v>280000</v>
      </c>
      <c r="J129" s="4">
        <v>150000</v>
      </c>
      <c r="K129" s="5" cm="1">
        <f t="array" aca="1" ref="K129" ca="1">_xlfn.SWITCH(TRUE,
ISBLANK(FactProgress[[#This Row],[Planned_EndDate]]),0,
TODAY()&gt;=FactProgress[[#This Row],[Planned_EndDate]],1,
TODAY()&lt;FactProgress[[#This Row],[Planned_StartDate]],0,
E129="",0,
(TODAY()-FactProgress[[#This Row],[Planned_StartDate]])/(FactProgress[[#This Row],[Planned_EndDate]]-FactProgress[[#This Row],[Planned_StartDate]]))</f>
        <v>1</v>
      </c>
      <c r="L129" s="5">
        <v>0.64</v>
      </c>
      <c r="M129" s="5">
        <f>IFERROR(FactProgress[[#This Row],[Real_Cost]]/FactProgress[[#This Row],[Expected_Cost]],0)</f>
        <v>0.5357142857142857</v>
      </c>
      <c r="N129" s="1" t="str" cm="1">
        <f t="array" aca="1" ref="N12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29" s="1" t="str" cm="1">
        <f t="array" ref="O12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29" s="9" t="str" cm="1">
        <f t="array" ref="P12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Excelente</v>
      </c>
      <c r="Q129" s="10">
        <v>23</v>
      </c>
      <c r="R129" s="10">
        <v>5</v>
      </c>
      <c r="S129" s="10" cm="1">
        <f t="array" aca="1" ref="S12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28</v>
      </c>
      <c r="T129" s="10">
        <f>(FactProgress[[#This Row],[Planned_EndDate]]-FactProgress[[#This Row],[Planned_StartDate]])+1</f>
        <v>28</v>
      </c>
      <c r="U129" s="10" cm="1">
        <f t="array" aca="1" ref="U12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25</v>
      </c>
      <c r="V129" s="10" cm="1">
        <f t="array" aca="1" ref="V12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39</v>
      </c>
    </row>
    <row r="130" spans="1:22" x14ac:dyDescent="0.35">
      <c r="A130" s="1">
        <v>129</v>
      </c>
      <c r="B130" s="1">
        <v>9</v>
      </c>
      <c r="C130" s="1">
        <v>9</v>
      </c>
      <c r="D130" s="1">
        <v>7</v>
      </c>
      <c r="E130" s="3">
        <v>46082</v>
      </c>
      <c r="F130" s="3">
        <v>46096</v>
      </c>
      <c r="G130" s="3">
        <v>46092</v>
      </c>
      <c r="H130" s="3"/>
      <c r="I130" s="4">
        <v>120000</v>
      </c>
      <c r="J130" s="4">
        <v>15000</v>
      </c>
      <c r="K130" s="5" cm="1">
        <f t="array" aca="1" ref="K130" ca="1">_xlfn.SWITCH(TRUE,
ISBLANK(FactProgress[[#This Row],[Planned_EndDate]]),0,
TODAY()&gt;=FactProgress[[#This Row],[Planned_EndDate]],1,
TODAY()&lt;FactProgress[[#This Row],[Planned_StartDate]],0,
E130="",0,
(TODAY()-FactProgress[[#This Row],[Planned_StartDate]])/(FactProgress[[#This Row],[Planned_EndDate]]-FactProgress[[#This Row],[Planned_StartDate]]))</f>
        <v>1</v>
      </c>
      <c r="L130" s="5">
        <v>0.08</v>
      </c>
      <c r="M130" s="5">
        <f>IFERROR(FactProgress[[#This Row],[Real_Cost]]/FactProgress[[#This Row],[Expected_Cost]],0)</f>
        <v>0.125</v>
      </c>
      <c r="N130" s="1" t="str" cm="1">
        <f t="array" aca="1" ref="N13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Crítico</v>
      </c>
      <c r="O130" s="1" t="str" cm="1">
        <f t="array" ref="O13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30" s="9" t="str" cm="1">
        <f t="array" ref="P13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30" s="10">
        <v>23</v>
      </c>
      <c r="R130" s="10">
        <v>5</v>
      </c>
      <c r="S130" s="10" cm="1">
        <f t="array" aca="1" ref="S13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15</v>
      </c>
      <c r="T130" s="10">
        <f>(FactProgress[[#This Row],[Planned_EndDate]]-FactProgress[[#This Row],[Planned_StartDate]])+1</f>
        <v>15</v>
      </c>
      <c r="U130" s="10" cm="1">
        <f t="array" aca="1" ref="U13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8</v>
      </c>
      <c r="V130" s="10" cm="1">
        <f t="array" aca="1" ref="V13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100</v>
      </c>
    </row>
    <row r="131" spans="1:22" x14ac:dyDescent="0.35">
      <c r="A131" s="1">
        <v>130</v>
      </c>
      <c r="B131" s="1">
        <v>9</v>
      </c>
      <c r="C131" s="1">
        <v>10</v>
      </c>
      <c r="D131" s="1">
        <v>5</v>
      </c>
      <c r="E131" s="3">
        <v>46082</v>
      </c>
      <c r="F131" s="3">
        <v>46142</v>
      </c>
      <c r="G131" s="3">
        <v>46086</v>
      </c>
      <c r="H131" s="3"/>
      <c r="I131" s="4">
        <v>750000</v>
      </c>
      <c r="J131" s="4">
        <v>110000</v>
      </c>
      <c r="K131" s="5" cm="1">
        <f t="array" aca="1" ref="K131" ca="1">_xlfn.SWITCH(TRUE,
ISBLANK(FactProgress[[#This Row],[Planned_EndDate]]),0,
TODAY()&gt;=FactProgress[[#This Row],[Planned_EndDate]],1,
TODAY()&lt;FactProgress[[#This Row],[Planned_StartDate]],0,
E131="",0,
(TODAY()-FactProgress[[#This Row],[Planned_StartDate]])/(FactProgress[[#This Row],[Planned_EndDate]]-FactProgress[[#This Row],[Planned_StartDate]]))</f>
        <v>0.3</v>
      </c>
      <c r="L131" s="5">
        <v>7.4999999999999997E-2</v>
      </c>
      <c r="M131" s="5">
        <f>IFERROR(FactProgress[[#This Row],[Real_Cost]]/FactProgress[[#This Row],[Expected_Cost]],0)</f>
        <v>0.14666666666666667</v>
      </c>
      <c r="N131" s="1" t="str" cm="1">
        <f t="array" aca="1" ref="N13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Retrasado</v>
      </c>
      <c r="O131" s="1" t="str" cm="1">
        <f t="array" ref="O13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Ahorro eficiente</v>
      </c>
      <c r="P131" s="9" t="str" cm="1">
        <f t="array" ref="P13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Crítico</v>
      </c>
      <c r="Q131" s="10">
        <v>18</v>
      </c>
      <c r="R131" s="10">
        <v>5</v>
      </c>
      <c r="S131" s="10" cm="1">
        <f t="array" aca="1" ref="S13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18</v>
      </c>
      <c r="T131" s="10">
        <f>(FactProgress[[#This Row],[Planned_EndDate]]-FactProgress[[#This Row],[Planned_StartDate]])+1</f>
        <v>61</v>
      </c>
      <c r="U131" s="10" cm="1">
        <f t="array" aca="1" ref="U13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14</v>
      </c>
      <c r="V131" s="10" cm="1">
        <f t="array" aca="1" ref="V13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187</v>
      </c>
    </row>
    <row r="132" spans="1:22" x14ac:dyDescent="0.35">
      <c r="A132" s="1">
        <v>131</v>
      </c>
      <c r="B132" s="1">
        <v>9</v>
      </c>
      <c r="C132" s="1">
        <v>11</v>
      </c>
      <c r="D132" s="1">
        <v>10</v>
      </c>
      <c r="E132" s="3">
        <v>46143</v>
      </c>
      <c r="F132" s="3">
        <v>46188</v>
      </c>
      <c r="G132" s="3"/>
      <c r="H132" s="3"/>
      <c r="I132" s="4">
        <v>480000</v>
      </c>
      <c r="J132" s="4">
        <v>0</v>
      </c>
      <c r="K132" s="5" cm="1">
        <f t="array" aca="1" ref="K132" ca="1">_xlfn.SWITCH(TRUE,
ISBLANK(FactProgress[[#This Row],[Planned_EndDate]]),0,
TODAY()&gt;=FactProgress[[#This Row],[Planned_EndDate]],1,
TODAY()&lt;FactProgress[[#This Row],[Planned_StartDate]],0,
E132="",0,
(TODAY()-FactProgress[[#This Row],[Planned_StartDate]])/(FactProgress[[#This Row],[Planned_EndDate]]-FactProgress[[#This Row],[Planned_StartDate]]))</f>
        <v>0</v>
      </c>
      <c r="L132" s="5">
        <v>0</v>
      </c>
      <c r="M132" s="5">
        <f>IFERROR(FactProgress[[#This Row],[Real_Cost]]/FactProgress[[#This Row],[Expected_Cost]],0)</f>
        <v>0</v>
      </c>
      <c r="N132" s="1" t="str" cm="1">
        <f t="array" aca="1" ref="N13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2" s="1" t="str" cm="1">
        <f t="array" ref="O13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2" s="9" t="str" cm="1">
        <f t="array" ref="P13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2" s="10">
        <v>18</v>
      </c>
      <c r="R132" s="10">
        <v>5</v>
      </c>
      <c r="S132" s="10" cm="1">
        <f t="array" aca="1" ref="S13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2" s="10">
        <f>(FactProgress[[#This Row],[Planned_EndDate]]-FactProgress[[#This Row],[Planned_StartDate]])+1</f>
        <v>46</v>
      </c>
      <c r="U132" s="10" cm="1">
        <f t="array" aca="1" ref="U13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2" s="10" cm="1">
        <f t="array" aca="1" ref="V13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3" spans="1:22" x14ac:dyDescent="0.35">
      <c r="A133" s="1">
        <v>132</v>
      </c>
      <c r="B133" s="1">
        <v>9</v>
      </c>
      <c r="C133" s="1">
        <v>12</v>
      </c>
      <c r="D133" s="1">
        <v>10</v>
      </c>
      <c r="E133" s="3">
        <v>46143</v>
      </c>
      <c r="F133" s="3">
        <v>46203</v>
      </c>
      <c r="G133" s="3"/>
      <c r="H133" s="3"/>
      <c r="I133" s="4">
        <v>320000</v>
      </c>
      <c r="J133" s="4">
        <v>0</v>
      </c>
      <c r="K133" s="5" cm="1">
        <f t="array" aca="1" ref="K133" ca="1">_xlfn.SWITCH(TRUE,
ISBLANK(FactProgress[[#This Row],[Planned_EndDate]]),0,
TODAY()&gt;=FactProgress[[#This Row],[Planned_EndDate]],1,
TODAY()&lt;FactProgress[[#This Row],[Planned_StartDate]],0,
E133="",0,
(TODAY()-FactProgress[[#This Row],[Planned_StartDate]])/(FactProgress[[#This Row],[Planned_EndDate]]-FactProgress[[#This Row],[Planned_StartDate]]))</f>
        <v>0</v>
      </c>
      <c r="L133" s="5">
        <v>0</v>
      </c>
      <c r="M133" s="5">
        <f>IFERROR(FactProgress[[#This Row],[Real_Cost]]/FactProgress[[#This Row],[Expected_Cost]],0)</f>
        <v>0</v>
      </c>
      <c r="N133" s="1" t="str" cm="1">
        <f t="array" aca="1" ref="N13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3" s="1" t="str" cm="1">
        <f t="array" ref="O13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3" s="9" t="str" cm="1">
        <f t="array" ref="P13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3" s="10">
        <v>18</v>
      </c>
      <c r="R133" s="10">
        <v>5</v>
      </c>
      <c r="S133" s="10" cm="1">
        <f t="array" aca="1" ref="S13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3" s="10">
        <f>(FactProgress[[#This Row],[Planned_EndDate]]-FactProgress[[#This Row],[Planned_StartDate]])+1</f>
        <v>61</v>
      </c>
      <c r="U133" s="10" cm="1">
        <f t="array" aca="1" ref="U13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3" s="10" cm="1">
        <f t="array" aca="1" ref="V13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4" spans="1:22" x14ac:dyDescent="0.35">
      <c r="A134" s="1">
        <v>133</v>
      </c>
      <c r="B134" s="1">
        <v>9</v>
      </c>
      <c r="C134" s="1">
        <v>13</v>
      </c>
      <c r="D134" s="1">
        <v>11</v>
      </c>
      <c r="E134" s="3">
        <v>46204</v>
      </c>
      <c r="F134" s="3">
        <v>46233</v>
      </c>
      <c r="G134" s="3"/>
      <c r="H134" s="3"/>
      <c r="I134" s="4">
        <v>250000</v>
      </c>
      <c r="J134" s="4">
        <v>0</v>
      </c>
      <c r="K134" s="5" cm="1">
        <f t="array" aca="1" ref="K134" ca="1">_xlfn.SWITCH(TRUE,
ISBLANK(FactProgress[[#This Row],[Planned_EndDate]]),0,
TODAY()&gt;=FactProgress[[#This Row],[Planned_EndDate]],1,
TODAY()&lt;FactProgress[[#This Row],[Planned_StartDate]],0,
E134="",0,
(TODAY()-FactProgress[[#This Row],[Planned_StartDate]])/(FactProgress[[#This Row],[Planned_EndDate]]-FactProgress[[#This Row],[Planned_StartDate]]))</f>
        <v>0</v>
      </c>
      <c r="L134" s="5">
        <v>0</v>
      </c>
      <c r="M134" s="5">
        <f>IFERROR(FactProgress[[#This Row],[Real_Cost]]/FactProgress[[#This Row],[Expected_Cost]],0)</f>
        <v>0</v>
      </c>
      <c r="N134" s="1" t="str" cm="1">
        <f t="array" aca="1" ref="N13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4" s="1" t="str" cm="1">
        <f t="array" ref="O13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4" s="9" t="str" cm="1">
        <f t="array" ref="P13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4" s="10">
        <v>18</v>
      </c>
      <c r="R134" s="10">
        <v>5</v>
      </c>
      <c r="S134" s="10" cm="1">
        <f t="array" aca="1" ref="S13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4" s="10">
        <f>(FactProgress[[#This Row],[Planned_EndDate]]-FactProgress[[#This Row],[Planned_StartDate]])+1</f>
        <v>30</v>
      </c>
      <c r="U134" s="10" cm="1">
        <f t="array" aca="1" ref="U13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4" s="10" cm="1">
        <f t="array" aca="1" ref="V13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5" spans="1:22" x14ac:dyDescent="0.35">
      <c r="A135" s="1">
        <v>134</v>
      </c>
      <c r="B135" s="1">
        <v>9</v>
      </c>
      <c r="C135" s="1">
        <v>14</v>
      </c>
      <c r="D135" s="1">
        <v>13</v>
      </c>
      <c r="E135" s="3">
        <v>46235</v>
      </c>
      <c r="F135" s="3">
        <v>46249</v>
      </c>
      <c r="G135" s="3"/>
      <c r="H135" s="3"/>
      <c r="I135" s="4">
        <v>55000</v>
      </c>
      <c r="J135" s="4">
        <v>0</v>
      </c>
      <c r="K135" s="5" cm="1">
        <f t="array" aca="1" ref="K135" ca="1">_xlfn.SWITCH(TRUE,
ISBLANK(FactProgress[[#This Row],[Planned_EndDate]]),0,
TODAY()&gt;=FactProgress[[#This Row],[Planned_EndDate]],1,
TODAY()&lt;FactProgress[[#This Row],[Planned_StartDate]],0,
E135="",0,
(TODAY()-FactProgress[[#This Row],[Planned_StartDate]])/(FactProgress[[#This Row],[Planned_EndDate]]-FactProgress[[#This Row],[Planned_StartDate]]))</f>
        <v>0</v>
      </c>
      <c r="L135" s="5">
        <v>0</v>
      </c>
      <c r="M135" s="5">
        <f>IFERROR(FactProgress[[#This Row],[Real_Cost]]/FactProgress[[#This Row],[Expected_Cost]],0)</f>
        <v>0</v>
      </c>
      <c r="N135" s="1" t="str" cm="1">
        <f t="array" aca="1" ref="N13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5" s="1" t="str" cm="1">
        <f t="array" ref="O13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5" s="9" t="str" cm="1">
        <f t="array" ref="P13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5" s="10">
        <v>12</v>
      </c>
      <c r="R135" s="10">
        <v>5</v>
      </c>
      <c r="S135" s="10" cm="1">
        <f t="array" aca="1" ref="S13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5" s="10">
        <f>(FactProgress[[#This Row],[Planned_EndDate]]-FactProgress[[#This Row],[Planned_StartDate]])+1</f>
        <v>15</v>
      </c>
      <c r="U135" s="10" cm="1">
        <f t="array" aca="1" ref="U13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5" s="10" cm="1">
        <f t="array" aca="1" ref="V13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6" spans="1:22" x14ac:dyDescent="0.35">
      <c r="A136" s="1">
        <v>135</v>
      </c>
      <c r="B136" s="1">
        <v>9</v>
      </c>
      <c r="C136" s="1">
        <v>15</v>
      </c>
      <c r="D136" s="1">
        <v>14</v>
      </c>
      <c r="E136" s="3">
        <v>46250</v>
      </c>
      <c r="F136" s="3">
        <v>46264</v>
      </c>
      <c r="G136" s="3"/>
      <c r="H136" s="3"/>
      <c r="I136" s="4">
        <v>25000</v>
      </c>
      <c r="J136" s="4">
        <v>0</v>
      </c>
      <c r="K136" s="5" cm="1">
        <f t="array" aca="1" ref="K136" ca="1">_xlfn.SWITCH(TRUE,
ISBLANK(FactProgress[[#This Row],[Planned_EndDate]]),0,
TODAY()&gt;=FactProgress[[#This Row],[Planned_EndDate]],1,
TODAY()&lt;FactProgress[[#This Row],[Planned_StartDate]],0,
E136="",0,
(TODAY()-FactProgress[[#This Row],[Planned_StartDate]])/(FactProgress[[#This Row],[Planned_EndDate]]-FactProgress[[#This Row],[Planned_StartDate]]))</f>
        <v>0</v>
      </c>
      <c r="L136" s="5">
        <v>0</v>
      </c>
      <c r="M136" s="5">
        <f>IFERROR(FactProgress[[#This Row],[Real_Cost]]/FactProgress[[#This Row],[Expected_Cost]],0)</f>
        <v>0</v>
      </c>
      <c r="N136" s="1" t="str" cm="1">
        <f t="array" aca="1" ref="N13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6" s="1" t="str" cm="1">
        <f t="array" ref="O13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6" s="9" t="str" cm="1">
        <f t="array" ref="P13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6" s="10">
        <v>12</v>
      </c>
      <c r="R136" s="10">
        <v>5</v>
      </c>
      <c r="S136" s="10" cm="1">
        <f t="array" aca="1" ref="S13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6" s="10">
        <f>(FactProgress[[#This Row],[Planned_EndDate]]-FactProgress[[#This Row],[Planned_StartDate]])+1</f>
        <v>15</v>
      </c>
      <c r="U136" s="10" cm="1">
        <f t="array" aca="1" ref="U13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6" s="10" cm="1">
        <f t="array" aca="1" ref="V13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7" spans="1:22" x14ac:dyDescent="0.35">
      <c r="A137" s="1">
        <v>136</v>
      </c>
      <c r="B137" s="1">
        <v>10</v>
      </c>
      <c r="C137" s="1">
        <v>1</v>
      </c>
      <c r="D137" s="1"/>
      <c r="E137" s="3">
        <v>46143</v>
      </c>
      <c r="F137" s="3">
        <v>46157</v>
      </c>
      <c r="G137" s="3"/>
      <c r="H137" s="3"/>
      <c r="I137" s="4">
        <v>35000</v>
      </c>
      <c r="J137" s="4">
        <v>0</v>
      </c>
      <c r="K137" s="5" cm="1">
        <f t="array" aca="1" ref="K137" ca="1">_xlfn.SWITCH(TRUE,
ISBLANK(FactProgress[[#This Row],[Planned_EndDate]]),0,
TODAY()&gt;=FactProgress[[#This Row],[Planned_EndDate]],1,
TODAY()&lt;FactProgress[[#This Row],[Planned_StartDate]],0,
E137="",0,
(TODAY()-FactProgress[[#This Row],[Planned_StartDate]])/(FactProgress[[#This Row],[Planned_EndDate]]-FactProgress[[#This Row],[Planned_StartDate]]))</f>
        <v>0</v>
      </c>
      <c r="L137" s="5">
        <v>0</v>
      </c>
      <c r="M137" s="5">
        <f>IFERROR(FactProgress[[#This Row],[Real_Cost]]/FactProgress[[#This Row],[Expected_Cost]],0)</f>
        <v>0</v>
      </c>
      <c r="N137" s="1" t="str" cm="1">
        <f t="array" aca="1" ref="N13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7" s="1" t="str" cm="1">
        <f t="array" ref="O13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7" s="9" t="str" cm="1">
        <f t="array" ref="P13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7" s="10">
        <v>9</v>
      </c>
      <c r="R137" s="10">
        <v>6</v>
      </c>
      <c r="S137" s="10" cm="1">
        <f t="array" aca="1" ref="S13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7" s="10">
        <f>(FactProgress[[#This Row],[Planned_EndDate]]-FactProgress[[#This Row],[Planned_StartDate]])+1</f>
        <v>15</v>
      </c>
      <c r="U137" s="10" cm="1">
        <f t="array" aca="1" ref="U13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7" s="10" cm="1">
        <f t="array" aca="1" ref="V13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8" spans="1:22" x14ac:dyDescent="0.35">
      <c r="A138" s="1">
        <v>137</v>
      </c>
      <c r="B138" s="1">
        <v>10</v>
      </c>
      <c r="C138" s="1">
        <v>2</v>
      </c>
      <c r="D138" s="1">
        <v>1</v>
      </c>
      <c r="E138" s="3">
        <v>46158</v>
      </c>
      <c r="F138" s="3">
        <v>46167</v>
      </c>
      <c r="G138" s="3"/>
      <c r="H138" s="3"/>
      <c r="I138" s="4">
        <v>20000</v>
      </c>
      <c r="J138" s="4">
        <v>0</v>
      </c>
      <c r="K138" s="5" cm="1">
        <f t="array" aca="1" ref="K138" ca="1">_xlfn.SWITCH(TRUE,
ISBLANK(FactProgress[[#This Row],[Planned_EndDate]]),0,
TODAY()&gt;=FactProgress[[#This Row],[Planned_EndDate]],1,
TODAY()&lt;FactProgress[[#This Row],[Planned_StartDate]],0,
E138="",0,
(TODAY()-FactProgress[[#This Row],[Planned_StartDate]])/(FactProgress[[#This Row],[Planned_EndDate]]-FactProgress[[#This Row],[Planned_StartDate]]))</f>
        <v>0</v>
      </c>
      <c r="L138" s="5">
        <v>0</v>
      </c>
      <c r="M138" s="5">
        <f>IFERROR(FactProgress[[#This Row],[Real_Cost]]/FactProgress[[#This Row],[Expected_Cost]],0)</f>
        <v>0</v>
      </c>
      <c r="N138" s="1" t="str" cm="1">
        <f t="array" aca="1" ref="N13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8" s="1" t="str" cm="1">
        <f t="array" ref="O13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8" s="9" t="str" cm="1">
        <f t="array" ref="P13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8" s="10">
        <v>9</v>
      </c>
      <c r="R138" s="10">
        <v>6</v>
      </c>
      <c r="S138" s="10" cm="1">
        <f t="array" aca="1" ref="S13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8" s="10">
        <f>(FactProgress[[#This Row],[Planned_EndDate]]-FactProgress[[#This Row],[Planned_StartDate]])+1</f>
        <v>10</v>
      </c>
      <c r="U138" s="10" cm="1">
        <f t="array" aca="1" ref="U13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8" s="10" cm="1">
        <f t="array" aca="1" ref="V13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39" spans="1:22" x14ac:dyDescent="0.35">
      <c r="A139" s="1">
        <v>138</v>
      </c>
      <c r="B139" s="1">
        <v>10</v>
      </c>
      <c r="C139" s="1">
        <v>3</v>
      </c>
      <c r="D139" s="1">
        <v>2</v>
      </c>
      <c r="E139" s="3">
        <v>46168</v>
      </c>
      <c r="F139" s="3">
        <v>46188</v>
      </c>
      <c r="G139" s="3"/>
      <c r="H139" s="3"/>
      <c r="I139" s="4">
        <v>120000</v>
      </c>
      <c r="J139" s="4">
        <v>0</v>
      </c>
      <c r="K139" s="5" cm="1">
        <f t="array" aca="1" ref="K139" ca="1">_xlfn.SWITCH(TRUE,
ISBLANK(FactProgress[[#This Row],[Planned_EndDate]]),0,
TODAY()&gt;=FactProgress[[#This Row],[Planned_EndDate]],1,
TODAY()&lt;FactProgress[[#This Row],[Planned_StartDate]],0,
E139="",0,
(TODAY()-FactProgress[[#This Row],[Planned_StartDate]])/(FactProgress[[#This Row],[Planned_EndDate]]-FactProgress[[#This Row],[Planned_StartDate]]))</f>
        <v>0</v>
      </c>
      <c r="L139" s="5">
        <v>0</v>
      </c>
      <c r="M139" s="5">
        <f>IFERROR(FactProgress[[#This Row],[Real_Cost]]/FactProgress[[#This Row],[Expected_Cost]],0)</f>
        <v>0</v>
      </c>
      <c r="N139" s="1" t="str" cm="1">
        <f t="array" aca="1" ref="N13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39" s="1" t="str" cm="1">
        <f t="array" ref="O13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39" s="9" t="str" cm="1">
        <f t="array" ref="P13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39" s="10">
        <v>11</v>
      </c>
      <c r="R139" s="10">
        <v>6</v>
      </c>
      <c r="S139" s="10" cm="1">
        <f t="array" aca="1" ref="S13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39" s="10">
        <f>(FactProgress[[#This Row],[Planned_EndDate]]-FactProgress[[#This Row],[Planned_StartDate]])+1</f>
        <v>21</v>
      </c>
      <c r="U139" s="10" cm="1">
        <f t="array" aca="1" ref="U13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39" s="10" cm="1">
        <f t="array" aca="1" ref="V13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0" spans="1:22" x14ac:dyDescent="0.35">
      <c r="A140" s="1">
        <v>139</v>
      </c>
      <c r="B140" s="1">
        <v>10</v>
      </c>
      <c r="C140" s="1">
        <v>4</v>
      </c>
      <c r="D140" s="1">
        <v>1</v>
      </c>
      <c r="E140" s="3">
        <v>46189</v>
      </c>
      <c r="F140" s="3">
        <v>46234</v>
      </c>
      <c r="G140" s="3"/>
      <c r="H140" s="3"/>
      <c r="I140" s="4">
        <v>380000</v>
      </c>
      <c r="J140" s="4">
        <v>0</v>
      </c>
      <c r="K140" s="5" cm="1">
        <f t="array" aca="1" ref="K140" ca="1">_xlfn.SWITCH(TRUE,
ISBLANK(FactProgress[[#This Row],[Planned_EndDate]]),0,
TODAY()&gt;=FactProgress[[#This Row],[Planned_EndDate]],1,
TODAY()&lt;FactProgress[[#This Row],[Planned_StartDate]],0,
E140="",0,
(TODAY()-FactProgress[[#This Row],[Planned_StartDate]])/(FactProgress[[#This Row],[Planned_EndDate]]-FactProgress[[#This Row],[Planned_StartDate]]))</f>
        <v>0</v>
      </c>
      <c r="L140" s="5">
        <v>0</v>
      </c>
      <c r="M140" s="5">
        <f>IFERROR(FactProgress[[#This Row],[Real_Cost]]/FactProgress[[#This Row],[Expected_Cost]],0)</f>
        <v>0</v>
      </c>
      <c r="N140" s="1" t="str" cm="1">
        <f t="array" aca="1" ref="N14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0" s="1" t="str" cm="1">
        <f t="array" ref="O14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0" s="9" t="str" cm="1">
        <f t="array" ref="P14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0" s="10">
        <v>11</v>
      </c>
      <c r="R140" s="10">
        <v>6</v>
      </c>
      <c r="S140" s="10" cm="1">
        <f t="array" aca="1" ref="S14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0" s="10">
        <f>(FactProgress[[#This Row],[Planned_EndDate]]-FactProgress[[#This Row],[Planned_StartDate]])+1</f>
        <v>46</v>
      </c>
      <c r="U140" s="10" cm="1">
        <f t="array" aca="1" ref="U14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0" s="10" cm="1">
        <f t="array" aca="1" ref="V14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1" spans="1:22" x14ac:dyDescent="0.35">
      <c r="A141" s="1">
        <v>140</v>
      </c>
      <c r="B141" s="1">
        <v>10</v>
      </c>
      <c r="C141" s="1">
        <v>5</v>
      </c>
      <c r="D141" s="1">
        <v>4</v>
      </c>
      <c r="E141" s="3">
        <v>46235</v>
      </c>
      <c r="F141" s="3">
        <v>46295</v>
      </c>
      <c r="G141" s="3"/>
      <c r="H141" s="3"/>
      <c r="I141" s="4">
        <v>650000</v>
      </c>
      <c r="J141" s="4">
        <v>0</v>
      </c>
      <c r="K141" s="5" cm="1">
        <f t="array" aca="1" ref="K141" ca="1">_xlfn.SWITCH(TRUE,
ISBLANK(FactProgress[[#This Row],[Planned_EndDate]]),0,
TODAY()&gt;=FactProgress[[#This Row],[Planned_EndDate]],1,
TODAY()&lt;FactProgress[[#This Row],[Planned_StartDate]],0,
E141="",0,
(TODAY()-FactProgress[[#This Row],[Planned_StartDate]])/(FactProgress[[#This Row],[Planned_EndDate]]-FactProgress[[#This Row],[Planned_StartDate]]))</f>
        <v>0</v>
      </c>
      <c r="L141" s="5">
        <v>0</v>
      </c>
      <c r="M141" s="5">
        <f>IFERROR(FactProgress[[#This Row],[Real_Cost]]/FactProgress[[#This Row],[Expected_Cost]],0)</f>
        <v>0</v>
      </c>
      <c r="N141" s="1" t="str" cm="1">
        <f t="array" aca="1" ref="N14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1" s="1" t="str" cm="1">
        <f t="array" ref="O14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1" s="9" t="str" cm="1">
        <f t="array" ref="P14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1" s="10">
        <v>11</v>
      </c>
      <c r="R141" s="10">
        <v>6</v>
      </c>
      <c r="S141" s="10" cm="1">
        <f t="array" aca="1" ref="S14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1" s="10">
        <f>(FactProgress[[#This Row],[Planned_EndDate]]-FactProgress[[#This Row],[Planned_StartDate]])+1</f>
        <v>61</v>
      </c>
      <c r="U141" s="10" cm="1">
        <f t="array" aca="1" ref="U14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1" s="10" cm="1">
        <f t="array" aca="1" ref="V14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2" spans="1:22" x14ac:dyDescent="0.35">
      <c r="A142" s="1">
        <v>141</v>
      </c>
      <c r="B142" s="1">
        <v>10</v>
      </c>
      <c r="C142" s="1">
        <v>6</v>
      </c>
      <c r="D142" s="1">
        <v>5</v>
      </c>
      <c r="E142" s="3">
        <v>46296</v>
      </c>
      <c r="F142" s="3">
        <v>46325</v>
      </c>
      <c r="G142" s="3"/>
      <c r="H142" s="3"/>
      <c r="I142" s="4">
        <v>280000</v>
      </c>
      <c r="J142" s="4">
        <v>0</v>
      </c>
      <c r="K142" s="5" cm="1">
        <f t="array" aca="1" ref="K142" ca="1">_xlfn.SWITCH(TRUE,
ISBLANK(FactProgress[[#This Row],[Planned_EndDate]]),0,
TODAY()&gt;=FactProgress[[#This Row],[Planned_EndDate]],1,
TODAY()&lt;FactProgress[[#This Row],[Planned_StartDate]],0,
E142="",0,
(TODAY()-FactProgress[[#This Row],[Planned_StartDate]])/(FactProgress[[#This Row],[Planned_EndDate]]-FactProgress[[#This Row],[Planned_StartDate]]))</f>
        <v>0</v>
      </c>
      <c r="L142" s="5">
        <v>0</v>
      </c>
      <c r="M142" s="5">
        <f>IFERROR(FactProgress[[#This Row],[Real_Cost]]/FactProgress[[#This Row],[Expected_Cost]],0)</f>
        <v>0</v>
      </c>
      <c r="N142" s="1" t="str" cm="1">
        <f t="array" aca="1" ref="N142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2" s="1" t="str" cm="1">
        <f t="array" ref="O142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2" s="9" t="str" cm="1">
        <f t="array" ref="P142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2" s="10">
        <v>11</v>
      </c>
      <c r="R142" s="10">
        <v>6</v>
      </c>
      <c r="S142" s="10" cm="1">
        <f t="array" aca="1" ref="S142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2" s="10">
        <f>(FactProgress[[#This Row],[Planned_EndDate]]-FactProgress[[#This Row],[Planned_StartDate]])+1</f>
        <v>30</v>
      </c>
      <c r="U142" s="10" cm="1">
        <f t="array" aca="1" ref="U142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2" s="10" cm="1">
        <f t="array" aca="1" ref="V142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3" spans="1:22" x14ac:dyDescent="0.35">
      <c r="A143" s="1">
        <v>142</v>
      </c>
      <c r="B143" s="1">
        <v>10</v>
      </c>
      <c r="C143" s="1">
        <v>7</v>
      </c>
      <c r="D143" s="1">
        <v>4</v>
      </c>
      <c r="E143" s="3">
        <v>46296</v>
      </c>
      <c r="F143" s="3">
        <v>46341</v>
      </c>
      <c r="G143" s="3"/>
      <c r="H143" s="3"/>
      <c r="I143" s="4">
        <v>150000</v>
      </c>
      <c r="J143" s="4">
        <v>0</v>
      </c>
      <c r="K143" s="5" cm="1">
        <f t="array" aca="1" ref="K143" ca="1">_xlfn.SWITCH(TRUE,
ISBLANK(FactProgress[[#This Row],[Planned_EndDate]]),0,
TODAY()&gt;=FactProgress[[#This Row],[Planned_EndDate]],1,
TODAY()&lt;FactProgress[[#This Row],[Planned_StartDate]],0,
E143="",0,
(TODAY()-FactProgress[[#This Row],[Planned_StartDate]])/(FactProgress[[#This Row],[Planned_EndDate]]-FactProgress[[#This Row],[Planned_StartDate]]))</f>
        <v>0</v>
      </c>
      <c r="L143" s="5">
        <v>0</v>
      </c>
      <c r="M143" s="5">
        <f>IFERROR(FactProgress[[#This Row],[Real_Cost]]/FactProgress[[#This Row],[Expected_Cost]],0)</f>
        <v>0</v>
      </c>
      <c r="N143" s="1" t="str" cm="1">
        <f t="array" aca="1" ref="N143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3" s="1" t="str" cm="1">
        <f t="array" ref="O143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3" s="9" t="str" cm="1">
        <f t="array" ref="P143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3" s="10">
        <v>22</v>
      </c>
      <c r="R143" s="10">
        <v>6</v>
      </c>
      <c r="S143" s="10" cm="1">
        <f t="array" aca="1" ref="S143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3" s="10">
        <f>(FactProgress[[#This Row],[Planned_EndDate]]-FactProgress[[#This Row],[Planned_StartDate]])+1</f>
        <v>46</v>
      </c>
      <c r="U143" s="10" cm="1">
        <f t="array" aca="1" ref="U143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3" s="10" cm="1">
        <f t="array" aca="1" ref="V143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4" spans="1:22" x14ac:dyDescent="0.35">
      <c r="A144" s="1">
        <v>143</v>
      </c>
      <c r="B144" s="1">
        <v>10</v>
      </c>
      <c r="C144" s="1">
        <v>8</v>
      </c>
      <c r="D144" s="1">
        <v>6</v>
      </c>
      <c r="E144" s="3">
        <v>46327</v>
      </c>
      <c r="F144" s="3">
        <v>46356</v>
      </c>
      <c r="G144" s="3"/>
      <c r="H144" s="3"/>
      <c r="I144" s="4">
        <v>95000</v>
      </c>
      <c r="J144" s="4">
        <v>0</v>
      </c>
      <c r="K144" s="5" cm="1">
        <f t="array" aca="1" ref="K144" ca="1">_xlfn.SWITCH(TRUE,
ISBLANK(FactProgress[[#This Row],[Planned_EndDate]]),0,
TODAY()&gt;=FactProgress[[#This Row],[Planned_EndDate]],1,
TODAY()&lt;FactProgress[[#This Row],[Planned_StartDate]],0,
E144="",0,
(TODAY()-FactProgress[[#This Row],[Planned_StartDate]])/(FactProgress[[#This Row],[Planned_EndDate]]-FactProgress[[#This Row],[Planned_StartDate]]))</f>
        <v>0</v>
      </c>
      <c r="L144" s="5">
        <v>0</v>
      </c>
      <c r="M144" s="5">
        <f>IFERROR(FactProgress[[#This Row],[Real_Cost]]/FactProgress[[#This Row],[Expected_Cost]],0)</f>
        <v>0</v>
      </c>
      <c r="N144" s="1" t="str" cm="1">
        <f t="array" aca="1" ref="N144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4" s="1" t="str" cm="1">
        <f t="array" ref="O144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4" s="9" t="str" cm="1">
        <f t="array" ref="P144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4" s="10">
        <v>22</v>
      </c>
      <c r="R144" s="10">
        <v>6</v>
      </c>
      <c r="S144" s="10" cm="1">
        <f t="array" aca="1" ref="S144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4" s="10">
        <f>(FactProgress[[#This Row],[Planned_EndDate]]-FactProgress[[#This Row],[Planned_StartDate]])+1</f>
        <v>30</v>
      </c>
      <c r="U144" s="10" cm="1">
        <f t="array" aca="1" ref="U144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4" s="10" cm="1">
        <f t="array" aca="1" ref="V144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5" spans="1:22" x14ac:dyDescent="0.35">
      <c r="A145" s="1">
        <v>144</v>
      </c>
      <c r="B145" s="1">
        <v>10</v>
      </c>
      <c r="C145" s="1">
        <v>9</v>
      </c>
      <c r="D145" s="1">
        <v>7</v>
      </c>
      <c r="E145" s="3">
        <v>46342</v>
      </c>
      <c r="F145" s="3">
        <v>46356</v>
      </c>
      <c r="G145" s="3"/>
      <c r="H145" s="3"/>
      <c r="I145" s="4">
        <v>45000</v>
      </c>
      <c r="J145" s="4">
        <v>0</v>
      </c>
      <c r="K145" s="5" cm="1">
        <f t="array" aca="1" ref="K145" ca="1">_xlfn.SWITCH(TRUE,
ISBLANK(FactProgress[[#This Row],[Planned_EndDate]]),0,
TODAY()&gt;=FactProgress[[#This Row],[Planned_EndDate]],1,
TODAY()&lt;FactProgress[[#This Row],[Planned_StartDate]],0,
E145="",0,
(TODAY()-FactProgress[[#This Row],[Planned_StartDate]])/(FactProgress[[#This Row],[Planned_EndDate]]-FactProgress[[#This Row],[Planned_StartDate]]))</f>
        <v>0</v>
      </c>
      <c r="L145" s="5">
        <v>0</v>
      </c>
      <c r="M145" s="5">
        <f>IFERROR(FactProgress[[#This Row],[Real_Cost]]/FactProgress[[#This Row],[Expected_Cost]],0)</f>
        <v>0</v>
      </c>
      <c r="N145" s="1" t="str" cm="1">
        <f t="array" aca="1" ref="N145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5" s="1" t="str" cm="1">
        <f t="array" ref="O145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5" s="9" t="str" cm="1">
        <f t="array" ref="P145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5" s="10">
        <v>22</v>
      </c>
      <c r="R145" s="10">
        <v>6</v>
      </c>
      <c r="S145" s="10" cm="1">
        <f t="array" aca="1" ref="S145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5" s="10">
        <f>(FactProgress[[#This Row],[Planned_EndDate]]-FactProgress[[#This Row],[Planned_StartDate]])+1</f>
        <v>15</v>
      </c>
      <c r="U145" s="10" cm="1">
        <f t="array" aca="1" ref="U145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5" s="10" cm="1">
        <f t="array" aca="1" ref="V145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6" spans="1:22" x14ac:dyDescent="0.35">
      <c r="A146" s="1">
        <v>145</v>
      </c>
      <c r="B146" s="1">
        <v>10</v>
      </c>
      <c r="C146" s="1">
        <v>10</v>
      </c>
      <c r="D146" s="1">
        <v>5</v>
      </c>
      <c r="E146" s="3">
        <v>46357</v>
      </c>
      <c r="F146" s="3">
        <v>46418</v>
      </c>
      <c r="G146" s="3"/>
      <c r="H146" s="3"/>
      <c r="I146" s="4">
        <v>200000</v>
      </c>
      <c r="J146" s="4">
        <v>0</v>
      </c>
      <c r="K146" s="5" cm="1">
        <f t="array" aca="1" ref="K146" ca="1">_xlfn.SWITCH(TRUE,
ISBLANK(FactProgress[[#This Row],[Planned_EndDate]]),0,
TODAY()&gt;=FactProgress[[#This Row],[Planned_EndDate]],1,
TODAY()&lt;FactProgress[[#This Row],[Planned_StartDate]],0,
E146="",0,
(TODAY()-FactProgress[[#This Row],[Planned_StartDate]])/(FactProgress[[#This Row],[Planned_EndDate]]-FactProgress[[#This Row],[Planned_StartDate]]))</f>
        <v>0</v>
      </c>
      <c r="L146" s="5">
        <v>0</v>
      </c>
      <c r="M146" s="5">
        <f>IFERROR(FactProgress[[#This Row],[Real_Cost]]/FactProgress[[#This Row],[Expected_Cost]],0)</f>
        <v>0</v>
      </c>
      <c r="N146" s="1" t="str" cm="1">
        <f t="array" aca="1" ref="N146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6" s="1" t="str" cm="1">
        <f t="array" ref="O146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6" s="9" t="str" cm="1">
        <f t="array" ref="P146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6" s="10">
        <v>26</v>
      </c>
      <c r="R146" s="10">
        <v>6</v>
      </c>
      <c r="S146" s="10" cm="1">
        <f t="array" aca="1" ref="S146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6" s="10">
        <f>(FactProgress[[#This Row],[Planned_EndDate]]-FactProgress[[#This Row],[Planned_StartDate]])+1</f>
        <v>62</v>
      </c>
      <c r="U146" s="10" cm="1">
        <f t="array" aca="1" ref="U146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6" s="10" cm="1">
        <f t="array" aca="1" ref="V146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7" spans="1:22" x14ac:dyDescent="0.35">
      <c r="A147" s="1">
        <v>146</v>
      </c>
      <c r="B147" s="1">
        <v>10</v>
      </c>
      <c r="C147" s="1">
        <v>11</v>
      </c>
      <c r="D147" s="1">
        <v>10</v>
      </c>
      <c r="E147" s="3">
        <v>46419</v>
      </c>
      <c r="F147" s="3">
        <v>46461</v>
      </c>
      <c r="G147" s="3"/>
      <c r="H147" s="3"/>
      <c r="I147" s="4">
        <v>180000</v>
      </c>
      <c r="J147" s="4">
        <v>0</v>
      </c>
      <c r="K147" s="5" cm="1">
        <f t="array" aca="1" ref="K147" ca="1">_xlfn.SWITCH(TRUE,
ISBLANK(FactProgress[[#This Row],[Planned_EndDate]]),0,
TODAY()&gt;=FactProgress[[#This Row],[Planned_EndDate]],1,
TODAY()&lt;FactProgress[[#This Row],[Planned_StartDate]],0,
E147="",0,
(TODAY()-FactProgress[[#This Row],[Planned_StartDate]])/(FactProgress[[#This Row],[Planned_EndDate]]-FactProgress[[#This Row],[Planned_StartDate]]))</f>
        <v>0</v>
      </c>
      <c r="L147" s="5">
        <v>0</v>
      </c>
      <c r="M147" s="5">
        <f>IFERROR(FactProgress[[#This Row],[Real_Cost]]/FactProgress[[#This Row],[Expected_Cost]],0)</f>
        <v>0</v>
      </c>
      <c r="N147" s="1" t="str" cm="1">
        <f t="array" aca="1" ref="N147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7" s="1" t="str" cm="1">
        <f t="array" ref="O147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7" s="9" t="str" cm="1">
        <f t="array" ref="P147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7" s="10">
        <v>26</v>
      </c>
      <c r="R147" s="10">
        <v>6</v>
      </c>
      <c r="S147" s="10" cm="1">
        <f t="array" aca="1" ref="S147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7" s="10">
        <f>(FactProgress[[#This Row],[Planned_EndDate]]-FactProgress[[#This Row],[Planned_StartDate]])+1</f>
        <v>43</v>
      </c>
      <c r="U147" s="10" cm="1">
        <f t="array" aca="1" ref="U147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7" s="10" cm="1">
        <f t="array" aca="1" ref="V147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8" spans="1:22" x14ac:dyDescent="0.35">
      <c r="A148" s="1">
        <v>147</v>
      </c>
      <c r="B148" s="1">
        <v>10</v>
      </c>
      <c r="C148" s="1">
        <v>12</v>
      </c>
      <c r="D148" s="1">
        <v>10</v>
      </c>
      <c r="E148" s="3">
        <v>46419</v>
      </c>
      <c r="F148" s="3">
        <v>46476</v>
      </c>
      <c r="G148" s="3"/>
      <c r="H148" s="3"/>
      <c r="I148" s="4">
        <v>125000</v>
      </c>
      <c r="J148" s="4">
        <v>0</v>
      </c>
      <c r="K148" s="5" cm="1">
        <f t="array" aca="1" ref="K148" ca="1">_xlfn.SWITCH(TRUE,
ISBLANK(FactProgress[[#This Row],[Planned_EndDate]]),0,
TODAY()&gt;=FactProgress[[#This Row],[Planned_EndDate]],1,
TODAY()&lt;FactProgress[[#This Row],[Planned_StartDate]],0,
E148="",0,
(TODAY()-FactProgress[[#This Row],[Planned_StartDate]])/(FactProgress[[#This Row],[Planned_EndDate]]-FactProgress[[#This Row],[Planned_StartDate]]))</f>
        <v>0</v>
      </c>
      <c r="L148" s="5">
        <v>0</v>
      </c>
      <c r="M148" s="5">
        <f>IFERROR(FactProgress[[#This Row],[Real_Cost]]/FactProgress[[#This Row],[Expected_Cost]],0)</f>
        <v>0</v>
      </c>
      <c r="N148" s="1" t="str" cm="1">
        <f t="array" aca="1" ref="N148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8" s="1" t="str" cm="1">
        <f t="array" ref="O148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8" s="9" t="str" cm="1">
        <f t="array" ref="P148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8" s="10">
        <v>26</v>
      </c>
      <c r="R148" s="10">
        <v>6</v>
      </c>
      <c r="S148" s="10" cm="1">
        <f t="array" aca="1" ref="S148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8" s="10">
        <f>(FactProgress[[#This Row],[Planned_EndDate]]-FactProgress[[#This Row],[Planned_StartDate]])+1</f>
        <v>58</v>
      </c>
      <c r="U148" s="10" cm="1">
        <f t="array" aca="1" ref="U148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8" s="10" cm="1">
        <f t="array" aca="1" ref="V148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49" spans="1:22" x14ac:dyDescent="0.35">
      <c r="A149" s="1">
        <v>148</v>
      </c>
      <c r="B149" s="1">
        <v>10</v>
      </c>
      <c r="C149" s="1">
        <v>13</v>
      </c>
      <c r="D149" s="1">
        <v>11</v>
      </c>
      <c r="E149" s="3">
        <v>46478</v>
      </c>
      <c r="F149" s="3">
        <v>46507</v>
      </c>
      <c r="G149" s="3"/>
      <c r="H149" s="3"/>
      <c r="I149" s="4">
        <v>110000</v>
      </c>
      <c r="J149" s="4">
        <v>0</v>
      </c>
      <c r="K149" s="5" cm="1">
        <f t="array" aca="1" ref="K149" ca="1">_xlfn.SWITCH(TRUE,
ISBLANK(FactProgress[[#This Row],[Planned_EndDate]]),0,
TODAY()&gt;=FactProgress[[#This Row],[Planned_EndDate]],1,
TODAY()&lt;FactProgress[[#This Row],[Planned_StartDate]],0,
E149="",0,
(TODAY()-FactProgress[[#This Row],[Planned_StartDate]])/(FactProgress[[#This Row],[Planned_EndDate]]-FactProgress[[#This Row],[Planned_StartDate]]))</f>
        <v>0</v>
      </c>
      <c r="L149" s="5">
        <v>0</v>
      </c>
      <c r="M149" s="5">
        <f>IFERROR(FactProgress[[#This Row],[Real_Cost]]/FactProgress[[#This Row],[Expected_Cost]],0)</f>
        <v>0</v>
      </c>
      <c r="N149" s="1" t="str" cm="1">
        <f t="array" aca="1" ref="N149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49" s="1" t="str" cm="1">
        <f t="array" ref="O149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49" s="9" t="str" cm="1">
        <f t="array" ref="P149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49" s="10">
        <v>26</v>
      </c>
      <c r="R149" s="10">
        <v>6</v>
      </c>
      <c r="S149" s="10" cm="1">
        <f t="array" aca="1" ref="S149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49" s="10">
        <f>(FactProgress[[#This Row],[Planned_EndDate]]-FactProgress[[#This Row],[Planned_StartDate]])+1</f>
        <v>30</v>
      </c>
      <c r="U149" s="10" cm="1">
        <f t="array" aca="1" ref="U149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49" s="10" cm="1">
        <f t="array" aca="1" ref="V149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50" spans="1:22" x14ac:dyDescent="0.35">
      <c r="A150" s="1">
        <v>149</v>
      </c>
      <c r="B150" s="1">
        <v>10</v>
      </c>
      <c r="C150" s="1">
        <v>14</v>
      </c>
      <c r="D150" s="1">
        <v>13</v>
      </c>
      <c r="E150" s="3">
        <v>46508</v>
      </c>
      <c r="F150" s="3">
        <v>46522</v>
      </c>
      <c r="G150" s="3"/>
      <c r="H150" s="3"/>
      <c r="I150" s="4">
        <v>25000</v>
      </c>
      <c r="J150" s="4">
        <v>0</v>
      </c>
      <c r="K150" s="5" cm="1">
        <f t="array" aca="1" ref="K150" ca="1">_xlfn.SWITCH(TRUE,
ISBLANK(FactProgress[[#This Row],[Planned_EndDate]]),0,
TODAY()&gt;=FactProgress[[#This Row],[Planned_EndDate]],1,
TODAY()&lt;FactProgress[[#This Row],[Planned_StartDate]],0,
E150="",0,
(TODAY()-FactProgress[[#This Row],[Planned_StartDate]])/(FactProgress[[#This Row],[Planned_EndDate]]-FactProgress[[#This Row],[Planned_StartDate]]))</f>
        <v>0</v>
      </c>
      <c r="L150" s="5">
        <v>0</v>
      </c>
      <c r="M150" s="5">
        <f>IFERROR(FactProgress[[#This Row],[Real_Cost]]/FactProgress[[#This Row],[Expected_Cost]],0)</f>
        <v>0</v>
      </c>
      <c r="N150" s="1" t="str" cm="1">
        <f t="array" aca="1" ref="N150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50" s="1" t="str" cm="1">
        <f t="array" ref="O150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50" s="9" t="str" cm="1">
        <f t="array" ref="P150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50" s="10">
        <v>4</v>
      </c>
      <c r="R150" s="10">
        <v>6</v>
      </c>
      <c r="S150" s="10" cm="1">
        <f t="array" aca="1" ref="S150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50" s="10">
        <f>(FactProgress[[#This Row],[Planned_EndDate]]-FactProgress[[#This Row],[Planned_StartDate]])+1</f>
        <v>15</v>
      </c>
      <c r="U150" s="10" cm="1">
        <f t="array" aca="1" ref="U150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50" s="10" cm="1">
        <f t="array" aca="1" ref="V150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51" spans="1:22" x14ac:dyDescent="0.35">
      <c r="A151" s="1">
        <v>150</v>
      </c>
      <c r="B151" s="1">
        <v>10</v>
      </c>
      <c r="C151" s="1">
        <v>15</v>
      </c>
      <c r="D151" s="1">
        <v>14</v>
      </c>
      <c r="E151" s="3">
        <v>46523</v>
      </c>
      <c r="F151" s="3">
        <v>46538</v>
      </c>
      <c r="G151" s="3"/>
      <c r="H151" s="3"/>
      <c r="I151" s="4">
        <v>12000</v>
      </c>
      <c r="J151" s="4">
        <v>0</v>
      </c>
      <c r="K151" s="5" cm="1">
        <f t="array" aca="1" ref="K151" ca="1">_xlfn.SWITCH(TRUE,
ISBLANK(FactProgress[[#This Row],[Planned_EndDate]]),0,
TODAY()&gt;=FactProgress[[#This Row],[Planned_EndDate]],1,
TODAY()&lt;FactProgress[[#This Row],[Planned_StartDate]],0,
E151="",0,
(TODAY()-FactProgress[[#This Row],[Planned_StartDate]])/(FactProgress[[#This Row],[Planned_EndDate]]-FactProgress[[#This Row],[Planned_StartDate]]))</f>
        <v>0</v>
      </c>
      <c r="L151" s="5">
        <v>0</v>
      </c>
      <c r="M151" s="5">
        <f>IFERROR(FactProgress[[#This Row],[Real_Cost]]/FactProgress[[#This Row],[Expected_Cost]],0)</f>
        <v>0</v>
      </c>
      <c r="N151" s="1" t="str" cm="1">
        <f t="array" aca="1" ref="N151" ca="1">_xlfn.SWITCH(TRUE,FactProgress[[#This Row],[Real Progress(%)]]=1,"Completado",AND(ISBLANK(FactProgress[[#This Row],[Real_EndDate]]),FactProgress[[#This Row],[Planned_EndDate]]&lt;TODAY()),"Crítico",FactProgress[[#This Row],[Real Progress(%)]]&lt;FactProgress[[#This Row],[Theoretical Progress(%)]]-0.1,"Retrasado","En Tiempo")</f>
        <v>En Tiempo</v>
      </c>
      <c r="O151" s="1" t="str" cm="1">
        <f t="array" ref="O151">_xlfn.SWITCH(TRUE,FactProgress[[#This Row],[Cost Progress(%)]]&gt;1.1,"Sobre costo crítico",FactProgress[[#This Row],[Cost Progress(%)]]&gt;1,"Sobre costo moderado",FactProgress[[#This Row],[Cost Progress(%)]]&gt;0.94,"En presupuesto",FactProgress[[#This Row],[Cost Progress(%)]]&gt;0,"Ahorro eficiente","Sin ejecutar")</f>
        <v>Sin ejecutar</v>
      </c>
      <c r="P151" s="9" t="str" cm="1">
        <f t="array" ref="P151">_xlfn.LET(_xlpm.X,IF(AND(FactProgress[[#This Row],[Expected_Cost]]&gt;0,FactProgress[[#This Row],[Real Progress(%)]]&gt;0),(FactProgress[[#This Row],[Real Progress(%)]]*FactProgress[[#This Row],[Expected_Cost]])/FactProgress[[#This Row],[Real_Cost]],0),_xlfn.SWITCH(TRUE,_xlpm.X=0,"Sin ejecutar",_xlpm.X&gt;=1.05,"Excelente",_xlpm.X&gt;1,"Bueno",_xlpm.X&gt;0.9,"Atención","Crítico"))</f>
        <v>Sin ejecutar</v>
      </c>
      <c r="Q151" s="10">
        <v>4</v>
      </c>
      <c r="R151" s="10">
        <v>6</v>
      </c>
      <c r="S151" s="10" cm="1">
        <f t="array" aca="1" ref="S151" ca="1">_xlfn.SWITCH(TRUE,FactProgress[[#This Row],[Planned_StartDate]]&gt;TODAY(),0,FactProgress[[#This Row],[Planned_EndDate]]&lt;TODAY(),FactProgress[[#This Row],[Planned_EndDate]]-FactProgress[[#This Row],[Planned_StartDate]]+1,TODAY()-FactProgress[[#This Row],[Planned_StartDate]])</f>
        <v>0</v>
      </c>
      <c r="T151" s="10">
        <f>(FactProgress[[#This Row],[Planned_EndDate]]-FactProgress[[#This Row],[Planned_StartDate]])+1</f>
        <v>16</v>
      </c>
      <c r="U151" s="10" cm="1">
        <f t="array" aca="1" ref="U151" ca="1">_xlfn.SWITCH(TRUE,FactProgress[[#This Row],[Real_StartDate]]="",0,AND(FactProgress[[#This Row],[Real_StartDate]]&lt;&gt;"",FactProgress[[#This Row],[Real_EndDate]]=""),TODAY()-FactProgress[[#This Row],[Real_StartDate]],AND(FactProgress[[#This Row],[Real_StartDate]]&lt;&gt;"",FactProgress[[#This Row],[Real_EndDate]]&lt;&gt;""),FactProgress[[#This Row],[Real_EndDate]]-FactProgress[[#This Row],[Real_StartDate]]+1)</f>
        <v>0</v>
      </c>
      <c r="V151" s="10" cm="1">
        <f t="array" aca="1" ref="V151" ca="1">_xlfn.SWITCH(TRUE,AND(FactProgress[[#This Row],[Real_StartDate]]="",FactProgress[[#This Row],[Real_EndDate]]=""),0,AND(FactProgress[[#This Row],[Real_StartDate]]&lt;&gt;"",FactProgress[[#This Row],[Real_EndDate]]=""),INT(ROUND(FactProgress[[#This Row],[Real Today]]/FactProgress[[#This Row],[Real Progress(%)]],0)),(FactProgress[[#This Row],[Real_EndDate]]-FactProgress[[#This Row],[Real_StartDate]])+1)</f>
        <v>0</v>
      </c>
    </row>
    <row r="158" spans="1:22" x14ac:dyDescent="0.35">
      <c r="J158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3D20-E2BB-4CD0-AA61-5875B4815452}">
  <dimension ref="A1:B8"/>
  <sheetViews>
    <sheetView workbookViewId="0">
      <selection activeCell="B3" sqref="B3"/>
    </sheetView>
  </sheetViews>
  <sheetFormatPr baseColWidth="10" defaultRowHeight="12.9" x14ac:dyDescent="0.35"/>
  <cols>
    <col min="1" max="1" width="7.08203125" bestFit="1" customWidth="1"/>
    <col min="2" max="2" width="13.4140625" bestFit="1" customWidth="1"/>
  </cols>
  <sheetData>
    <row r="1" spans="1:2" x14ac:dyDescent="0.35">
      <c r="A1" s="1" t="s">
        <v>87</v>
      </c>
      <c r="B1" s="1" t="s">
        <v>88</v>
      </c>
    </row>
    <row r="2" spans="1:2" x14ac:dyDescent="0.35">
      <c r="A2" s="1">
        <v>1</v>
      </c>
      <c r="B2" s="1" t="s">
        <v>89</v>
      </c>
    </row>
    <row r="3" spans="1:2" x14ac:dyDescent="0.35">
      <c r="A3" s="1">
        <v>2</v>
      </c>
      <c r="B3" s="1" t="s">
        <v>90</v>
      </c>
    </row>
    <row r="4" spans="1:2" x14ac:dyDescent="0.35">
      <c r="A4" s="1">
        <v>3</v>
      </c>
      <c r="B4" s="1" t="s">
        <v>91</v>
      </c>
    </row>
    <row r="5" spans="1:2" x14ac:dyDescent="0.35">
      <c r="A5" s="1">
        <v>4</v>
      </c>
      <c r="B5" s="1" t="s">
        <v>92</v>
      </c>
    </row>
    <row r="6" spans="1:2" x14ac:dyDescent="0.35">
      <c r="A6" s="1">
        <v>5</v>
      </c>
      <c r="B6" s="1" t="s">
        <v>93</v>
      </c>
    </row>
    <row r="7" spans="1:2" x14ac:dyDescent="0.35">
      <c r="A7" s="1">
        <v>6</v>
      </c>
      <c r="B7" s="1" t="s">
        <v>94</v>
      </c>
    </row>
    <row r="8" spans="1:2" x14ac:dyDescent="0.35">
      <c r="A8" s="1">
        <v>7</v>
      </c>
      <c r="B8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EBC4-6118-4B82-9EBC-77F5073D703C}">
  <dimension ref="A1:B31"/>
  <sheetViews>
    <sheetView workbookViewId="0">
      <selection activeCell="B2" sqref="B2"/>
    </sheetView>
  </sheetViews>
  <sheetFormatPr baseColWidth="10" defaultRowHeight="12.9" x14ac:dyDescent="0.35"/>
  <cols>
    <col min="1" max="1" width="9.4140625" bestFit="1" customWidth="1"/>
    <col min="2" max="2" width="14.5" bestFit="1" customWidth="1"/>
  </cols>
  <sheetData>
    <row r="1" spans="1:2" x14ac:dyDescent="0.35">
      <c r="A1" s="7" t="s">
        <v>55</v>
      </c>
      <c r="B1" s="7" t="s">
        <v>56</v>
      </c>
    </row>
    <row r="2" spans="1:2" x14ac:dyDescent="0.35">
      <c r="A2" s="7">
        <v>1</v>
      </c>
      <c r="B2" s="7" t="s">
        <v>57</v>
      </c>
    </row>
    <row r="3" spans="1:2" x14ac:dyDescent="0.35">
      <c r="A3" s="7">
        <v>2</v>
      </c>
      <c r="B3" s="7" t="s">
        <v>58</v>
      </c>
    </row>
    <row r="4" spans="1:2" x14ac:dyDescent="0.35">
      <c r="A4" s="7">
        <v>3</v>
      </c>
      <c r="B4" s="7" t="s">
        <v>59</v>
      </c>
    </row>
    <row r="5" spans="1:2" x14ac:dyDescent="0.35">
      <c r="A5" s="7">
        <v>4</v>
      </c>
      <c r="B5" s="7" t="s">
        <v>60</v>
      </c>
    </row>
    <row r="6" spans="1:2" x14ac:dyDescent="0.35">
      <c r="A6" s="7">
        <v>5</v>
      </c>
      <c r="B6" s="7" t="s">
        <v>61</v>
      </c>
    </row>
    <row r="7" spans="1:2" x14ac:dyDescent="0.35">
      <c r="A7" s="7">
        <v>6</v>
      </c>
      <c r="B7" s="7" t="s">
        <v>62</v>
      </c>
    </row>
    <row r="8" spans="1:2" x14ac:dyDescent="0.35">
      <c r="A8" s="7">
        <v>7</v>
      </c>
      <c r="B8" s="7" t="s">
        <v>63</v>
      </c>
    </row>
    <row r="9" spans="1:2" x14ac:dyDescent="0.35">
      <c r="A9" s="7">
        <v>8</v>
      </c>
      <c r="B9" s="7" t="s">
        <v>64</v>
      </c>
    </row>
    <row r="10" spans="1:2" x14ac:dyDescent="0.35">
      <c r="A10" s="7">
        <v>9</v>
      </c>
      <c r="B10" s="7" t="s">
        <v>65</v>
      </c>
    </row>
    <row r="11" spans="1:2" x14ac:dyDescent="0.35">
      <c r="A11" s="7">
        <v>10</v>
      </c>
      <c r="B11" s="7" t="s">
        <v>66</v>
      </c>
    </row>
    <row r="12" spans="1:2" x14ac:dyDescent="0.35">
      <c r="A12" s="7">
        <v>11</v>
      </c>
      <c r="B12" s="7" t="s">
        <v>67</v>
      </c>
    </row>
    <row r="13" spans="1:2" x14ac:dyDescent="0.35">
      <c r="A13" s="7">
        <v>12</v>
      </c>
      <c r="B13" s="7" t="s">
        <v>68</v>
      </c>
    </row>
    <row r="14" spans="1:2" x14ac:dyDescent="0.35">
      <c r="A14" s="7">
        <v>13</v>
      </c>
      <c r="B14" s="7" t="s">
        <v>69</v>
      </c>
    </row>
    <row r="15" spans="1:2" x14ac:dyDescent="0.35">
      <c r="A15" s="7">
        <v>14</v>
      </c>
      <c r="B15" s="7" t="s">
        <v>70</v>
      </c>
    </row>
    <row r="16" spans="1:2" x14ac:dyDescent="0.35">
      <c r="A16" s="7">
        <v>15</v>
      </c>
      <c r="B16" s="7" t="s">
        <v>71</v>
      </c>
    </row>
    <row r="17" spans="1:2" x14ac:dyDescent="0.35">
      <c r="A17" s="7">
        <v>16</v>
      </c>
      <c r="B17" s="7" t="s">
        <v>72</v>
      </c>
    </row>
    <row r="18" spans="1:2" x14ac:dyDescent="0.35">
      <c r="A18" s="7">
        <v>17</v>
      </c>
      <c r="B18" s="7" t="s">
        <v>73</v>
      </c>
    </row>
    <row r="19" spans="1:2" x14ac:dyDescent="0.35">
      <c r="A19" s="7">
        <v>18</v>
      </c>
      <c r="B19" s="7" t="s">
        <v>74</v>
      </c>
    </row>
    <row r="20" spans="1:2" x14ac:dyDescent="0.35">
      <c r="A20" s="7">
        <v>19</v>
      </c>
      <c r="B20" s="7" t="s">
        <v>75</v>
      </c>
    </row>
    <row r="21" spans="1:2" x14ac:dyDescent="0.35">
      <c r="A21" s="7">
        <v>20</v>
      </c>
      <c r="B21" s="7" t="s">
        <v>76</v>
      </c>
    </row>
    <row r="22" spans="1:2" x14ac:dyDescent="0.35">
      <c r="A22" s="7">
        <v>21</v>
      </c>
      <c r="B22" s="7" t="s">
        <v>77</v>
      </c>
    </row>
    <row r="23" spans="1:2" x14ac:dyDescent="0.35">
      <c r="A23" s="7">
        <v>22</v>
      </c>
      <c r="B23" s="7" t="s">
        <v>78</v>
      </c>
    </row>
    <row r="24" spans="1:2" x14ac:dyDescent="0.35">
      <c r="A24" s="7">
        <v>23</v>
      </c>
      <c r="B24" s="7" t="s">
        <v>79</v>
      </c>
    </row>
    <row r="25" spans="1:2" x14ac:dyDescent="0.35">
      <c r="A25" s="7">
        <v>24</v>
      </c>
      <c r="B25" s="7" t="s">
        <v>80</v>
      </c>
    </row>
    <row r="26" spans="1:2" x14ac:dyDescent="0.35">
      <c r="A26" s="7">
        <v>25</v>
      </c>
      <c r="B26" s="7" t="s">
        <v>81</v>
      </c>
    </row>
    <row r="27" spans="1:2" x14ac:dyDescent="0.35">
      <c r="A27" s="7">
        <v>26</v>
      </c>
      <c r="B27" s="7" t="s">
        <v>82</v>
      </c>
    </row>
    <row r="28" spans="1:2" x14ac:dyDescent="0.35">
      <c r="A28" s="7">
        <v>27</v>
      </c>
      <c r="B28" s="7" t="s">
        <v>83</v>
      </c>
    </row>
    <row r="29" spans="1:2" x14ac:dyDescent="0.35">
      <c r="A29" s="7">
        <v>28</v>
      </c>
      <c r="B29" s="7" t="s">
        <v>84</v>
      </c>
    </row>
    <row r="30" spans="1:2" x14ac:dyDescent="0.35">
      <c r="A30" s="7">
        <v>29</v>
      </c>
      <c r="B30" s="7" t="s">
        <v>85</v>
      </c>
    </row>
    <row r="31" spans="1:2" x14ac:dyDescent="0.35">
      <c r="A31" s="7">
        <v>30</v>
      </c>
      <c r="B31" s="7" t="s">
        <v>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26D2-5FBC-4E38-BD95-52F5648F6FF3}">
  <sheetPr>
    <tabColor rgb="FFFF0000"/>
  </sheetPr>
  <dimension ref="A1:R39"/>
  <sheetViews>
    <sheetView showGridLines="0" tabSelected="1" zoomScaleNormal="100" workbookViewId="0"/>
  </sheetViews>
  <sheetFormatPr baseColWidth="10" defaultColWidth="0" defaultRowHeight="12.9" zeroHeight="1" x14ac:dyDescent="0.35"/>
  <cols>
    <col min="1" max="2" width="15.58203125" customWidth="1"/>
    <col min="3" max="3" width="19.83203125" bestFit="1" customWidth="1"/>
    <col min="4" max="4" width="15.75" customWidth="1"/>
    <col min="5" max="5" width="13.9140625" customWidth="1"/>
    <col min="6" max="6" width="12" bestFit="1" customWidth="1"/>
    <col min="7" max="7" width="15.1640625" bestFit="1" customWidth="1"/>
    <col min="8" max="8" width="6.25" bestFit="1" customWidth="1"/>
    <col min="9" max="9" width="13.6640625" bestFit="1" customWidth="1"/>
    <col min="10" max="10" width="5.4140625" bestFit="1" customWidth="1"/>
    <col min="11" max="11" width="13.08203125" bestFit="1" customWidth="1"/>
    <col min="12" max="12" width="11.4140625" bestFit="1" customWidth="1"/>
    <col min="13" max="13" width="8.9140625" bestFit="1" customWidth="1"/>
    <col min="14" max="14" width="13.4140625" bestFit="1" customWidth="1"/>
    <col min="15" max="15" width="15.58203125" customWidth="1"/>
    <col min="16" max="16" width="7.75" customWidth="1"/>
    <col min="17" max="17" width="5.4140625" customWidth="1"/>
    <col min="18" max="18" width="4.9140625" customWidth="1"/>
    <col min="19" max="16384" width="10.6640625" hidden="1"/>
  </cols>
  <sheetData>
    <row r="1" spans="1:18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8" x14ac:dyDescent="0.35">
      <c r="A2" s="2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3"/>
      <c r="R2" s="13"/>
    </row>
    <row r="3" spans="1:18" x14ac:dyDescent="0.35">
      <c r="A3" s="2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23"/>
      <c r="R3" s="14"/>
    </row>
    <row r="4" spans="1:18" x14ac:dyDescent="0.35">
      <c r="A4" s="2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23"/>
      <c r="R4" s="15"/>
    </row>
    <row r="5" spans="1:18" x14ac:dyDescent="0.35">
      <c r="A5" s="22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3"/>
      <c r="R5" s="16"/>
    </row>
    <row r="6" spans="1:18" x14ac:dyDescent="0.35">
      <c r="A6" s="2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23"/>
      <c r="R6" s="17"/>
    </row>
    <row r="7" spans="1:18" x14ac:dyDescent="0.35">
      <c r="A7" s="2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23"/>
      <c r="R7" s="18"/>
    </row>
    <row r="8" spans="1:18" x14ac:dyDescent="0.35">
      <c r="A8" s="2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3"/>
      <c r="R8" s="36"/>
    </row>
    <row r="9" spans="1:18" x14ac:dyDescent="0.35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3"/>
      <c r="R9" s="27"/>
    </row>
    <row r="10" spans="1:18" x14ac:dyDescent="0.35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3"/>
      <c r="R10" s="37"/>
    </row>
    <row r="11" spans="1:18" x14ac:dyDescent="0.35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3"/>
    </row>
    <row r="12" spans="1:18" x14ac:dyDescent="0.35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3"/>
    </row>
    <row r="13" spans="1:18" x14ac:dyDescent="0.35">
      <c r="A13" s="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</row>
    <row r="14" spans="1:18" x14ac:dyDescent="0.35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3"/>
    </row>
    <row r="15" spans="1:18" x14ac:dyDescent="0.35">
      <c r="A15" s="2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3"/>
    </row>
    <row r="16" spans="1:18" x14ac:dyDescent="0.35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3"/>
    </row>
    <row r="17" spans="1:16" x14ac:dyDescent="0.35">
      <c r="A17" s="2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3"/>
    </row>
    <row r="18" spans="1:16" x14ac:dyDescent="0.35">
      <c r="A18" s="2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</row>
    <row r="19" spans="1:16" x14ac:dyDescent="0.35">
      <c r="A19" s="2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3"/>
    </row>
    <row r="20" spans="1:16" x14ac:dyDescent="0.35">
      <c r="A20" s="2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3"/>
    </row>
    <row r="21" spans="1:16" x14ac:dyDescent="0.35">
      <c r="A21" s="2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3"/>
    </row>
    <row r="22" spans="1:16" x14ac:dyDescent="0.35">
      <c r="A22" s="2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3"/>
    </row>
    <row r="23" spans="1:16" x14ac:dyDescent="0.35">
      <c r="A23" s="2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3"/>
    </row>
    <row r="24" spans="1:16" x14ac:dyDescent="0.35">
      <c r="A24" s="2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3"/>
    </row>
    <row r="25" spans="1:16" x14ac:dyDescent="0.35">
      <c r="A25" s="2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3"/>
    </row>
    <row r="26" spans="1:16" x14ac:dyDescent="0.35">
      <c r="A26" s="2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3"/>
    </row>
    <row r="27" spans="1:16" x14ac:dyDescent="0.35">
      <c r="A27" s="22"/>
      <c r="B27" s="18"/>
      <c r="C27" s="28" t="s">
        <v>120</v>
      </c>
      <c r="D27" s="28" t="s">
        <v>121</v>
      </c>
      <c r="E27" s="28" t="s">
        <v>122</v>
      </c>
      <c r="F27" s="28" t="s">
        <v>98</v>
      </c>
      <c r="G27" s="28" t="s">
        <v>99</v>
      </c>
      <c r="H27" s="28" t="s">
        <v>119</v>
      </c>
      <c r="I27" s="28" t="s">
        <v>100</v>
      </c>
      <c r="J27" s="28" t="s">
        <v>117</v>
      </c>
      <c r="K27" s="28" t="s">
        <v>123</v>
      </c>
      <c r="L27" s="28" t="s">
        <v>97</v>
      </c>
      <c r="M27" s="28" t="s">
        <v>118</v>
      </c>
      <c r="N27" s="28" t="s">
        <v>131</v>
      </c>
      <c r="O27" s="18"/>
      <c r="P27" s="23"/>
    </row>
    <row r="28" spans="1:16" x14ac:dyDescent="0.35">
      <c r="A28" s="22"/>
      <c r="B28" s="18"/>
      <c r="C28" s="45" t="s">
        <v>0</v>
      </c>
      <c r="D28" s="46">
        <v>4110000</v>
      </c>
      <c r="E28" s="46">
        <v>4212500</v>
      </c>
      <c r="F28" s="47">
        <v>1.0249391727493917</v>
      </c>
      <c r="G28" s="48" t="s">
        <v>116</v>
      </c>
      <c r="H28" s="49">
        <v>-1</v>
      </c>
      <c r="I28" s="50" t="s">
        <v>114</v>
      </c>
      <c r="J28" s="49">
        <v>0</v>
      </c>
      <c r="K28" s="47">
        <v>0.98399999999999999</v>
      </c>
      <c r="L28" s="51" t="s">
        <v>107</v>
      </c>
      <c r="M28" s="49">
        <v>-1</v>
      </c>
      <c r="N28" s="48" t="s">
        <v>91</v>
      </c>
      <c r="O28" s="18"/>
      <c r="P28" s="23"/>
    </row>
    <row r="29" spans="1:16" x14ac:dyDescent="0.35">
      <c r="A29" s="22"/>
      <c r="B29" s="18"/>
      <c r="C29" s="45" t="s">
        <v>3</v>
      </c>
      <c r="D29" s="46">
        <v>5570000</v>
      </c>
      <c r="E29" s="46">
        <v>2482000</v>
      </c>
      <c r="F29" s="47">
        <v>0.44560143626570914</v>
      </c>
      <c r="G29" s="48" t="s">
        <v>110</v>
      </c>
      <c r="H29" s="49">
        <v>1</v>
      </c>
      <c r="I29" s="50" t="s">
        <v>112</v>
      </c>
      <c r="J29" s="49">
        <v>1</v>
      </c>
      <c r="K29" s="47">
        <v>0.89823008849557517</v>
      </c>
      <c r="L29" s="51" t="s">
        <v>108</v>
      </c>
      <c r="M29" s="49">
        <v>0</v>
      </c>
      <c r="N29" s="48" t="s">
        <v>89</v>
      </c>
      <c r="O29" s="18"/>
      <c r="P29" s="23"/>
    </row>
    <row r="30" spans="1:16" x14ac:dyDescent="0.35">
      <c r="A30" s="22"/>
      <c r="B30" s="18"/>
      <c r="C30" s="45" t="s">
        <v>37</v>
      </c>
      <c r="D30" s="46">
        <v>4267000</v>
      </c>
      <c r="E30" s="46">
        <v>3358000</v>
      </c>
      <c r="F30" s="47">
        <v>0.78696976798687601</v>
      </c>
      <c r="G30" s="48" t="s">
        <v>110</v>
      </c>
      <c r="H30" s="49">
        <v>1</v>
      </c>
      <c r="I30" s="50" t="s">
        <v>113</v>
      </c>
      <c r="J30" s="49">
        <v>1</v>
      </c>
      <c r="K30" s="47">
        <v>0.79864253393665163</v>
      </c>
      <c r="L30" s="51" t="s">
        <v>109</v>
      </c>
      <c r="M30" s="49">
        <v>0</v>
      </c>
      <c r="N30" s="48" t="s">
        <v>93</v>
      </c>
      <c r="O30" s="18"/>
      <c r="P30" s="23"/>
    </row>
    <row r="31" spans="1:16" x14ac:dyDescent="0.35">
      <c r="A31" s="22"/>
      <c r="B31" s="18"/>
      <c r="C31" s="45" t="s">
        <v>44</v>
      </c>
      <c r="D31" s="46">
        <v>5060000</v>
      </c>
      <c r="E31" s="46">
        <v>4773000</v>
      </c>
      <c r="F31" s="47">
        <v>0.94328063241106719</v>
      </c>
      <c r="G31" s="48" t="s">
        <v>115</v>
      </c>
      <c r="H31" s="49">
        <v>0</v>
      </c>
      <c r="I31" s="50" t="s">
        <v>107</v>
      </c>
      <c r="J31" s="49">
        <v>-1</v>
      </c>
      <c r="K31" s="47">
        <v>0.67950481430536447</v>
      </c>
      <c r="L31" s="51" t="s">
        <v>109</v>
      </c>
      <c r="M31" s="49">
        <v>0</v>
      </c>
      <c r="N31" s="48" t="s">
        <v>90</v>
      </c>
      <c r="O31" s="18"/>
      <c r="P31" s="23"/>
    </row>
    <row r="32" spans="1:16" x14ac:dyDescent="0.35">
      <c r="A32" s="22"/>
      <c r="B32" s="18"/>
      <c r="C32" s="45" t="s">
        <v>39</v>
      </c>
      <c r="D32" s="46">
        <v>4950000</v>
      </c>
      <c r="E32" s="46">
        <v>890000</v>
      </c>
      <c r="F32" s="47">
        <v>0.17979797979797979</v>
      </c>
      <c r="G32" s="48" t="s">
        <v>110</v>
      </c>
      <c r="H32" s="49">
        <v>1</v>
      </c>
      <c r="I32" s="50" t="s">
        <v>112</v>
      </c>
      <c r="J32" s="49">
        <v>1</v>
      </c>
      <c r="K32" s="47">
        <v>0.54893617021276597</v>
      </c>
      <c r="L32" s="51" t="s">
        <v>108</v>
      </c>
      <c r="M32" s="49">
        <v>0</v>
      </c>
      <c r="N32" s="48" t="s">
        <v>94</v>
      </c>
      <c r="O32" s="18"/>
      <c r="P32" s="23"/>
    </row>
    <row r="33" spans="1:16" x14ac:dyDescent="0.35">
      <c r="A33" s="22"/>
      <c r="B33" s="18"/>
      <c r="C33" s="45" t="s">
        <v>46</v>
      </c>
      <c r="D33" s="46">
        <v>7482000</v>
      </c>
      <c r="E33" s="46">
        <v>5984000</v>
      </c>
      <c r="F33" s="47">
        <v>0.79978615343491044</v>
      </c>
      <c r="G33" s="48" t="s">
        <v>110</v>
      </c>
      <c r="H33" s="49">
        <v>1</v>
      </c>
      <c r="I33" s="50" t="s">
        <v>107</v>
      </c>
      <c r="J33" s="49">
        <v>-1</v>
      </c>
      <c r="K33" s="47">
        <v>0.53296703296703296</v>
      </c>
      <c r="L33" s="51" t="s">
        <v>109</v>
      </c>
      <c r="M33" s="49">
        <v>0</v>
      </c>
      <c r="N33" s="48" t="s">
        <v>93</v>
      </c>
      <c r="O33" s="18"/>
      <c r="P33" s="23"/>
    </row>
    <row r="34" spans="1:16" x14ac:dyDescent="0.35">
      <c r="A34" s="22"/>
      <c r="B34" s="18"/>
      <c r="C34" s="45" t="s">
        <v>6</v>
      </c>
      <c r="D34" s="46">
        <v>7930000</v>
      </c>
      <c r="E34" s="46">
        <v>155000</v>
      </c>
      <c r="F34" s="47">
        <v>1.9546027742749054E-2</v>
      </c>
      <c r="G34" s="48" t="s">
        <v>110</v>
      </c>
      <c r="H34" s="49">
        <v>1</v>
      </c>
      <c r="I34" s="50" t="s">
        <v>112</v>
      </c>
      <c r="J34" s="49">
        <v>1</v>
      </c>
      <c r="K34" s="47">
        <v>0.36619718309859156</v>
      </c>
      <c r="L34" s="51" t="s">
        <v>108</v>
      </c>
      <c r="M34" s="49">
        <v>0</v>
      </c>
      <c r="N34" s="48" t="s">
        <v>90</v>
      </c>
      <c r="O34" s="18"/>
      <c r="P34" s="23"/>
    </row>
    <row r="35" spans="1:16" x14ac:dyDescent="0.35">
      <c r="A35" s="22"/>
      <c r="B35" s="18"/>
      <c r="C35" s="45" t="s">
        <v>42</v>
      </c>
      <c r="D35" s="46">
        <v>3401000</v>
      </c>
      <c r="E35" s="46">
        <v>292000</v>
      </c>
      <c r="F35" s="47">
        <v>8.5857100852690382E-2</v>
      </c>
      <c r="G35" s="48" t="s">
        <v>110</v>
      </c>
      <c r="H35" s="49">
        <v>1</v>
      </c>
      <c r="I35" s="50" t="s">
        <v>112</v>
      </c>
      <c r="J35" s="49">
        <v>1</v>
      </c>
      <c r="K35" s="47">
        <v>0.13162705667276051</v>
      </c>
      <c r="L35" s="51" t="s">
        <v>108</v>
      </c>
      <c r="M35" s="49">
        <v>0</v>
      </c>
      <c r="N35" s="48" t="s">
        <v>95</v>
      </c>
      <c r="O35" s="18"/>
      <c r="P35" s="23"/>
    </row>
    <row r="36" spans="1:16" x14ac:dyDescent="0.35">
      <c r="A36" s="22"/>
      <c r="B36" s="18"/>
      <c r="C36" s="45" t="s">
        <v>49</v>
      </c>
      <c r="D36" s="46">
        <v>2427000</v>
      </c>
      <c r="E36" s="46">
        <v>0</v>
      </c>
      <c r="F36" s="47">
        <v>0</v>
      </c>
      <c r="G36" s="48" t="s">
        <v>111</v>
      </c>
      <c r="H36" s="49">
        <v>1</v>
      </c>
      <c r="I36" s="50" t="s">
        <v>111</v>
      </c>
      <c r="J36" s="49">
        <v>1</v>
      </c>
      <c r="K36" s="47">
        <v>0</v>
      </c>
      <c r="L36" s="51" t="s">
        <v>108</v>
      </c>
      <c r="M36" s="49">
        <v>0</v>
      </c>
      <c r="N36" s="48" t="s">
        <v>94</v>
      </c>
      <c r="O36" s="18"/>
      <c r="P36" s="23"/>
    </row>
    <row r="37" spans="1:16" x14ac:dyDescent="0.35">
      <c r="A37" s="22"/>
      <c r="B37" s="18"/>
      <c r="C37" s="45" t="s">
        <v>34</v>
      </c>
      <c r="D37" s="46">
        <v>6036000</v>
      </c>
      <c r="E37" s="46">
        <v>0</v>
      </c>
      <c r="F37" s="47">
        <v>0</v>
      </c>
      <c r="G37" s="48" t="s">
        <v>111</v>
      </c>
      <c r="H37" s="49">
        <v>1</v>
      </c>
      <c r="I37" s="50" t="s">
        <v>111</v>
      </c>
      <c r="J37" s="49">
        <v>1</v>
      </c>
      <c r="K37" s="47">
        <v>0</v>
      </c>
      <c r="L37" s="51" t="s">
        <v>108</v>
      </c>
      <c r="M37" s="49">
        <v>0</v>
      </c>
      <c r="N37" s="48" t="s">
        <v>92</v>
      </c>
      <c r="O37" s="18"/>
      <c r="P37" s="23"/>
    </row>
    <row r="38" spans="1:16" x14ac:dyDescent="0.35">
      <c r="A38" s="2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3"/>
    </row>
    <row r="39" spans="1:16" x14ac:dyDescent="0.3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6"/>
    </row>
  </sheetData>
  <conditionalFormatting pivot="1" sqref="H28:H37">
    <cfRule type="iconSet" priority="9">
      <iconSet showValue="0">
        <cfvo type="num" val="-1"/>
        <cfvo type="num" val="-0.5"/>
        <cfvo type="num" val="0.5"/>
      </iconSet>
    </cfRule>
  </conditionalFormatting>
  <conditionalFormatting pivot="1" sqref="M28:M37">
    <cfRule type="iconSet" priority="7">
      <iconSet showValue="0">
        <cfvo type="num" val="-1"/>
        <cfvo type="num" val="-0.5"/>
        <cfvo type="num" val="0.5"/>
      </iconSet>
    </cfRule>
  </conditionalFormatting>
  <conditionalFormatting pivot="1" sqref="J28:J37">
    <cfRule type="iconSet" priority="6">
      <iconSet showValue="0">
        <cfvo type="num" val="-1"/>
        <cfvo type="num" val="-0.5"/>
        <cfvo type="num" val="0.5"/>
      </iconSet>
    </cfRule>
  </conditionalFormatting>
  <conditionalFormatting pivot="1" sqref="H28:H37">
    <cfRule type="iconSet" priority="5">
      <iconSet showValue="0">
        <cfvo type="num" val="-1"/>
        <cfvo type="num" val="-0.5"/>
        <cfvo type="num" val="0.5"/>
      </iconSet>
    </cfRule>
  </conditionalFormatting>
  <conditionalFormatting pivot="1" sqref="H28:H37">
    <cfRule type="iconSet" priority="4">
      <iconSet showValue="0">
        <cfvo type="num" val="-1"/>
        <cfvo type="num" val="-0.5"/>
        <cfvo type="num" val="0.5"/>
      </iconSet>
    </cfRule>
  </conditionalFormatting>
  <conditionalFormatting pivot="1" sqref="H28:H37">
    <cfRule type="iconSet" priority="3">
      <iconSet showValue="0">
        <cfvo type="num" val="-1"/>
        <cfvo type="num" val="-0.5"/>
        <cfvo type="num" val="0.5"/>
      </iconSet>
    </cfRule>
  </conditionalFormatting>
  <conditionalFormatting pivot="1" sqref="J28:J37">
    <cfRule type="iconSet" priority="2">
      <iconSet showValue="0">
        <cfvo type="num" val="-1"/>
        <cfvo type="num" val="-0.5"/>
        <cfvo type="num" val="0.5"/>
      </iconSet>
    </cfRule>
  </conditionalFormatting>
  <conditionalFormatting pivot="1" sqref="J28:J37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5880-1ADE-47DC-94A5-2A0D0C5B49B4}">
  <sheetPr>
    <tabColor rgb="FFFF0000"/>
  </sheetPr>
  <dimension ref="A1:R45"/>
  <sheetViews>
    <sheetView showGridLines="0" zoomScaleNormal="100" workbookViewId="0"/>
  </sheetViews>
  <sheetFormatPr baseColWidth="10" defaultColWidth="0" defaultRowHeight="12.9" zeroHeight="1" x14ac:dyDescent="0.35"/>
  <cols>
    <col min="1" max="2" width="15.58203125" customWidth="1"/>
    <col min="3" max="3" width="19.83203125" bestFit="1" customWidth="1"/>
    <col min="4" max="4" width="15.75" customWidth="1"/>
    <col min="5" max="5" width="13.9140625" customWidth="1"/>
    <col min="6" max="6" width="12" bestFit="1" customWidth="1"/>
    <col min="7" max="7" width="16" bestFit="1" customWidth="1"/>
    <col min="8" max="8" width="6.25" bestFit="1" customWidth="1"/>
    <col min="9" max="9" width="13.75" bestFit="1" customWidth="1"/>
    <col min="10" max="10" width="7.4140625" bestFit="1" customWidth="1"/>
    <col min="11" max="11" width="13.08203125" bestFit="1" customWidth="1"/>
    <col min="12" max="12" width="11.4140625" bestFit="1" customWidth="1"/>
    <col min="13" max="13" width="8.9140625" bestFit="1" customWidth="1"/>
    <col min="14" max="14" width="13.4140625" bestFit="1" customWidth="1"/>
    <col min="15" max="15" width="15.58203125" customWidth="1"/>
    <col min="16" max="16" width="7.75" customWidth="1"/>
    <col min="17" max="17" width="5.4140625" customWidth="1"/>
    <col min="18" max="18" width="5.1640625" customWidth="1"/>
    <col min="19" max="16384" width="10.6640625" hidden="1"/>
  </cols>
  <sheetData>
    <row r="1" spans="1:18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8" x14ac:dyDescent="0.35">
      <c r="A2" s="2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3"/>
      <c r="R2" s="13"/>
    </row>
    <row r="3" spans="1:18" x14ac:dyDescent="0.35">
      <c r="A3" s="2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23"/>
      <c r="R3" s="14"/>
    </row>
    <row r="4" spans="1:18" x14ac:dyDescent="0.35">
      <c r="A4" s="2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23"/>
      <c r="R4" s="15"/>
    </row>
    <row r="5" spans="1:18" x14ac:dyDescent="0.35">
      <c r="A5" s="22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3"/>
      <c r="R5" s="16"/>
    </row>
    <row r="6" spans="1:18" x14ac:dyDescent="0.35">
      <c r="A6" s="2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23"/>
      <c r="R6" s="17"/>
    </row>
    <row r="7" spans="1:18" x14ac:dyDescent="0.35">
      <c r="A7" s="2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23"/>
      <c r="R7" s="18"/>
    </row>
    <row r="8" spans="1:18" x14ac:dyDescent="0.35">
      <c r="A8" s="2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3"/>
      <c r="R8" s="36"/>
    </row>
    <row r="9" spans="1:18" x14ac:dyDescent="0.35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3"/>
      <c r="R9" s="27"/>
    </row>
    <row r="10" spans="1:18" x14ac:dyDescent="0.35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3"/>
      <c r="R10" s="37"/>
    </row>
    <row r="11" spans="1:18" x14ac:dyDescent="0.35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3"/>
    </row>
    <row r="12" spans="1:18" x14ac:dyDescent="0.35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3"/>
    </row>
    <row r="13" spans="1:18" x14ac:dyDescent="0.35">
      <c r="A13" s="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</row>
    <row r="14" spans="1:18" x14ac:dyDescent="0.35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3"/>
    </row>
    <row r="15" spans="1:18" x14ac:dyDescent="0.35">
      <c r="A15" s="2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3"/>
    </row>
    <row r="16" spans="1:18" x14ac:dyDescent="0.35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3"/>
    </row>
    <row r="17" spans="1:16" x14ac:dyDescent="0.35">
      <c r="A17" s="2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3"/>
    </row>
    <row r="18" spans="1:16" x14ac:dyDescent="0.35">
      <c r="A18" s="2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</row>
    <row r="19" spans="1:16" x14ac:dyDescent="0.35">
      <c r="A19" s="2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3"/>
    </row>
    <row r="20" spans="1:16" x14ac:dyDescent="0.35">
      <c r="A20" s="2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3"/>
    </row>
    <row r="21" spans="1:16" x14ac:dyDescent="0.35">
      <c r="A21" s="2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3"/>
    </row>
    <row r="22" spans="1:16" x14ac:dyDescent="0.35">
      <c r="A22" s="2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3"/>
    </row>
    <row r="23" spans="1:16" x14ac:dyDescent="0.35">
      <c r="A23" s="2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3"/>
    </row>
    <row r="24" spans="1:16" x14ac:dyDescent="0.35">
      <c r="A24" s="2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3"/>
    </row>
    <row r="25" spans="1:16" x14ac:dyDescent="0.35">
      <c r="A25" s="2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3"/>
    </row>
    <row r="26" spans="1:16" x14ac:dyDescent="0.35">
      <c r="A26" s="2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3"/>
    </row>
    <row r="27" spans="1:16" x14ac:dyDescent="0.35">
      <c r="A27" s="2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3"/>
    </row>
    <row r="28" spans="1:16" x14ac:dyDescent="0.35">
      <c r="A28" s="2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3"/>
    </row>
    <row r="29" spans="1:16" x14ac:dyDescent="0.35">
      <c r="A29" s="22"/>
      <c r="B29" s="18"/>
      <c r="C29" s="55" t="s">
        <v>24</v>
      </c>
      <c r="D29" s="55" t="s">
        <v>139</v>
      </c>
      <c r="E29" s="55" t="s">
        <v>140</v>
      </c>
      <c r="F29" s="55" t="s">
        <v>141</v>
      </c>
      <c r="G29" s="55" t="s">
        <v>100</v>
      </c>
      <c r="H29" s="18"/>
      <c r="I29" s="18"/>
      <c r="J29" s="18"/>
      <c r="K29" s="18"/>
      <c r="L29" s="18"/>
      <c r="M29" s="18"/>
      <c r="N29" s="18"/>
      <c r="O29" s="18"/>
      <c r="P29" s="23"/>
    </row>
    <row r="30" spans="1:16" x14ac:dyDescent="0.35">
      <c r="A30" s="22"/>
      <c r="B30" s="18"/>
      <c r="C30" s="54" t="s">
        <v>142</v>
      </c>
      <c r="D30" s="54" t="s">
        <v>147</v>
      </c>
      <c r="E30" s="52">
        <v>0.246</v>
      </c>
      <c r="F30" s="52">
        <v>0.88311688311688308</v>
      </c>
      <c r="G30" s="53">
        <v>1.0594375632936044</v>
      </c>
      <c r="H30" s="18"/>
      <c r="I30" s="18"/>
      <c r="J30" s="18"/>
      <c r="K30" s="18"/>
      <c r="L30" s="18"/>
      <c r="M30" s="18"/>
      <c r="N30" s="18"/>
      <c r="O30" s="18"/>
      <c r="P30" s="23"/>
    </row>
    <row r="31" spans="1:16" x14ac:dyDescent="0.35">
      <c r="A31" s="22"/>
      <c r="B31" s="18"/>
      <c r="C31" s="54" t="s">
        <v>142</v>
      </c>
      <c r="D31" s="54" t="s">
        <v>148</v>
      </c>
      <c r="E31" s="52">
        <v>0.2</v>
      </c>
      <c r="F31" s="52">
        <v>0.83439490445859876</v>
      </c>
      <c r="G31" s="53">
        <v>0.98985251023225407</v>
      </c>
      <c r="H31" s="18"/>
      <c r="I31" s="18"/>
      <c r="J31" s="18"/>
      <c r="K31" s="18"/>
      <c r="L31" s="18"/>
      <c r="M31" s="18"/>
      <c r="N31" s="18"/>
      <c r="O31" s="18"/>
      <c r="P31" s="23"/>
    </row>
    <row r="32" spans="1:16" x14ac:dyDescent="0.35">
      <c r="A32" s="22"/>
      <c r="B32" s="18"/>
      <c r="C32" s="54" t="s">
        <v>143</v>
      </c>
      <c r="D32" s="54" t="s">
        <v>149</v>
      </c>
      <c r="E32" s="52">
        <v>0.3816046966731898</v>
      </c>
      <c r="F32" s="52">
        <v>0.6996699669966997</v>
      </c>
      <c r="G32" s="53">
        <v>0.91948965011443673</v>
      </c>
      <c r="H32" s="18"/>
      <c r="I32" s="18"/>
      <c r="J32" s="18"/>
      <c r="K32" s="18"/>
      <c r="L32" s="18"/>
      <c r="M32" s="18"/>
      <c r="N32" s="18"/>
      <c r="O32" s="18"/>
      <c r="P32" s="23"/>
    </row>
    <row r="33" spans="1:16" x14ac:dyDescent="0.35">
      <c r="A33" s="22"/>
      <c r="B33" s="18"/>
      <c r="C33" s="54" t="s">
        <v>143</v>
      </c>
      <c r="D33" s="54" t="s">
        <v>150</v>
      </c>
      <c r="E33" s="52">
        <v>0.52611940298507465</v>
      </c>
      <c r="F33" s="52">
        <v>0.34719101123595508</v>
      </c>
      <c r="G33" s="53">
        <v>0.57814186011978419</v>
      </c>
      <c r="H33" s="18"/>
      <c r="I33" s="18"/>
      <c r="J33" s="18"/>
      <c r="K33" s="18"/>
      <c r="L33" s="18"/>
      <c r="M33" s="18"/>
      <c r="N33" s="18"/>
      <c r="O33" s="18"/>
      <c r="P33" s="23"/>
    </row>
    <row r="34" spans="1:16" x14ac:dyDescent="0.35">
      <c r="A34" s="22"/>
      <c r="B34" s="18"/>
      <c r="C34" s="54" t="s">
        <v>143</v>
      </c>
      <c r="D34" s="54" t="s">
        <v>151</v>
      </c>
      <c r="E34" s="52">
        <v>0.69680851063829785</v>
      </c>
      <c r="F34" s="52">
        <v>0.94933333333333336</v>
      </c>
      <c r="G34" s="53">
        <v>1.941194605009634</v>
      </c>
      <c r="H34" s="18"/>
      <c r="I34" s="18"/>
      <c r="J34" s="18"/>
      <c r="K34" s="18"/>
      <c r="L34" s="18"/>
      <c r="M34" s="18"/>
      <c r="N34" s="18"/>
      <c r="O34" s="18"/>
      <c r="P34" s="23"/>
    </row>
    <row r="35" spans="1:16" x14ac:dyDescent="0.35">
      <c r="A35" s="22"/>
      <c r="B35" s="18"/>
      <c r="C35" s="54" t="s">
        <v>143</v>
      </c>
      <c r="D35" s="54" t="s">
        <v>152</v>
      </c>
      <c r="E35" s="52">
        <v>0.23791102514506771</v>
      </c>
      <c r="F35" s="52">
        <v>1</v>
      </c>
      <c r="G35" s="53">
        <v>2.3439716312056738</v>
      </c>
      <c r="H35" s="18"/>
      <c r="I35" s="18"/>
      <c r="J35" s="18"/>
      <c r="K35" s="18"/>
      <c r="L35" s="18"/>
      <c r="M35" s="18"/>
      <c r="N35" s="18"/>
      <c r="O35" s="18"/>
      <c r="P35" s="23"/>
    </row>
    <row r="36" spans="1:16" x14ac:dyDescent="0.35">
      <c r="A36" s="22"/>
      <c r="B36" s="18"/>
      <c r="C36" s="54" t="s">
        <v>144</v>
      </c>
      <c r="D36" s="54" t="s">
        <v>153</v>
      </c>
      <c r="E36" s="52">
        <v>0.41651031894934332</v>
      </c>
      <c r="F36" s="52">
        <v>0.98039215686274506</v>
      </c>
      <c r="G36" s="53">
        <v>1.5503875968992247</v>
      </c>
      <c r="H36" s="18"/>
      <c r="I36" s="18"/>
      <c r="J36" s="18"/>
      <c r="K36" s="18"/>
      <c r="L36" s="18"/>
      <c r="M36" s="18"/>
      <c r="N36" s="18"/>
      <c r="O36" s="18"/>
      <c r="P36" s="23"/>
    </row>
    <row r="37" spans="1:16" x14ac:dyDescent="0.35">
      <c r="A37" s="22"/>
      <c r="B37" s="18"/>
      <c r="C37" s="54" t="s">
        <v>144</v>
      </c>
      <c r="D37" s="54" t="s">
        <v>154</v>
      </c>
      <c r="E37" s="52">
        <v>0.23856858846918488</v>
      </c>
      <c r="F37" s="52">
        <v>0.88800000000000001</v>
      </c>
      <c r="G37" s="53">
        <v>2.4199694656488551</v>
      </c>
      <c r="H37" s="18"/>
      <c r="I37" s="18"/>
      <c r="J37" s="18"/>
      <c r="K37" s="18"/>
      <c r="L37" s="18"/>
      <c r="M37" s="18"/>
      <c r="N37" s="18"/>
      <c r="O37" s="18"/>
      <c r="P37" s="23"/>
    </row>
    <row r="38" spans="1:16" x14ac:dyDescent="0.35">
      <c r="A38" s="22"/>
      <c r="B38" s="18"/>
      <c r="C38" s="54" t="s">
        <v>144</v>
      </c>
      <c r="D38" s="54" t="s">
        <v>155</v>
      </c>
      <c r="E38" s="52">
        <v>0.13135593220338984</v>
      </c>
      <c r="F38" s="52">
        <v>0.39552238805970147</v>
      </c>
      <c r="G38" s="53">
        <v>1.1865671641791045</v>
      </c>
      <c r="H38" s="18"/>
      <c r="I38" s="18"/>
      <c r="J38" s="18"/>
      <c r="K38" s="18"/>
      <c r="L38" s="18"/>
      <c r="M38" s="18"/>
      <c r="N38" s="18"/>
      <c r="O38" s="18"/>
      <c r="P38" s="23"/>
    </row>
    <row r="39" spans="1:16" x14ac:dyDescent="0.35">
      <c r="A39" s="22"/>
      <c r="B39" s="18"/>
      <c r="C39" s="54" t="s">
        <v>145</v>
      </c>
      <c r="D39" s="54" t="s">
        <v>156</v>
      </c>
      <c r="E39" s="52">
        <v>0.38030888030888033</v>
      </c>
      <c r="F39" s="52">
        <v>0.45869565217391306</v>
      </c>
      <c r="G39" s="53">
        <v>1.534150998824912</v>
      </c>
      <c r="H39" s="18"/>
      <c r="I39" s="18"/>
      <c r="J39" s="18"/>
      <c r="K39" s="18"/>
      <c r="L39" s="18"/>
      <c r="M39" s="18"/>
      <c r="N39" s="18"/>
      <c r="O39" s="18"/>
      <c r="P39" s="23"/>
    </row>
    <row r="40" spans="1:16" x14ac:dyDescent="0.35">
      <c r="A40" s="32"/>
      <c r="B40" s="35"/>
      <c r="C40" s="54" t="s">
        <v>145</v>
      </c>
      <c r="D40" s="54" t="s">
        <v>157</v>
      </c>
      <c r="E40" s="52">
        <v>0.216</v>
      </c>
      <c r="F40" s="52">
        <v>0.37588652482269502</v>
      </c>
      <c r="G40" s="53">
        <v>2.6243713733075436</v>
      </c>
      <c r="H40" s="18"/>
      <c r="I40" s="18"/>
      <c r="J40" s="18"/>
      <c r="K40" s="18"/>
      <c r="L40" s="18"/>
      <c r="M40" s="35"/>
      <c r="N40" s="35"/>
      <c r="O40" s="35"/>
      <c r="P40" s="29"/>
    </row>
    <row r="41" spans="1:16" x14ac:dyDescent="0.35">
      <c r="A41" s="32"/>
      <c r="B41" s="35"/>
      <c r="C41" s="54" t="s">
        <v>145</v>
      </c>
      <c r="D41" s="54" t="s">
        <v>158</v>
      </c>
      <c r="E41" s="52">
        <v>0.26407766990291265</v>
      </c>
      <c r="F41" s="52">
        <v>0.66666666666666663</v>
      </c>
      <c r="G41" s="53">
        <v>5.0845771144278604</v>
      </c>
      <c r="H41" s="18"/>
      <c r="I41" s="18"/>
      <c r="J41" s="18"/>
      <c r="K41" s="18"/>
      <c r="L41" s="18"/>
      <c r="M41" s="35"/>
      <c r="N41" s="35"/>
      <c r="O41" s="35"/>
      <c r="P41" s="29"/>
    </row>
    <row r="42" spans="1:16" x14ac:dyDescent="0.35">
      <c r="A42" s="32"/>
      <c r="B42" s="35"/>
      <c r="C42" s="54" t="s">
        <v>145</v>
      </c>
      <c r="D42" s="54" t="s">
        <v>159</v>
      </c>
      <c r="E42" s="52">
        <v>9.6907216494845363E-2</v>
      </c>
      <c r="F42" s="52">
        <v>1</v>
      </c>
      <c r="G42" s="53">
        <v>10.789473684210526</v>
      </c>
      <c r="H42" s="18"/>
      <c r="I42" s="18"/>
      <c r="J42" s="18"/>
      <c r="K42" s="18"/>
      <c r="L42" s="18"/>
      <c r="M42" s="35"/>
      <c r="N42" s="35"/>
      <c r="O42" s="35"/>
      <c r="P42" s="29"/>
    </row>
    <row r="43" spans="1:16" x14ac:dyDescent="0.35">
      <c r="A43" s="32"/>
      <c r="B43" s="35"/>
      <c r="C43" s="54" t="s">
        <v>146</v>
      </c>
      <c r="D43" s="54" t="s">
        <v>160</v>
      </c>
      <c r="E43" s="52">
        <v>3.1982942430703626E-2</v>
      </c>
      <c r="F43" s="52">
        <v>0.78947368421052633</v>
      </c>
      <c r="G43" s="53">
        <v>13.673684210526316</v>
      </c>
      <c r="H43" s="18"/>
      <c r="I43" s="18"/>
      <c r="J43" s="18"/>
      <c r="K43" s="18"/>
      <c r="L43" s="18"/>
      <c r="M43" s="35"/>
      <c r="N43" s="35"/>
      <c r="O43" s="35"/>
      <c r="P43" s="29"/>
    </row>
    <row r="44" spans="1:16" x14ac:dyDescent="0.35">
      <c r="A44" s="32"/>
      <c r="B44" s="35"/>
      <c r="C44" s="54" t="s">
        <v>146</v>
      </c>
      <c r="D44" s="54" t="s">
        <v>161</v>
      </c>
      <c r="E44" s="52">
        <v>2.7659574468085105E-2</v>
      </c>
      <c r="F44" s="52">
        <v>0</v>
      </c>
      <c r="G44" s="53"/>
      <c r="H44" s="18"/>
      <c r="I44" s="18"/>
      <c r="J44" s="18"/>
      <c r="K44" s="18"/>
      <c r="L44" s="18"/>
      <c r="M44" s="35"/>
      <c r="N44" s="35"/>
      <c r="O44" s="35"/>
      <c r="P44" s="29"/>
    </row>
    <row r="45" spans="1:16" x14ac:dyDescent="0.35">
      <c r="A45" s="33"/>
      <c r="B45" s="30"/>
      <c r="C45" s="30"/>
      <c r="D45" s="30"/>
      <c r="E45" s="30"/>
      <c r="F45" s="30"/>
      <c r="G45" s="30"/>
      <c r="H45" s="25"/>
      <c r="I45" s="25"/>
      <c r="J45" s="25"/>
      <c r="K45" s="25"/>
      <c r="L45" s="25"/>
      <c r="M45" s="30"/>
      <c r="N45" s="30"/>
      <c r="O45" s="30"/>
      <c r="P45" s="31"/>
    </row>
  </sheetData>
  <conditionalFormatting pivot="1" sqref="G30:G44">
    <cfRule type="iconSet" priority="1">
      <iconSet iconSet="3TrafficLights2">
        <cfvo type="percent" val="0"/>
        <cfvo type="num" val="0.9"/>
        <cfvo type="num" val="1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79A3-E52C-4E57-971A-BA65BCF9865F}">
  <sheetPr>
    <tabColor rgb="FFFF0000"/>
  </sheetPr>
  <dimension ref="A1:AA39"/>
  <sheetViews>
    <sheetView showGridLines="0" zoomScaleNormal="100" workbookViewId="0"/>
  </sheetViews>
  <sheetFormatPr baseColWidth="10" defaultColWidth="0" defaultRowHeight="12.9" zeroHeight="1" x14ac:dyDescent="0.35"/>
  <cols>
    <col min="1" max="2" width="15.58203125" customWidth="1"/>
    <col min="3" max="3" width="22.6640625" bestFit="1" customWidth="1"/>
    <col min="4" max="4" width="10.75" bestFit="1" customWidth="1"/>
    <col min="5" max="5" width="10.08203125" bestFit="1" customWidth="1"/>
    <col min="6" max="6" width="9.83203125" bestFit="1" customWidth="1"/>
    <col min="7" max="7" width="9.1640625" bestFit="1" customWidth="1"/>
    <col min="8" max="8" width="10.83203125" bestFit="1" customWidth="1"/>
    <col min="9" max="9" width="12.1640625" bestFit="1" customWidth="1"/>
    <col min="10" max="13" width="6.9140625" bestFit="1" customWidth="1"/>
    <col min="14" max="18" width="7.5" customWidth="1"/>
    <col min="19" max="23" width="6.9140625" bestFit="1" customWidth="1"/>
    <col min="24" max="24" width="6.9140625" customWidth="1"/>
    <col min="25" max="25" width="3.08203125" customWidth="1"/>
    <col min="26" max="26" width="3.83203125" customWidth="1"/>
    <col min="27" max="27" width="4.5" customWidth="1"/>
    <col min="28" max="16384" width="10.6640625" hidden="1"/>
  </cols>
  <sheetData>
    <row r="1" spans="1:27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41"/>
      <c r="Z1" s="62"/>
    </row>
    <row r="2" spans="1:27" x14ac:dyDescent="0.35">
      <c r="A2" s="2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41"/>
      <c r="Y2" s="41"/>
      <c r="Z2" s="62"/>
    </row>
    <row r="3" spans="1:27" x14ac:dyDescent="0.35">
      <c r="A3" s="2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41"/>
      <c r="Y3" s="41"/>
      <c r="Z3" s="62"/>
      <c r="AA3" s="13"/>
    </row>
    <row r="4" spans="1:27" x14ac:dyDescent="0.35">
      <c r="A4" s="2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41"/>
      <c r="Y4" s="41"/>
      <c r="Z4" s="62"/>
      <c r="AA4" s="14"/>
    </row>
    <row r="5" spans="1:27" x14ac:dyDescent="0.35">
      <c r="A5" s="22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41"/>
      <c r="Y5" s="41"/>
      <c r="Z5" s="62"/>
      <c r="AA5" s="15"/>
    </row>
    <row r="6" spans="1:27" x14ac:dyDescent="0.35">
      <c r="A6" s="2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41"/>
      <c r="Y6" s="41"/>
      <c r="Z6" s="62"/>
      <c r="AA6" s="16"/>
    </row>
    <row r="7" spans="1:27" x14ac:dyDescent="0.35">
      <c r="A7" s="2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41"/>
      <c r="Y7" s="41"/>
      <c r="Z7" s="62"/>
      <c r="AA7" s="17"/>
    </row>
    <row r="8" spans="1:27" x14ac:dyDescent="0.35">
      <c r="A8" s="2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41"/>
      <c r="Y8" s="41"/>
      <c r="Z8" s="62"/>
      <c r="AA8" s="18"/>
    </row>
    <row r="9" spans="1:27" x14ac:dyDescent="0.35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41"/>
      <c r="Z9" s="62"/>
      <c r="AA9" s="36"/>
    </row>
    <row r="10" spans="1:27" x14ac:dyDescent="0.35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41"/>
      <c r="Y10" s="41"/>
      <c r="Z10" s="62"/>
      <c r="AA10" s="27"/>
    </row>
    <row r="11" spans="1:27" x14ac:dyDescent="0.35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41"/>
      <c r="Y11" s="41"/>
      <c r="Z11" s="62"/>
      <c r="AA11" s="37"/>
    </row>
    <row r="12" spans="1:27" x14ac:dyDescent="0.35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41"/>
      <c r="Y12" s="41"/>
      <c r="Z12" s="62"/>
    </row>
    <row r="13" spans="1:27" ht="12.9" customHeight="1" x14ac:dyDescent="0.35">
      <c r="A13" s="22"/>
      <c r="B13" s="1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8"/>
      <c r="Y13" s="58"/>
      <c r="Z13" s="62"/>
    </row>
    <row r="14" spans="1:27" ht="12.9" customHeight="1" x14ac:dyDescent="0.35">
      <c r="A14" s="22"/>
      <c r="B14" s="18"/>
      <c r="C14" s="36"/>
      <c r="D14" s="36"/>
      <c r="E14" s="36"/>
      <c r="F14" s="36"/>
      <c r="G14" s="36"/>
      <c r="H14" s="78"/>
      <c r="I14" s="36"/>
      <c r="J14" s="56">
        <f ca="1">I15+Settings!$B$27</f>
        <v>46097</v>
      </c>
      <c r="K14" s="56">
        <f ca="1">J14+1</f>
        <v>46098</v>
      </c>
      <c r="L14" s="56">
        <f t="shared" ref="L14:X14" ca="1" si="0">K14+1</f>
        <v>46099</v>
      </c>
      <c r="M14" s="56">
        <f t="shared" ca="1" si="0"/>
        <v>46100</v>
      </c>
      <c r="N14" s="75">
        <f t="shared" ca="1" si="0"/>
        <v>46101</v>
      </c>
      <c r="O14" s="75">
        <f ca="1">N14+1</f>
        <v>46102</v>
      </c>
      <c r="P14" s="75">
        <f t="shared" ca="1" si="0"/>
        <v>46103</v>
      </c>
      <c r="Q14" s="75">
        <f t="shared" ca="1" si="0"/>
        <v>46104</v>
      </c>
      <c r="R14" s="75">
        <f t="shared" ca="1" si="0"/>
        <v>46105</v>
      </c>
      <c r="S14" s="75">
        <f t="shared" ca="1" si="0"/>
        <v>46106</v>
      </c>
      <c r="T14" s="75">
        <f t="shared" ca="1" si="0"/>
        <v>46107</v>
      </c>
      <c r="U14" s="75">
        <f t="shared" ca="1" si="0"/>
        <v>46108</v>
      </c>
      <c r="V14" s="75">
        <f t="shared" ca="1" si="0"/>
        <v>46109</v>
      </c>
      <c r="W14" s="75">
        <f t="shared" ca="1" si="0"/>
        <v>46110</v>
      </c>
      <c r="X14" s="75">
        <f t="shared" ca="1" si="0"/>
        <v>46111</v>
      </c>
      <c r="Y14" s="58"/>
      <c r="Z14" s="62"/>
    </row>
    <row r="15" spans="1:27" ht="12.9" customHeight="1" x14ac:dyDescent="0.35">
      <c r="A15" s="22"/>
      <c r="B15" s="18"/>
      <c r="C15" s="79"/>
      <c r="D15" s="79"/>
      <c r="E15" s="79"/>
      <c r="F15" s="80"/>
      <c r="G15" s="81"/>
      <c r="H15" s="79"/>
      <c r="I15" s="82" cm="1">
        <f t="array" aca="1" ref="I15" ca="1">_xlfn.SWITCH(TRUE,Settings!$B$28=1,MIN(D17:G36),Settings!$B$28=2,TODAY()-30)</f>
        <v>45962</v>
      </c>
      <c r="J15" s="57"/>
      <c r="K15" s="57"/>
      <c r="L15" s="57"/>
      <c r="M15" s="57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7"/>
      <c r="Y15" s="58"/>
      <c r="Z15" s="62"/>
    </row>
    <row r="16" spans="1:27" x14ac:dyDescent="0.35">
      <c r="A16" s="22"/>
      <c r="B16" s="23"/>
      <c r="C16" s="72" t="s">
        <v>162</v>
      </c>
      <c r="D16" s="72" t="s">
        <v>164</v>
      </c>
      <c r="E16" s="72" t="s">
        <v>165</v>
      </c>
      <c r="F16" s="73" t="s">
        <v>166</v>
      </c>
      <c r="G16" s="73" t="s">
        <v>167</v>
      </c>
      <c r="H16" s="74" t="s">
        <v>123</v>
      </c>
      <c r="I16" s="74" t="s">
        <v>168</v>
      </c>
      <c r="J16" s="70" t="str">
        <f ca="1">TEXT(J14,"dd-mmm")</f>
        <v>16-Mar</v>
      </c>
      <c r="K16" s="70" t="str">
        <f ca="1">TEXT(K14,"dd-mmm")</f>
        <v>17-Mar</v>
      </c>
      <c r="L16" s="70" t="str">
        <f ca="1">TEXT(L14,"dd-mmm")</f>
        <v>18-Mar</v>
      </c>
      <c r="M16" s="70" t="str">
        <f ca="1">TEXT(M14,"dd-mmm")</f>
        <v>19-Mar</v>
      </c>
      <c r="N16" s="70" t="str">
        <f ca="1">TEXT(N14,"dd-mmm")</f>
        <v>20-Mar</v>
      </c>
      <c r="O16" s="70" t="str">
        <f ca="1">TEXT(O14,"dd-mmm")</f>
        <v>21-Mar</v>
      </c>
      <c r="P16" s="70" t="str">
        <f ca="1">TEXT(P14,"dd-mmm")</f>
        <v>22-Mar</v>
      </c>
      <c r="Q16" s="70" t="str">
        <f ca="1">TEXT(Q14,"dd-mmm")</f>
        <v>23-Mar</v>
      </c>
      <c r="R16" s="70" t="str">
        <f ca="1">TEXT(R14,"dd-mmm")</f>
        <v>24-Mar</v>
      </c>
      <c r="S16" s="70" t="str">
        <f ca="1">TEXT(S14,"dd-mmm")</f>
        <v>25-Mar</v>
      </c>
      <c r="T16" s="70" t="str">
        <f ca="1">TEXT(T14,"dd-mmm")</f>
        <v>26-Mar</v>
      </c>
      <c r="U16" s="70" t="str">
        <f ca="1">TEXT(U14,"dd-mmm")</f>
        <v>27-Mar</v>
      </c>
      <c r="V16" s="70" t="str">
        <f ca="1">TEXT(V14,"dd-mmm")</f>
        <v>28-Mar</v>
      </c>
      <c r="W16" s="70" t="str">
        <f ca="1">TEXT(W14,"dd-mmm")</f>
        <v>29-Mar</v>
      </c>
      <c r="X16" s="71" t="str">
        <f ca="1">TEXT(X14,"dd-mmm")</f>
        <v>30-Mar</v>
      </c>
      <c r="Y16" s="69"/>
      <c r="Z16" s="62"/>
    </row>
    <row r="17" spans="1:26" x14ac:dyDescent="0.35">
      <c r="A17" s="22"/>
      <c r="B17" s="23"/>
      <c r="C17" s="65" t="s">
        <v>142</v>
      </c>
      <c r="D17" s="60"/>
      <c r="E17" s="60"/>
      <c r="F17" s="60"/>
      <c r="G17" s="60"/>
      <c r="H17" s="61"/>
      <c r="I17" s="63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69"/>
      <c r="Z17" s="62"/>
    </row>
    <row r="18" spans="1:26" ht="12.9" customHeight="1" x14ac:dyDescent="0.35">
      <c r="A18" s="22"/>
      <c r="B18" s="23"/>
      <c r="C18" s="66" t="s">
        <v>147</v>
      </c>
      <c r="D18" s="60">
        <v>45962</v>
      </c>
      <c r="E18" s="60">
        <v>45976</v>
      </c>
      <c r="F18" s="60">
        <v>45971</v>
      </c>
      <c r="G18" s="60">
        <v>45986</v>
      </c>
      <c r="H18" s="61">
        <v>1</v>
      </c>
      <c r="I18" s="63" t="s">
        <v>74</v>
      </c>
      <c r="J18" s="6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9"/>
      <c r="X18" s="42"/>
      <c r="Y18" s="69"/>
      <c r="Z18" s="62"/>
    </row>
    <row r="19" spans="1:26" x14ac:dyDescent="0.35">
      <c r="A19" s="22"/>
      <c r="B19" s="23"/>
      <c r="C19" s="66" t="s">
        <v>148</v>
      </c>
      <c r="D19" s="60">
        <v>45977</v>
      </c>
      <c r="E19" s="60">
        <v>45991</v>
      </c>
      <c r="F19" s="60">
        <v>45985</v>
      </c>
      <c r="G19" s="60">
        <v>45996</v>
      </c>
      <c r="H19" s="61">
        <v>1</v>
      </c>
      <c r="I19" s="63" t="s">
        <v>74</v>
      </c>
      <c r="J19" s="6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9"/>
      <c r="X19" s="42"/>
      <c r="Y19" s="69"/>
      <c r="Z19" s="62"/>
    </row>
    <row r="20" spans="1:26" x14ac:dyDescent="0.35">
      <c r="A20" s="22"/>
      <c r="B20" s="23"/>
      <c r="C20" s="67" t="s">
        <v>143</v>
      </c>
      <c r="D20" s="60"/>
      <c r="E20" s="60"/>
      <c r="F20" s="60"/>
      <c r="G20" s="60"/>
      <c r="H20" s="61"/>
      <c r="I20" s="63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69"/>
      <c r="Z20" s="62"/>
    </row>
    <row r="21" spans="1:26" ht="12.9" customHeight="1" x14ac:dyDescent="0.35">
      <c r="A21" s="22"/>
      <c r="B21" s="23"/>
      <c r="C21" s="66" t="s">
        <v>149</v>
      </c>
      <c r="D21" s="60">
        <v>45992</v>
      </c>
      <c r="E21" s="60">
        <v>46022</v>
      </c>
      <c r="F21" s="60">
        <v>45997</v>
      </c>
      <c r="G21" s="60">
        <v>46032</v>
      </c>
      <c r="H21" s="61">
        <v>1</v>
      </c>
      <c r="I21" s="63" t="s">
        <v>79</v>
      </c>
      <c r="J21" s="6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9"/>
      <c r="X21" s="42"/>
      <c r="Y21" s="69"/>
      <c r="Z21" s="62"/>
    </row>
    <row r="22" spans="1:26" ht="12.9" customHeight="1" x14ac:dyDescent="0.35">
      <c r="A22" s="22"/>
      <c r="B22" s="23"/>
      <c r="C22" s="66" t="s">
        <v>150</v>
      </c>
      <c r="D22" s="60">
        <v>46023</v>
      </c>
      <c r="E22" s="60">
        <v>46068</v>
      </c>
      <c r="F22" s="60">
        <v>46034</v>
      </c>
      <c r="G22" s="60"/>
      <c r="H22" s="61">
        <v>0.38011695906432746</v>
      </c>
      <c r="I22" s="63" t="s">
        <v>79</v>
      </c>
      <c r="J22" s="6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9"/>
      <c r="X22" s="42"/>
      <c r="Y22" s="69"/>
      <c r="Z22" s="62"/>
    </row>
    <row r="23" spans="1:26" ht="12.9" customHeight="1" x14ac:dyDescent="0.35">
      <c r="A23" s="22"/>
      <c r="B23" s="23"/>
      <c r="C23" s="66" t="s">
        <v>151</v>
      </c>
      <c r="D23" s="60">
        <v>46069</v>
      </c>
      <c r="E23" s="60">
        <v>46127</v>
      </c>
      <c r="F23" s="60"/>
      <c r="G23" s="60"/>
      <c r="H23" s="61">
        <v>0</v>
      </c>
      <c r="I23" s="63" t="s">
        <v>79</v>
      </c>
      <c r="J23" s="6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9"/>
      <c r="X23" s="42"/>
      <c r="Y23" s="69"/>
      <c r="Z23" s="62"/>
    </row>
    <row r="24" spans="1:26" x14ac:dyDescent="0.35">
      <c r="A24" s="22"/>
      <c r="B24" s="23"/>
      <c r="C24" s="66" t="s">
        <v>152</v>
      </c>
      <c r="D24" s="60">
        <v>46128</v>
      </c>
      <c r="E24" s="60">
        <v>46157</v>
      </c>
      <c r="F24" s="60"/>
      <c r="G24" s="60"/>
      <c r="H24" s="61">
        <v>0</v>
      </c>
      <c r="I24" s="63" t="s">
        <v>79</v>
      </c>
      <c r="J24" s="6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42"/>
      <c r="Y24" s="69"/>
      <c r="Z24" s="62"/>
    </row>
    <row r="25" spans="1:26" x14ac:dyDescent="0.35">
      <c r="A25" s="22"/>
      <c r="B25" s="23"/>
      <c r="C25" s="67" t="s">
        <v>144</v>
      </c>
      <c r="D25" s="60"/>
      <c r="E25" s="60"/>
      <c r="F25" s="60"/>
      <c r="G25" s="60"/>
      <c r="H25" s="61"/>
      <c r="I25" s="63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69"/>
      <c r="Z25" s="62"/>
    </row>
    <row r="26" spans="1:26" ht="12.9" customHeight="1" x14ac:dyDescent="0.35">
      <c r="A26" s="22"/>
      <c r="B26" s="23"/>
      <c r="C26" s="66" t="s">
        <v>153</v>
      </c>
      <c r="D26" s="60">
        <v>46128</v>
      </c>
      <c r="E26" s="60">
        <v>46172</v>
      </c>
      <c r="F26" s="60"/>
      <c r="G26" s="60"/>
      <c r="H26" s="61">
        <v>0</v>
      </c>
      <c r="I26" s="63" t="s">
        <v>81</v>
      </c>
      <c r="J26" s="6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9"/>
      <c r="X26" s="42"/>
      <c r="Y26" s="69"/>
      <c r="Z26" s="62"/>
    </row>
    <row r="27" spans="1:26" ht="12.9" customHeight="1" x14ac:dyDescent="0.35">
      <c r="A27" s="22"/>
      <c r="B27" s="23"/>
      <c r="C27" s="66" t="s">
        <v>154</v>
      </c>
      <c r="D27" s="60">
        <v>46158</v>
      </c>
      <c r="E27" s="60">
        <v>46188</v>
      </c>
      <c r="F27" s="60"/>
      <c r="G27" s="60"/>
      <c r="H27" s="61">
        <v>0</v>
      </c>
      <c r="I27" s="63" t="s">
        <v>81</v>
      </c>
      <c r="J27" s="6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9"/>
      <c r="X27" s="42"/>
      <c r="Y27" s="69"/>
      <c r="Z27" s="62"/>
    </row>
    <row r="28" spans="1:26" x14ac:dyDescent="0.35">
      <c r="A28" s="22"/>
      <c r="B28" s="23"/>
      <c r="C28" s="66" t="s">
        <v>155</v>
      </c>
      <c r="D28" s="60">
        <v>46174</v>
      </c>
      <c r="E28" s="60">
        <v>46188</v>
      </c>
      <c r="F28" s="60"/>
      <c r="G28" s="60"/>
      <c r="H28" s="61">
        <v>0</v>
      </c>
      <c r="I28" s="63" t="s">
        <v>81</v>
      </c>
      <c r="J28" s="6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9"/>
      <c r="X28" s="42"/>
      <c r="Y28" s="69"/>
      <c r="Z28" s="62"/>
    </row>
    <row r="29" spans="1:26" x14ac:dyDescent="0.35">
      <c r="A29" s="22"/>
      <c r="B29" s="23"/>
      <c r="C29" s="67" t="s">
        <v>145</v>
      </c>
      <c r="D29" s="60"/>
      <c r="E29" s="60"/>
      <c r="F29" s="60"/>
      <c r="G29" s="60"/>
      <c r="H29" s="61"/>
      <c r="I29" s="6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69"/>
      <c r="Z29" s="62"/>
    </row>
    <row r="30" spans="1:26" ht="12.9" customHeight="1" x14ac:dyDescent="0.35">
      <c r="A30" s="22"/>
      <c r="B30" s="23"/>
      <c r="C30" s="66" t="s">
        <v>156</v>
      </c>
      <c r="D30" s="60">
        <v>46174</v>
      </c>
      <c r="E30" s="60">
        <v>46234</v>
      </c>
      <c r="F30" s="60"/>
      <c r="G30" s="60"/>
      <c r="H30" s="61">
        <v>0</v>
      </c>
      <c r="I30" s="63" t="s">
        <v>84</v>
      </c>
      <c r="J30" s="6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9"/>
      <c r="X30" s="42"/>
      <c r="Y30" s="69"/>
      <c r="Z30" s="62"/>
    </row>
    <row r="31" spans="1:26" ht="12.9" customHeight="1" x14ac:dyDescent="0.35">
      <c r="A31" s="22"/>
      <c r="B31" s="23"/>
      <c r="C31" s="66" t="s">
        <v>157</v>
      </c>
      <c r="D31" s="60">
        <v>46235</v>
      </c>
      <c r="E31" s="60">
        <v>46280</v>
      </c>
      <c r="F31" s="60"/>
      <c r="G31" s="60"/>
      <c r="H31" s="61">
        <v>0</v>
      </c>
      <c r="I31" s="63" t="s">
        <v>84</v>
      </c>
      <c r="J31" s="6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9"/>
      <c r="X31" s="42"/>
      <c r="Y31" s="69"/>
      <c r="Z31" s="62"/>
    </row>
    <row r="32" spans="1:26" ht="12.9" customHeight="1" x14ac:dyDescent="0.35">
      <c r="A32" s="22"/>
      <c r="B32" s="23"/>
      <c r="C32" s="66" t="s">
        <v>158</v>
      </c>
      <c r="D32" s="60">
        <v>46235</v>
      </c>
      <c r="E32" s="60">
        <v>46295</v>
      </c>
      <c r="F32" s="60"/>
      <c r="G32" s="60"/>
      <c r="H32" s="61">
        <v>0</v>
      </c>
      <c r="I32" s="63" t="s">
        <v>84</v>
      </c>
      <c r="J32" s="6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9"/>
      <c r="X32" s="42"/>
      <c r="Y32" s="69"/>
      <c r="Z32" s="62"/>
    </row>
    <row r="33" spans="1:26" x14ac:dyDescent="0.35">
      <c r="A33" s="22"/>
      <c r="B33" s="23"/>
      <c r="C33" s="66" t="s">
        <v>159</v>
      </c>
      <c r="D33" s="60">
        <v>46296</v>
      </c>
      <c r="E33" s="60">
        <v>46325</v>
      </c>
      <c r="F33" s="60"/>
      <c r="G33" s="60"/>
      <c r="H33" s="61">
        <v>0</v>
      </c>
      <c r="I33" s="63" t="s">
        <v>84</v>
      </c>
      <c r="J33" s="6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9"/>
      <c r="X33" s="42"/>
      <c r="Y33" s="69"/>
      <c r="Z33" s="62"/>
    </row>
    <row r="34" spans="1:26" x14ac:dyDescent="0.35">
      <c r="A34" s="22"/>
      <c r="B34" s="23"/>
      <c r="C34" s="67" t="s">
        <v>146</v>
      </c>
      <c r="D34" s="60"/>
      <c r="E34" s="60"/>
      <c r="F34" s="60"/>
      <c r="G34" s="60"/>
      <c r="H34" s="61"/>
      <c r="I34" s="63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69"/>
      <c r="Z34" s="62"/>
    </row>
    <row r="35" spans="1:26" ht="12.9" customHeight="1" x14ac:dyDescent="0.35">
      <c r="A35" s="22"/>
      <c r="B35" s="23"/>
      <c r="C35" s="66" t="s">
        <v>160</v>
      </c>
      <c r="D35" s="60">
        <v>46327</v>
      </c>
      <c r="E35" s="60">
        <v>46341</v>
      </c>
      <c r="F35" s="60"/>
      <c r="G35" s="60"/>
      <c r="H35" s="61">
        <v>0</v>
      </c>
      <c r="I35" s="63" t="s">
        <v>85</v>
      </c>
      <c r="J35" s="64"/>
      <c r="K35" s="38"/>
      <c r="L35" s="40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9"/>
      <c r="X35" s="42"/>
      <c r="Y35" s="69"/>
      <c r="Z35" s="62"/>
    </row>
    <row r="36" spans="1:26" x14ac:dyDescent="0.35">
      <c r="A36" s="22"/>
      <c r="B36" s="23"/>
      <c r="C36" s="66" t="s">
        <v>161</v>
      </c>
      <c r="D36" s="60">
        <v>46342</v>
      </c>
      <c r="E36" s="60">
        <v>46356</v>
      </c>
      <c r="F36" s="60"/>
      <c r="G36" s="60"/>
      <c r="H36" s="61">
        <v>0</v>
      </c>
      <c r="I36" s="63" t="s">
        <v>85</v>
      </c>
      <c r="J36" s="44"/>
      <c r="K36" s="43"/>
      <c r="L36" s="42"/>
      <c r="M36" s="44"/>
      <c r="N36" s="40"/>
      <c r="O36" s="40"/>
      <c r="P36" s="40"/>
      <c r="Q36" s="40"/>
      <c r="R36" s="40"/>
      <c r="S36" s="40"/>
      <c r="T36" s="40"/>
      <c r="U36" s="40"/>
      <c r="V36" s="40"/>
      <c r="W36" s="43"/>
      <c r="X36" s="43"/>
      <c r="Y36" s="69"/>
      <c r="Z36" s="62"/>
    </row>
    <row r="37" spans="1:26" ht="12.9" customHeight="1" x14ac:dyDescent="0.35">
      <c r="A37" s="24"/>
      <c r="B37" s="25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26"/>
      <c r="Z37" s="62"/>
    </row>
    <row r="38" spans="1:26" ht="12.9" hidden="1" customHeight="1" x14ac:dyDescent="0.35">
      <c r="A38" s="2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41"/>
      <c r="Y38" s="41"/>
      <c r="Z38" s="62"/>
    </row>
    <row r="39" spans="1:26" ht="12.9" hidden="1" customHeight="1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62"/>
    </row>
  </sheetData>
  <conditionalFormatting sqref="J16:X16">
    <cfRule type="expression" dxfId="3133" priority="12">
      <formula>OR(TEXT(J$14,"DDD")="Sáb",TEXT(J$14,"DDD")="Dom")</formula>
    </cfRule>
  </conditionalFormatting>
  <conditionalFormatting sqref="J17:X36">
    <cfRule type="expression" dxfId="3132" priority="13">
      <formula>TODAY()=J$14</formula>
    </cfRule>
    <cfRule type="expression" dxfId="3131" priority="14">
      <formula>_xlfn.SWITCH(TRUE,AND(ISBLANK($F17),ISBLANK($G17)),FALSE,AND($F17&lt;&gt;"",ISBLANK($G17)),AND(J$14&gt;=$F17,J$14&lt;=TODAY()),AND(J$14&gt;=$F17,J$14&lt;=$G17),TRUE,FALSE)</formula>
    </cfRule>
  </conditionalFormatting>
  <conditionalFormatting sqref="J18:X36">
    <cfRule type="expression" dxfId="3130" priority="15">
      <formula>AND(J$14&gt;=$D18,J$14&lt;=$E18)</formula>
    </cfRule>
  </conditionalFormatting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print="0" autoPict="0">
                <anchor>
                  <from>
                    <xdr:col>2</xdr:col>
                    <xdr:colOff>38100</xdr:colOff>
                    <xdr:row>13</xdr:row>
                    <xdr:rowOff>32657</xdr:rowOff>
                  </from>
                  <to>
                    <xdr:col>8</xdr:col>
                    <xdr:colOff>762000</xdr:colOff>
                    <xdr:row>14</xdr:row>
                    <xdr:rowOff>136071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9</xdr:col>
                    <xdr:colOff>27214</xdr:colOff>
                    <xdr:row>13</xdr:row>
                    <xdr:rowOff>59871</xdr:rowOff>
                  </from>
                  <to>
                    <xdr:col>10</xdr:col>
                    <xdr:colOff>402771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Option Button 9">
              <controlPr defaultSize="0" autoFill="0" autoLine="0" autoPict="0">
                <anchor moveWithCells="1">
                  <from>
                    <xdr:col>11</xdr:col>
                    <xdr:colOff>5443</xdr:colOff>
                    <xdr:row>13</xdr:row>
                    <xdr:rowOff>48986</xdr:rowOff>
                  </from>
                  <to>
                    <xdr:col>12</xdr:col>
                    <xdr:colOff>435429</xdr:colOff>
                    <xdr:row>14</xdr:row>
                    <xdr:rowOff>119743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80EA-CEFA-4E6D-ADD3-5BE00BF1C8B4}">
  <dimension ref="A1:I28"/>
  <sheetViews>
    <sheetView showGridLines="0" topLeftCell="A11" workbookViewId="0">
      <selection activeCell="F14" sqref="F14"/>
    </sheetView>
  </sheetViews>
  <sheetFormatPr baseColWidth="10" defaultRowHeight="12.9" x14ac:dyDescent="0.35"/>
  <cols>
    <col min="1" max="1" width="30.9140625" bestFit="1" customWidth="1"/>
    <col min="2" max="2" width="20.58203125" bestFit="1" customWidth="1"/>
    <col min="5" max="5" width="18.4140625" bestFit="1" customWidth="1"/>
  </cols>
  <sheetData>
    <row r="1" spans="1:9" x14ac:dyDescent="0.35">
      <c r="A1" s="6" t="s">
        <v>54</v>
      </c>
    </row>
    <row r="2" spans="1:9" x14ac:dyDescent="0.35">
      <c r="A2" s="12" t="s">
        <v>124</v>
      </c>
      <c r="B2" s="83" vm="8">
        <f>CUBEVALUE("ThisWorkbookDataModel","[Measures].[#Total Projects]",SegmentaciónDeDatos_Project_Type)</f>
        <v>10</v>
      </c>
    </row>
    <row r="3" spans="1:9" x14ac:dyDescent="0.35">
      <c r="A3" s="12" t="s">
        <v>125</v>
      </c>
      <c r="B3" s="84" vm="1">
        <f>CUBEVALUE("ThisWorkbookDataModel","[Measures].[#Budget]",SegmentaciónDeDatos_Name_Project,SegmentaciónDeDatos_Project_Type)</f>
        <v>77300000</v>
      </c>
    </row>
    <row r="4" spans="1:9" x14ac:dyDescent="0.35">
      <c r="A4" s="12" t="s">
        <v>127</v>
      </c>
      <c r="B4" s="84" vm="2">
        <f>CUBEVALUE("ThisWorkbookDataModel","[Measures].[#Planned Cost]",SegmentaciónDeDatos_Name_Project,SegmentaciónDeDatos_Project_Type)</f>
        <v>51233000</v>
      </c>
    </row>
    <row r="5" spans="1:9" x14ac:dyDescent="0.35">
      <c r="A5" s="12" t="s">
        <v>126</v>
      </c>
      <c r="B5" s="84" vm="3">
        <f>CUBEVALUE("ThisWorkbookDataModel","[Measures].[#Actual Cost]]",SegmentaciónDeDatos_Name_Project,SegmentaciónDeDatos_Project_Type)</f>
        <v>22146500</v>
      </c>
    </row>
    <row r="6" spans="1:9" x14ac:dyDescent="0.35">
      <c r="A6" s="12" t="s">
        <v>123</v>
      </c>
      <c r="B6" s="85" vm="4">
        <f>CUBEVALUE("ThisWorkbookDataModel","[Measures].[#Real Progress(%)]",SegmentaciónDeDatos_Name_Project,SegmentaciónDeDatos_Project_Type)</f>
        <v>0.61466821885913858</v>
      </c>
    </row>
    <row r="7" spans="1:9" x14ac:dyDescent="0.35">
      <c r="A7" s="12" t="s">
        <v>128</v>
      </c>
      <c r="B7" s="83" vm="5">
        <f>CUBEVALUE("ThisWorkbookDataModel","[Measures].[#At-Risk Projects]",SegmentaciónDeDatos_Name_Project,SegmentaciónDeDatos_Project_Type)</f>
        <v>4</v>
      </c>
    </row>
    <row r="8" spans="1:9" x14ac:dyDescent="0.35">
      <c r="A8" s="12" t="s">
        <v>129</v>
      </c>
      <c r="B8" s="85" vm="6">
        <f>CUBEVALUE("ThisWorkbookDataModel","[Measures].[#BudgetvsActual]",SegmentaciónDeDatos_Name_Project,SegmentaciónDeDatos_Project_Type)</f>
        <v>0.28650064683053039</v>
      </c>
    </row>
    <row r="9" spans="1:9" x14ac:dyDescent="0.35">
      <c r="A9" s="12" t="s">
        <v>130</v>
      </c>
      <c r="B9" s="85" vm="7">
        <f>CUBEVALUE("ThisWorkbookDataModel","[Measures].[#Cost Progress(%)]",SegmentaciónDeDatos_Name_Project,SegmentaciónDeDatos_Project_Type)</f>
        <v>0.43227021646204594</v>
      </c>
    </row>
    <row r="10" spans="1:9" x14ac:dyDescent="0.35">
      <c r="B10" s="86"/>
      <c r="I10" s="34"/>
    </row>
    <row r="11" spans="1:9" x14ac:dyDescent="0.35">
      <c r="A11" s="6" t="s">
        <v>132</v>
      </c>
      <c r="B11" s="86"/>
    </row>
    <row r="12" spans="1:9" x14ac:dyDescent="0.35">
      <c r="A12" s="12" t="s">
        <v>133</v>
      </c>
      <c r="B12" s="83" vm="20">
        <f>CUBEVALUE("ThisWorkbookDataModel","[Measures].[#Total Items]",SegmentaciónDeDatos_Project_Type1,SegmentaciónDeDatos_Name_Project1,SegmentaciónDeDatos_Phase)</f>
        <v>15</v>
      </c>
    </row>
    <row r="13" spans="1:9" x14ac:dyDescent="0.35">
      <c r="A13" s="12" t="s">
        <v>134</v>
      </c>
      <c r="B13" s="87" vm="17">
        <f>CUBEVALUE("ThisWorkbookDataModel","[Measures].[#Temporary Works Progress]]",SegmentaciónDeDatos_Project_Type1,SegmentaciónDeDatos_Name_Project1)</f>
        <v>0.85852090032154338</v>
      </c>
    </row>
    <row r="14" spans="1:9" x14ac:dyDescent="0.35">
      <c r="A14" s="12" t="s">
        <v>135</v>
      </c>
      <c r="B14" s="87" vm="18">
        <f>CUBEVALUE("ThisWorkbookDataModel","[Measures].[#Structural Works Progress]",SegmentaciónDeDatos_Project_Type1,SegmentaciónDeDatos_Name_Project1)</f>
        <v>0.58770883054892598</v>
      </c>
    </row>
    <row r="15" spans="1:9" x14ac:dyDescent="0.35">
      <c r="A15" s="12" t="s">
        <v>136</v>
      </c>
      <c r="B15" s="87" vm="19">
        <f>CUBEVALUE("ThisWorkbookDataModel","[Measures].[#MEP Progress]",SegmentaciónDeDatos_Project_Type1,SegmentaciónDeDatos_Name_Project1)</f>
        <v>0.78617710583153344</v>
      </c>
    </row>
    <row r="16" spans="1:9" x14ac:dyDescent="0.35">
      <c r="A16" s="12" t="s">
        <v>137</v>
      </c>
      <c r="B16" s="87" vm="16">
        <f>CUBEVALUE("ThisWorkbookDataModel","[Measures].[#Finishes Progress]",SegmentaciónDeDatos_Project_Type1,SegmentaciónDeDatos_Name_Project1)</f>
        <v>0.49156118143459915</v>
      </c>
    </row>
    <row r="17" spans="1:2" x14ac:dyDescent="0.35">
      <c r="A17" s="12" t="s">
        <v>138</v>
      </c>
      <c r="B17" s="88" vm="15">
        <f>CUBEVALUE("ThisWorkbookDataModel","[Measures].[#Critical Items]",SegmentaciónDeDatos_Project_Type1,SegmentaciónDeDatos_Name_Project1,SegmentaciónDeDatos_Phase)</f>
        <v>12</v>
      </c>
    </row>
    <row r="18" spans="1:2" x14ac:dyDescent="0.35">
      <c r="B18" s="86"/>
    </row>
    <row r="19" spans="1:2" x14ac:dyDescent="0.35">
      <c r="A19" s="6" t="s">
        <v>163</v>
      </c>
      <c r="B19" s="86"/>
    </row>
    <row r="20" spans="1:2" x14ac:dyDescent="0.35">
      <c r="A20" s="12" t="s">
        <v>164</v>
      </c>
      <c r="B20" s="89" vm="10">
        <f>CUBEVALUE("ThisWorkbookDataModel","[Measures].[#Planned_DateMin]",SegmentaciónDeDatos_Name_Project2)</f>
        <v>45962</v>
      </c>
    </row>
    <row r="21" spans="1:2" x14ac:dyDescent="0.35">
      <c r="A21" s="12" t="s">
        <v>165</v>
      </c>
      <c r="B21" s="89" vm="11">
        <f>CUBEVALUE("ThisWorkbookDataModel","[Measures].[#Planned_DateMax]",SegmentaciónDeDatos_Name_Project2)</f>
        <v>46356</v>
      </c>
    </row>
    <row r="22" spans="1:2" x14ac:dyDescent="0.35">
      <c r="A22" s="12" t="s">
        <v>170</v>
      </c>
      <c r="B22" s="83" vm="14">
        <f>CUBEVALUE("ThisWorkbookDataModel","[Measures].[#Planned Days]",SegmentaciónDeDatos_Name_Project2)</f>
        <v>395</v>
      </c>
    </row>
    <row r="23" spans="1:2" x14ac:dyDescent="0.35">
      <c r="A23" s="12" t="s">
        <v>171</v>
      </c>
      <c r="B23" s="83" vm="9">
        <f>CUBEVALUE("ThisWorkbookDataModel","[Measures].[#Total Days Overdue]",SegmentaciónDeDatos_Name_Project2)</f>
        <v>0</v>
      </c>
    </row>
    <row r="24" spans="1:2" x14ac:dyDescent="0.35">
      <c r="A24" s="12" t="s">
        <v>123</v>
      </c>
      <c r="B24" s="85" vm="13">
        <f>CUBEVALUE("ThisWorkbookDataModel","[Measures].[#Real Progress(%)]",SegmentaciónDeDatos_Name_Project2)</f>
        <v>0.54893617021276597</v>
      </c>
    </row>
    <row r="25" spans="1:2" x14ac:dyDescent="0.35">
      <c r="A25" s="12" t="s">
        <v>172</v>
      </c>
      <c r="B25" s="85" vm="12">
        <f>CUBEVALUE("ThisWorkbookDataModel","[Measures].[#CV]",SegmentaciónDeDatos_Name_Project2)</f>
        <v>-0.82020202020202015</v>
      </c>
    </row>
    <row r="26" spans="1:2" x14ac:dyDescent="0.35">
      <c r="A26" s="12" t="s">
        <v>173</v>
      </c>
      <c r="B26" s="90">
        <f ca="1">TODAY()</f>
        <v>46100</v>
      </c>
    </row>
    <row r="27" spans="1:2" x14ac:dyDescent="0.35">
      <c r="A27" s="12" t="s">
        <v>174</v>
      </c>
      <c r="B27" s="91">
        <v>135</v>
      </c>
    </row>
    <row r="28" spans="1:2" x14ac:dyDescent="0.35">
      <c r="A28" s="12" t="s">
        <v>169</v>
      </c>
      <c r="B28" s="9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83AE45EB-FCB1-4195-BFF9-002634B2C81D}">
  <ds:schemaRefs/>
</ds:datastoreItem>
</file>

<file path=customXml/itemProps2.xml><?xml version="1.0" encoding="utf-8"?>
<ds:datastoreItem xmlns:ds="http://schemas.openxmlformats.org/officeDocument/2006/customXml" ds:itemID="{C09E13CD-E6EC-4982-9E5E-9F3A97F07901}">
  <ds:schemaRefs/>
</ds:datastoreItem>
</file>

<file path=customXml/itemProps3.xml><?xml version="1.0" encoding="utf-8"?>
<ds:datastoreItem xmlns:ds="http://schemas.openxmlformats.org/officeDocument/2006/customXml" ds:itemID="{08361D84-3678-459D-989A-3906D2126527}">
  <ds:schemaRefs/>
</ds:datastoreItem>
</file>

<file path=customXml/itemProps4.xml><?xml version="1.0" encoding="utf-8"?>
<ds:datastoreItem xmlns:ds="http://schemas.openxmlformats.org/officeDocument/2006/customXml" ds:itemID="{C1998483-048D-4C51-9402-24C7096DA16E}">
  <ds:schemaRefs/>
</ds:datastoreItem>
</file>

<file path=customXml/itemProps5.xml><?xml version="1.0" encoding="utf-8"?>
<ds:datastoreItem xmlns:ds="http://schemas.openxmlformats.org/officeDocument/2006/customXml" ds:itemID="{6A9EDA40-03F9-4773-8DF5-D8F06851F4A1}">
  <ds:schemaRefs/>
</ds:datastoreItem>
</file>

<file path=customXml/itemProps6.xml><?xml version="1.0" encoding="utf-8"?>
<ds:datastoreItem xmlns:ds="http://schemas.openxmlformats.org/officeDocument/2006/customXml" ds:itemID="{4E8EDC6E-E417-49B5-AF83-18694F37CB69}">
  <ds:schemaRefs/>
</ds:datastoreItem>
</file>

<file path=customXml/itemProps7.xml><?xml version="1.0" encoding="utf-8"?>
<ds:datastoreItem xmlns:ds="http://schemas.openxmlformats.org/officeDocument/2006/customXml" ds:itemID="{DC9C84C9-8C2E-4DB7-9D90-098DF3906B47}">
  <ds:schemaRefs/>
</ds:datastoreItem>
</file>

<file path=customXml/itemProps8.xml><?xml version="1.0" encoding="utf-8"?>
<ds:datastoreItem xmlns:ds="http://schemas.openxmlformats.org/officeDocument/2006/customXml" ds:itemID="{8C9727D2-2A33-4774-A5DB-4E395E0732A3}">
  <ds:schemaRefs/>
</ds:datastoreItem>
</file>

<file path=customXml/itemProps9.xml><?xml version="1.0" encoding="utf-8"?>
<ds:datastoreItem xmlns:ds="http://schemas.openxmlformats.org/officeDocument/2006/customXml" ds:itemID="{D1B8F090-381A-49CF-8032-298A8FF42471}">
  <ds:schemaRefs/>
</ds:datastoreItem>
</file>

<file path=customXml/itemProps10.xml><?xml version="1.0" encoding="utf-8"?>
<ds:datastoreItem xmlns:ds="http://schemas.openxmlformats.org/officeDocument/2006/customXml" ds:itemID="{255AA7E2-1E2B-415D-9596-DD666FAD3D0D}">
  <ds:schemaRefs/>
</ds:datastoreItem>
</file>

<file path=customXml/itemProps11.xml><?xml version="1.0" encoding="utf-8"?>
<ds:datastoreItem xmlns:ds="http://schemas.openxmlformats.org/officeDocument/2006/customXml" ds:itemID="{DE5114F6-B574-4CB7-BB31-DB126242BC92}">
  <ds:schemaRefs/>
</ds:datastoreItem>
</file>

<file path=customXml/itemProps12.xml><?xml version="1.0" encoding="utf-8"?>
<ds:datastoreItem xmlns:ds="http://schemas.openxmlformats.org/officeDocument/2006/customXml" ds:itemID="{C7A00A65-A737-4170-AFB4-B3B05FB80D4D}">
  <ds:schemaRefs/>
</ds:datastoreItem>
</file>

<file path=customXml/itemProps13.xml><?xml version="1.0" encoding="utf-8"?>
<ds:datastoreItem xmlns:ds="http://schemas.openxmlformats.org/officeDocument/2006/customXml" ds:itemID="{B4B36CC7-C96F-4ECA-B3BD-61F22E313D8B}">
  <ds:schemaRefs/>
</ds:datastoreItem>
</file>

<file path=customXml/itemProps14.xml><?xml version="1.0" encoding="utf-8"?>
<ds:datastoreItem xmlns:ds="http://schemas.openxmlformats.org/officeDocument/2006/customXml" ds:itemID="{D738F12F-4E9F-4E59-A813-4805E23702D2}">
  <ds:schemaRefs/>
</ds:datastoreItem>
</file>

<file path=customXml/itemProps15.xml><?xml version="1.0" encoding="utf-8"?>
<ds:datastoreItem xmlns:ds="http://schemas.openxmlformats.org/officeDocument/2006/customXml" ds:itemID="{8C27788D-69F1-4815-B033-D9336048D664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A051E791-B987-48B3-8170-B6453B30A67F}">
  <ds:schemaRefs/>
</ds:datastoreItem>
</file>

<file path=customXml/itemProps17.xml><?xml version="1.0" encoding="utf-8"?>
<ds:datastoreItem xmlns:ds="http://schemas.openxmlformats.org/officeDocument/2006/customXml" ds:itemID="{D45D6001-36E6-49CA-BF83-D3A8E5AB572C}">
  <ds:schemaRefs/>
</ds:datastoreItem>
</file>

<file path=customXml/itemProps18.xml><?xml version="1.0" encoding="utf-8"?>
<ds:datastoreItem xmlns:ds="http://schemas.openxmlformats.org/officeDocument/2006/customXml" ds:itemID="{41C74ADF-AFF0-4148-8232-376E48F8C8C0}">
  <ds:schemaRefs/>
</ds:datastoreItem>
</file>

<file path=customXml/itemProps19.xml><?xml version="1.0" encoding="utf-8"?>
<ds:datastoreItem xmlns:ds="http://schemas.openxmlformats.org/officeDocument/2006/customXml" ds:itemID="{9FD34EE3-1C06-47AD-BF11-7890C31EA2BB}">
  <ds:schemaRefs/>
</ds:datastoreItem>
</file>

<file path=customXml/itemProps20.xml><?xml version="1.0" encoding="utf-8"?>
<ds:datastoreItem xmlns:ds="http://schemas.openxmlformats.org/officeDocument/2006/customXml" ds:itemID="{1168AE54-83CF-452E-BBBD-A7FCD3F3CD78}">
  <ds:schemaRefs/>
</ds:datastoreItem>
</file>

<file path=customXml/itemProps21.xml><?xml version="1.0" encoding="utf-8"?>
<ds:datastoreItem xmlns:ds="http://schemas.openxmlformats.org/officeDocument/2006/customXml" ds:itemID="{330647D6-4CD2-4EDB-8D4E-179C0B91D17B}">
  <ds:schemaRefs/>
</ds:datastoreItem>
</file>

<file path=customXml/itemProps22.xml><?xml version="1.0" encoding="utf-8"?>
<ds:datastoreItem xmlns:ds="http://schemas.openxmlformats.org/officeDocument/2006/customXml" ds:itemID="{B3ABD4D3-0EA2-4A75-802C-58CB0BB39970}">
  <ds:schemaRefs/>
</ds:datastoreItem>
</file>

<file path=customXml/itemProps23.xml><?xml version="1.0" encoding="utf-8"?>
<ds:datastoreItem xmlns:ds="http://schemas.openxmlformats.org/officeDocument/2006/customXml" ds:itemID="{A1A4F9D6-35C1-4D74-811F-66CE517B725D}">
  <ds:schemaRefs/>
</ds:datastoreItem>
</file>

<file path=customXml/itemProps24.xml><?xml version="1.0" encoding="utf-8"?>
<ds:datastoreItem xmlns:ds="http://schemas.openxmlformats.org/officeDocument/2006/customXml" ds:itemID="{E49CAFF9-14D0-4F1E-AE7A-EEA3A609E5B6}">
  <ds:schemaRefs/>
</ds:datastoreItem>
</file>

<file path=customXml/itemProps25.xml><?xml version="1.0" encoding="utf-8"?>
<ds:datastoreItem xmlns:ds="http://schemas.openxmlformats.org/officeDocument/2006/customXml" ds:itemID="{26834DDB-8C41-4473-AC6F-3B51C8F96D4A}">
  <ds:schemaRefs/>
</ds:datastoreItem>
</file>

<file path=customXml/itemProps26.xml><?xml version="1.0" encoding="utf-8"?>
<ds:datastoreItem xmlns:ds="http://schemas.openxmlformats.org/officeDocument/2006/customXml" ds:itemID="{334BC3FF-0F66-4BB9-AFAA-47265414EA1D}">
  <ds:schemaRefs/>
</ds:datastoreItem>
</file>

<file path=customXml/itemProps27.xml><?xml version="1.0" encoding="utf-8"?>
<ds:datastoreItem xmlns:ds="http://schemas.openxmlformats.org/officeDocument/2006/customXml" ds:itemID="{09DB0030-8427-4056-8B99-B0453FE4018D}">
  <ds:schemaRefs/>
</ds:datastoreItem>
</file>

<file path=customXml/itemProps28.xml><?xml version="1.0" encoding="utf-8"?>
<ds:datastoreItem xmlns:ds="http://schemas.openxmlformats.org/officeDocument/2006/customXml" ds:itemID="{BA456C51-FA81-4856-9D69-A0968AE6EDA6}">
  <ds:schemaRefs/>
</ds:datastoreItem>
</file>

<file path=customXml/itemProps29.xml><?xml version="1.0" encoding="utf-8"?>
<ds:datastoreItem xmlns:ds="http://schemas.openxmlformats.org/officeDocument/2006/customXml" ds:itemID="{CDD9C67A-6D34-4578-814B-89A99F59A61E}">
  <ds:schemaRefs/>
</ds:datastoreItem>
</file>

<file path=customXml/itemProps30.xml><?xml version="1.0" encoding="utf-8"?>
<ds:datastoreItem xmlns:ds="http://schemas.openxmlformats.org/officeDocument/2006/customXml" ds:itemID="{06B8E95F-93D2-4B9E-8C7E-31FF728319C9}">
  <ds:schemaRefs/>
</ds:datastoreItem>
</file>

<file path=customXml/itemProps31.xml><?xml version="1.0" encoding="utf-8"?>
<ds:datastoreItem xmlns:ds="http://schemas.openxmlformats.org/officeDocument/2006/customXml" ds:itemID="{5878C91D-7CEE-4EBE-8764-7E3161E865FA}">
  <ds:schemaRefs/>
</ds:datastoreItem>
</file>

<file path=customXml/itemProps32.xml><?xml version="1.0" encoding="utf-8"?>
<ds:datastoreItem xmlns:ds="http://schemas.openxmlformats.org/officeDocument/2006/customXml" ds:itemID="{73FC9687-93B2-4907-8F34-FC03F957B0E8}">
  <ds:schemaRefs/>
</ds:datastoreItem>
</file>

<file path=customXml/itemProps33.xml><?xml version="1.0" encoding="utf-8"?>
<ds:datastoreItem xmlns:ds="http://schemas.openxmlformats.org/officeDocument/2006/customXml" ds:itemID="{2720F664-D2EC-49F4-9B74-C76985463E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DimProject</vt:lpstr>
      <vt:lpstr>DimItems</vt:lpstr>
      <vt:lpstr>FactProgress</vt:lpstr>
      <vt:lpstr>DimPM</vt:lpstr>
      <vt:lpstr>DimOwner</vt:lpstr>
      <vt:lpstr>Overview</vt:lpstr>
      <vt:lpstr>Phase &amp; Line</vt:lpstr>
      <vt:lpstr>Gantt View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ClientePeru 3reemplazo06</dc:creator>
  <cp:lastModifiedBy>ClientePeru 3reemplazo06</cp:lastModifiedBy>
  <dcterms:created xsi:type="dcterms:W3CDTF">2026-03-10T23:38:49Z</dcterms:created>
  <dcterms:modified xsi:type="dcterms:W3CDTF">2026-03-19T20:04:15Z</dcterms:modified>
</cp:coreProperties>
</file>