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filterPrivacy="1" codeName="ThisWorkbook" autoCompressPictures="0"/>
  <xr:revisionPtr revIDLastSave="0" documentId="13_ncr:1_{572203E4-084B-43A8-9A07-B5F104514D2B}" xr6:coauthVersionLast="47" xr6:coauthVersionMax="47" xr10:uidLastSave="{00000000-0000-0000-0000-000000000000}"/>
  <bookViews>
    <workbookView xWindow="-120" yWindow="-16320" windowWidth="29040" windowHeight="15840" tabRatio="500" activeTab="7" xr2:uid="{00000000-000D-0000-FFFF-FFFF00000000}"/>
  </bookViews>
  <sheets>
    <sheet name="Introducción" sheetId="24" r:id="rId1"/>
    <sheet name="Modelo AHP" sheetId="1" r:id="rId2"/>
    <sheet name="Índices y Ranking Barrio" sheetId="7" r:id="rId3"/>
    <sheet name="Indices por Distritos" sheetId="20" r:id="rId4"/>
    <sheet name="aux" sheetId="4" r:id="rId5"/>
    <sheet name="correla" sheetId="12" state="hidden" r:id="rId6"/>
    <sheet name="Gráficos" sheetId="10" state="hidden" r:id="rId7"/>
    <sheet name="aux.2" sheetId="25" r:id="rId8"/>
    <sheet name="Fuentes de datos" sheetId="13" r:id="rId9"/>
  </sheets>
  <definedNames>
    <definedName name="_xlnm._FilterDatabase" localSheetId="3" hidden="1">'Indices por Distritos'!$B$3:$D$3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P1" i="4" l="1"/>
  <c r="P11" i="4" s="1"/>
  <c r="Q1" i="4"/>
  <c r="S1" i="4"/>
  <c r="S5" i="4" s="1"/>
  <c r="T1" i="4"/>
  <c r="T7" i="4" s="1"/>
  <c r="V1" i="4"/>
  <c r="W1" i="4"/>
  <c r="X1" i="4"/>
  <c r="X11" i="4" s="1"/>
  <c r="Y1" i="4"/>
  <c r="Y11" i="4" s="1"/>
  <c r="AA1" i="4"/>
  <c r="AA5" i="4" s="1"/>
  <c r="AB1" i="4"/>
  <c r="AB7" i="4" s="1"/>
  <c r="AC1" i="4"/>
  <c r="AC7" i="4" s="1"/>
  <c r="AD1" i="4"/>
  <c r="AD74" i="4" s="1"/>
  <c r="P5" i="4"/>
  <c r="Q5" i="4"/>
  <c r="W5" i="4"/>
  <c r="X5" i="4"/>
  <c r="Y5" i="4"/>
  <c r="AC5" i="4"/>
  <c r="P6" i="4"/>
  <c r="Q6" i="4"/>
  <c r="S6" i="4"/>
  <c r="X6" i="4"/>
  <c r="Y6" i="4"/>
  <c r="AA6" i="4"/>
  <c r="AC6" i="4"/>
  <c r="Q7" i="4"/>
  <c r="S7" i="4"/>
  <c r="Y7" i="4"/>
  <c r="AA7" i="4"/>
  <c r="P8" i="4"/>
  <c r="Q8" i="4"/>
  <c r="S8" i="4"/>
  <c r="T8" i="4"/>
  <c r="X8" i="4"/>
  <c r="AA8" i="4"/>
  <c r="AB8" i="4"/>
  <c r="AC8" i="4"/>
  <c r="Q9" i="4"/>
  <c r="S9" i="4"/>
  <c r="T9" i="4"/>
  <c r="Y9" i="4"/>
  <c r="AA9" i="4"/>
  <c r="AB9" i="4"/>
  <c r="AC9" i="4"/>
  <c r="Q10" i="4"/>
  <c r="S10" i="4"/>
  <c r="T10" i="4"/>
  <c r="Y10" i="4"/>
  <c r="AA10" i="4"/>
  <c r="AB10" i="4"/>
  <c r="AC10" i="4"/>
  <c r="Q11" i="4"/>
  <c r="S11" i="4"/>
  <c r="V11" i="4"/>
  <c r="AA11" i="4"/>
  <c r="AC11" i="4"/>
  <c r="AD11" i="4"/>
  <c r="P12" i="4"/>
  <c r="Q12" i="4"/>
  <c r="S12" i="4"/>
  <c r="T12" i="4"/>
  <c r="V12" i="4"/>
  <c r="X12" i="4"/>
  <c r="Y12" i="4"/>
  <c r="AA12" i="4"/>
  <c r="AB12" i="4"/>
  <c r="AC12" i="4"/>
  <c r="P13" i="4"/>
  <c r="Q13" i="4"/>
  <c r="S13" i="4"/>
  <c r="X13" i="4"/>
  <c r="Y13" i="4"/>
  <c r="AA13" i="4"/>
  <c r="AC13" i="4"/>
  <c r="P14" i="4"/>
  <c r="Q14" i="4"/>
  <c r="S14" i="4"/>
  <c r="X14" i="4"/>
  <c r="Y14" i="4"/>
  <c r="AA14" i="4"/>
  <c r="AC14" i="4"/>
  <c r="Q15" i="4"/>
  <c r="S15" i="4"/>
  <c r="Y15" i="4"/>
  <c r="AA15" i="4"/>
  <c r="AC15" i="4"/>
  <c r="P16" i="4"/>
  <c r="Q16" i="4"/>
  <c r="S16" i="4"/>
  <c r="T16" i="4"/>
  <c r="X16" i="4"/>
  <c r="Y16" i="4"/>
  <c r="AA16" i="4"/>
  <c r="AB16" i="4"/>
  <c r="AC16" i="4"/>
  <c r="Q17" i="4"/>
  <c r="S17" i="4"/>
  <c r="T17" i="4"/>
  <c r="Y17" i="4"/>
  <c r="AA17" i="4"/>
  <c r="AB17" i="4"/>
  <c r="AC17" i="4"/>
  <c r="Q18" i="4"/>
  <c r="S18" i="4"/>
  <c r="T18" i="4"/>
  <c r="Y18" i="4"/>
  <c r="AA18" i="4"/>
  <c r="AB18" i="4"/>
  <c r="AC18" i="4"/>
  <c r="Q19" i="4"/>
  <c r="S19" i="4"/>
  <c r="V19" i="4"/>
  <c r="Y19" i="4"/>
  <c r="AA19" i="4"/>
  <c r="AC19" i="4"/>
  <c r="P20" i="4"/>
  <c r="Q20" i="4"/>
  <c r="S20" i="4"/>
  <c r="T20" i="4"/>
  <c r="V20" i="4"/>
  <c r="X20" i="4"/>
  <c r="Y20" i="4"/>
  <c r="AA20" i="4"/>
  <c r="AB20" i="4"/>
  <c r="AC20" i="4"/>
  <c r="AD20" i="4"/>
  <c r="AI20" i="4" s="1"/>
  <c r="P21" i="4"/>
  <c r="Q21" i="4"/>
  <c r="S21" i="4"/>
  <c r="X21" i="4"/>
  <c r="Y21" i="4"/>
  <c r="AA21" i="4"/>
  <c r="AC21" i="4"/>
  <c r="P22" i="4"/>
  <c r="Q22" i="4"/>
  <c r="S22" i="4"/>
  <c r="X22" i="4"/>
  <c r="Y22" i="4"/>
  <c r="AA22" i="4"/>
  <c r="AC22" i="4"/>
  <c r="Q23" i="4"/>
  <c r="S23" i="4"/>
  <c r="Y23" i="4"/>
  <c r="AA23" i="4"/>
  <c r="AC23" i="4"/>
  <c r="P24" i="4"/>
  <c r="Q24" i="4"/>
  <c r="S24" i="4"/>
  <c r="T24" i="4"/>
  <c r="X24" i="4"/>
  <c r="Y24" i="4"/>
  <c r="AA24" i="4"/>
  <c r="AB24" i="4"/>
  <c r="AC24" i="4"/>
  <c r="Q25" i="4"/>
  <c r="S25" i="4"/>
  <c r="T25" i="4"/>
  <c r="Y25" i="4"/>
  <c r="AA25" i="4"/>
  <c r="AB25" i="4"/>
  <c r="AC25" i="4"/>
  <c r="Q26" i="4"/>
  <c r="S26" i="4"/>
  <c r="T26" i="4"/>
  <c r="Y26" i="4"/>
  <c r="AA26" i="4"/>
  <c r="AB26" i="4"/>
  <c r="AC26" i="4"/>
  <c r="Q27" i="4"/>
  <c r="S27" i="4"/>
  <c r="V27" i="4"/>
  <c r="Y27" i="4"/>
  <c r="AA27" i="4"/>
  <c r="AC27" i="4"/>
  <c r="AD27" i="4"/>
  <c r="P28" i="4"/>
  <c r="Q28" i="4"/>
  <c r="S28" i="4"/>
  <c r="T28" i="4"/>
  <c r="V28" i="4"/>
  <c r="X28" i="4"/>
  <c r="Y28" i="4"/>
  <c r="AA28" i="4"/>
  <c r="AB28" i="4"/>
  <c r="AC28" i="4"/>
  <c r="P29" i="4"/>
  <c r="Q29" i="4"/>
  <c r="S29" i="4"/>
  <c r="X29" i="4"/>
  <c r="Y29" i="4"/>
  <c r="AA29" i="4"/>
  <c r="AC29" i="4"/>
  <c r="P30" i="4"/>
  <c r="Q30" i="4"/>
  <c r="S30" i="4"/>
  <c r="X30" i="4"/>
  <c r="Y30" i="4"/>
  <c r="AA30" i="4"/>
  <c r="AC30" i="4"/>
  <c r="Q31" i="4"/>
  <c r="S31" i="4"/>
  <c r="T31" i="4"/>
  <c r="Y31" i="4"/>
  <c r="AA31" i="4"/>
  <c r="AB31" i="4"/>
  <c r="AC31" i="4"/>
  <c r="P32" i="4"/>
  <c r="Q32" i="4"/>
  <c r="S32" i="4"/>
  <c r="T32" i="4"/>
  <c r="X32" i="4"/>
  <c r="Y32" i="4"/>
  <c r="AA32" i="4"/>
  <c r="AB32" i="4"/>
  <c r="AC32" i="4"/>
  <c r="P33" i="4"/>
  <c r="Q33" i="4"/>
  <c r="S33" i="4"/>
  <c r="T33" i="4"/>
  <c r="X33" i="4"/>
  <c r="Y33" i="4"/>
  <c r="AA33" i="4"/>
  <c r="AB33" i="4"/>
  <c r="AC33" i="4"/>
  <c r="P34" i="4"/>
  <c r="Q34" i="4"/>
  <c r="S34" i="4"/>
  <c r="T34" i="4"/>
  <c r="X34" i="4"/>
  <c r="Y34" i="4"/>
  <c r="AA34" i="4"/>
  <c r="AB34" i="4"/>
  <c r="AC34" i="4"/>
  <c r="P35" i="4"/>
  <c r="Q35" i="4"/>
  <c r="S35" i="4"/>
  <c r="V35" i="4"/>
  <c r="X35" i="4"/>
  <c r="Y35" i="4"/>
  <c r="AA35" i="4"/>
  <c r="AC35" i="4"/>
  <c r="P36" i="4"/>
  <c r="Q36" i="4"/>
  <c r="S36" i="4"/>
  <c r="T36" i="4"/>
  <c r="V36" i="4"/>
  <c r="X36" i="4"/>
  <c r="Y36" i="4"/>
  <c r="AA36" i="4"/>
  <c r="AB36" i="4"/>
  <c r="AC36" i="4"/>
  <c r="AD36" i="4"/>
  <c r="AI36" i="4" s="1"/>
  <c r="P37" i="4"/>
  <c r="Q37" i="4"/>
  <c r="S37" i="4"/>
  <c r="T37" i="4"/>
  <c r="X37" i="4"/>
  <c r="Y37" i="4"/>
  <c r="AA37" i="4"/>
  <c r="AB37" i="4"/>
  <c r="AC37" i="4"/>
  <c r="P38" i="4"/>
  <c r="Q38" i="4"/>
  <c r="S38" i="4"/>
  <c r="T38" i="4"/>
  <c r="X38" i="4"/>
  <c r="Y38" i="4"/>
  <c r="AA38" i="4"/>
  <c r="AB38" i="4"/>
  <c r="AC38" i="4"/>
  <c r="Q39" i="4"/>
  <c r="S39" i="4"/>
  <c r="T39" i="4"/>
  <c r="Y39" i="4"/>
  <c r="AA39" i="4"/>
  <c r="AB39" i="4"/>
  <c r="AC39" i="4"/>
  <c r="P40" i="4"/>
  <c r="Q40" i="4"/>
  <c r="S40" i="4"/>
  <c r="T40" i="4"/>
  <c r="X40" i="4"/>
  <c r="Y40" i="4"/>
  <c r="AA40" i="4"/>
  <c r="AB40" i="4"/>
  <c r="AC40" i="4"/>
  <c r="P41" i="4"/>
  <c r="Q41" i="4"/>
  <c r="S41" i="4"/>
  <c r="T41" i="4"/>
  <c r="X41" i="4"/>
  <c r="Y41" i="4"/>
  <c r="AA41" i="4"/>
  <c r="AB41" i="4"/>
  <c r="AC41" i="4"/>
  <c r="P42" i="4"/>
  <c r="Q42" i="4"/>
  <c r="S42" i="4"/>
  <c r="T42" i="4"/>
  <c r="X42" i="4"/>
  <c r="Y42" i="4"/>
  <c r="AA42" i="4"/>
  <c r="AB42" i="4"/>
  <c r="AC42" i="4"/>
  <c r="P43" i="4"/>
  <c r="Q43" i="4"/>
  <c r="S43" i="4"/>
  <c r="T43" i="4"/>
  <c r="V43" i="4"/>
  <c r="X43" i="4"/>
  <c r="Y43" i="4"/>
  <c r="AA43" i="4"/>
  <c r="AC43" i="4"/>
  <c r="AD43" i="4"/>
  <c r="P44" i="4"/>
  <c r="Q44" i="4"/>
  <c r="S44" i="4"/>
  <c r="T44" i="4"/>
  <c r="V44" i="4"/>
  <c r="X44" i="4"/>
  <c r="Y44" i="4"/>
  <c r="AA44" i="4"/>
  <c r="AB44" i="4"/>
  <c r="AC44" i="4"/>
  <c r="AD44" i="4"/>
  <c r="P45" i="4"/>
  <c r="Q45" i="4"/>
  <c r="S45" i="4"/>
  <c r="T45" i="4"/>
  <c r="X45" i="4"/>
  <c r="Y45" i="4"/>
  <c r="AA45" i="4"/>
  <c r="AB45" i="4"/>
  <c r="AC45" i="4"/>
  <c r="P46" i="4"/>
  <c r="Q46" i="4"/>
  <c r="S46" i="4"/>
  <c r="T46" i="4"/>
  <c r="X46" i="4"/>
  <c r="Y46" i="4"/>
  <c r="AA46" i="4"/>
  <c r="AB46" i="4"/>
  <c r="AC46" i="4"/>
  <c r="P47" i="4"/>
  <c r="Q47" i="4"/>
  <c r="S47" i="4"/>
  <c r="T47" i="4"/>
  <c r="X47" i="4"/>
  <c r="Y47" i="4"/>
  <c r="AA47" i="4"/>
  <c r="AB47" i="4"/>
  <c r="AC47" i="4"/>
  <c r="P48" i="4"/>
  <c r="Q48" i="4"/>
  <c r="S48" i="4"/>
  <c r="T48" i="4"/>
  <c r="X48" i="4"/>
  <c r="Y48" i="4"/>
  <c r="AA48" i="4"/>
  <c r="AB48" i="4"/>
  <c r="AC48" i="4"/>
  <c r="P49" i="4"/>
  <c r="Q49" i="4"/>
  <c r="S49" i="4"/>
  <c r="T49" i="4"/>
  <c r="X49" i="4"/>
  <c r="Y49" i="4"/>
  <c r="AA49" i="4"/>
  <c r="AB49" i="4"/>
  <c r="AC49" i="4"/>
  <c r="P50" i="4"/>
  <c r="Q50" i="4"/>
  <c r="S50" i="4"/>
  <c r="T50" i="4"/>
  <c r="X50" i="4"/>
  <c r="Y50" i="4"/>
  <c r="AA50" i="4"/>
  <c r="AB50" i="4"/>
  <c r="AC50" i="4"/>
  <c r="P51" i="4"/>
  <c r="Q51" i="4"/>
  <c r="S51" i="4"/>
  <c r="T51" i="4"/>
  <c r="V51" i="4"/>
  <c r="X51" i="4"/>
  <c r="Y51" i="4"/>
  <c r="AA51" i="4"/>
  <c r="AB51" i="4"/>
  <c r="AC51" i="4"/>
  <c r="AD51" i="4"/>
  <c r="AI51" i="4" s="1"/>
  <c r="P52" i="4"/>
  <c r="Q52" i="4"/>
  <c r="S52" i="4"/>
  <c r="T52" i="4"/>
  <c r="V52" i="4"/>
  <c r="X52" i="4"/>
  <c r="Y52" i="4"/>
  <c r="AA52" i="4"/>
  <c r="AB52" i="4"/>
  <c r="AC52" i="4"/>
  <c r="AD52" i="4"/>
  <c r="P53" i="4"/>
  <c r="Q53" i="4"/>
  <c r="S53" i="4"/>
  <c r="T53" i="4"/>
  <c r="X53" i="4"/>
  <c r="Y53" i="4"/>
  <c r="AA53" i="4"/>
  <c r="AB53" i="4"/>
  <c r="AC53" i="4"/>
  <c r="P54" i="4"/>
  <c r="Q54" i="4"/>
  <c r="S54" i="4"/>
  <c r="T54" i="4"/>
  <c r="X54" i="4"/>
  <c r="Y54" i="4"/>
  <c r="AA54" i="4"/>
  <c r="AB54" i="4"/>
  <c r="AC54" i="4"/>
  <c r="P55" i="4"/>
  <c r="Q55" i="4"/>
  <c r="S55" i="4"/>
  <c r="T55" i="4"/>
  <c r="X55" i="4"/>
  <c r="Y55" i="4"/>
  <c r="AA55" i="4"/>
  <c r="AB55" i="4"/>
  <c r="AC55" i="4"/>
  <c r="P56" i="4"/>
  <c r="Q56" i="4"/>
  <c r="S56" i="4"/>
  <c r="T56" i="4"/>
  <c r="X56" i="4"/>
  <c r="Y56" i="4"/>
  <c r="AA56" i="4"/>
  <c r="AB56" i="4"/>
  <c r="AC56" i="4"/>
  <c r="P57" i="4"/>
  <c r="Q57" i="4"/>
  <c r="S57" i="4"/>
  <c r="T57" i="4"/>
  <c r="X57" i="4"/>
  <c r="Y57" i="4"/>
  <c r="AA57" i="4"/>
  <c r="AB57" i="4"/>
  <c r="AC57" i="4"/>
  <c r="P58" i="4"/>
  <c r="Q58" i="4"/>
  <c r="S58" i="4"/>
  <c r="T58" i="4"/>
  <c r="X58" i="4"/>
  <c r="Y58" i="4"/>
  <c r="AA58" i="4"/>
  <c r="AB58" i="4"/>
  <c r="AC58" i="4"/>
  <c r="P59" i="4"/>
  <c r="Q59" i="4"/>
  <c r="S59" i="4"/>
  <c r="T59" i="4"/>
  <c r="V59" i="4"/>
  <c r="X59" i="4"/>
  <c r="Y59" i="4"/>
  <c r="AA59" i="4"/>
  <c r="AB59" i="4"/>
  <c r="AC59" i="4"/>
  <c r="AD59" i="4"/>
  <c r="P60" i="4"/>
  <c r="Q60" i="4"/>
  <c r="S60" i="4"/>
  <c r="T60" i="4"/>
  <c r="V60" i="4"/>
  <c r="X60" i="4"/>
  <c r="Y60" i="4"/>
  <c r="AA60" i="4"/>
  <c r="AB60" i="4"/>
  <c r="AC60" i="4"/>
  <c r="AD60" i="4"/>
  <c r="P61" i="4"/>
  <c r="Q61" i="4"/>
  <c r="S61" i="4"/>
  <c r="T61" i="4"/>
  <c r="X61" i="4"/>
  <c r="Y61" i="4"/>
  <c r="AA61" i="4"/>
  <c r="AB61" i="4"/>
  <c r="AC61" i="4"/>
  <c r="P62" i="4"/>
  <c r="Q62" i="4"/>
  <c r="S62" i="4"/>
  <c r="T62" i="4"/>
  <c r="X62" i="4"/>
  <c r="Y62" i="4"/>
  <c r="AA62" i="4"/>
  <c r="AB62" i="4"/>
  <c r="AC62" i="4"/>
  <c r="P63" i="4"/>
  <c r="Q63" i="4"/>
  <c r="S63" i="4"/>
  <c r="T63" i="4"/>
  <c r="X63" i="4"/>
  <c r="Y63" i="4"/>
  <c r="AA63" i="4"/>
  <c r="AB63" i="4"/>
  <c r="AC63" i="4"/>
  <c r="P64" i="4"/>
  <c r="Q64" i="4"/>
  <c r="S64" i="4"/>
  <c r="T64" i="4"/>
  <c r="X64" i="4"/>
  <c r="Y64" i="4"/>
  <c r="AA64" i="4"/>
  <c r="AB64" i="4"/>
  <c r="AC64" i="4"/>
  <c r="P65" i="4"/>
  <c r="Q65" i="4"/>
  <c r="S65" i="4"/>
  <c r="T65" i="4"/>
  <c r="X65" i="4"/>
  <c r="Y65" i="4"/>
  <c r="AA65" i="4"/>
  <c r="AB65" i="4"/>
  <c r="AC65" i="4"/>
  <c r="P66" i="4"/>
  <c r="Q66" i="4"/>
  <c r="S66" i="4"/>
  <c r="T66" i="4"/>
  <c r="X66" i="4"/>
  <c r="Y66" i="4"/>
  <c r="AA66" i="4"/>
  <c r="AB66" i="4"/>
  <c r="AC66" i="4"/>
  <c r="P67" i="4"/>
  <c r="Q67" i="4"/>
  <c r="S67" i="4"/>
  <c r="T67" i="4"/>
  <c r="V67" i="4"/>
  <c r="X67" i="4"/>
  <c r="Y67" i="4"/>
  <c r="AA67" i="4"/>
  <c r="AB67" i="4"/>
  <c r="AC67" i="4"/>
  <c r="AD67" i="4"/>
  <c r="P68" i="4"/>
  <c r="Q68" i="4"/>
  <c r="S68" i="4"/>
  <c r="T68" i="4"/>
  <c r="V68" i="4"/>
  <c r="X68" i="4"/>
  <c r="Y68" i="4"/>
  <c r="AA68" i="4"/>
  <c r="AB68" i="4"/>
  <c r="AC68" i="4"/>
  <c r="AD68" i="4"/>
  <c r="P69" i="4"/>
  <c r="Q69" i="4"/>
  <c r="S69" i="4"/>
  <c r="T69" i="4"/>
  <c r="X69" i="4"/>
  <c r="Y69" i="4"/>
  <c r="AA69" i="4"/>
  <c r="AB69" i="4"/>
  <c r="AC69" i="4"/>
  <c r="P70" i="4"/>
  <c r="Q70" i="4"/>
  <c r="S70" i="4"/>
  <c r="T70" i="4"/>
  <c r="X70" i="4"/>
  <c r="Y70" i="4"/>
  <c r="AA70" i="4"/>
  <c r="AB70" i="4"/>
  <c r="AC70" i="4"/>
  <c r="P71" i="4"/>
  <c r="Q71" i="4"/>
  <c r="S71" i="4"/>
  <c r="T71" i="4"/>
  <c r="X71" i="4"/>
  <c r="Y71" i="4"/>
  <c r="AA71" i="4"/>
  <c r="AB71" i="4"/>
  <c r="AC71" i="4"/>
  <c r="P72" i="4"/>
  <c r="Q72" i="4"/>
  <c r="S72" i="4"/>
  <c r="T72" i="4"/>
  <c r="X72" i="4"/>
  <c r="Y72" i="4"/>
  <c r="AA72" i="4"/>
  <c r="AB72" i="4"/>
  <c r="AC72" i="4"/>
  <c r="P73" i="4"/>
  <c r="Q73" i="4"/>
  <c r="S73" i="4"/>
  <c r="T73" i="4"/>
  <c r="X73" i="4"/>
  <c r="Y73" i="4"/>
  <c r="AA73" i="4"/>
  <c r="AB73" i="4"/>
  <c r="AC73" i="4"/>
  <c r="P74" i="4"/>
  <c r="Q74" i="4"/>
  <c r="S74" i="4"/>
  <c r="T74" i="4"/>
  <c r="V74" i="4"/>
  <c r="X74" i="4"/>
  <c r="Y74" i="4"/>
  <c r="AA74" i="4"/>
  <c r="AB74" i="4"/>
  <c r="AC74" i="4"/>
  <c r="P75" i="4"/>
  <c r="Q75" i="4"/>
  <c r="S75" i="4"/>
  <c r="T75" i="4"/>
  <c r="V75" i="4"/>
  <c r="X75" i="4"/>
  <c r="Y75" i="4"/>
  <c r="AA75" i="4"/>
  <c r="AB75" i="4"/>
  <c r="AC75" i="4"/>
  <c r="P76" i="4"/>
  <c r="Q76" i="4"/>
  <c r="S76" i="4"/>
  <c r="T76" i="4"/>
  <c r="V76" i="4"/>
  <c r="W76" i="4"/>
  <c r="X76" i="4"/>
  <c r="Y76" i="4"/>
  <c r="AA76" i="4"/>
  <c r="AB76" i="4"/>
  <c r="AC76" i="4"/>
  <c r="AD76" i="4"/>
  <c r="AI76" i="4" s="1"/>
  <c r="P77" i="4"/>
  <c r="Q77" i="4"/>
  <c r="S77" i="4"/>
  <c r="T77" i="4"/>
  <c r="X77" i="4"/>
  <c r="Y77" i="4"/>
  <c r="AA77" i="4"/>
  <c r="AB77" i="4"/>
  <c r="AC77" i="4"/>
  <c r="P78" i="4"/>
  <c r="Q78" i="4"/>
  <c r="S78" i="4"/>
  <c r="T78" i="4"/>
  <c r="V78" i="4"/>
  <c r="X78" i="4"/>
  <c r="Y78" i="4"/>
  <c r="AA78" i="4"/>
  <c r="AB78" i="4"/>
  <c r="AC78" i="4"/>
  <c r="AD78" i="4"/>
  <c r="P79" i="4"/>
  <c r="Q79" i="4"/>
  <c r="S79" i="4"/>
  <c r="T79" i="4"/>
  <c r="X79" i="4"/>
  <c r="Y79" i="4"/>
  <c r="AA79" i="4"/>
  <c r="AB79" i="4"/>
  <c r="AC79" i="4"/>
  <c r="P80" i="4"/>
  <c r="Q80" i="4"/>
  <c r="S80" i="4"/>
  <c r="T80" i="4"/>
  <c r="X80" i="4"/>
  <c r="Y80" i="4"/>
  <c r="AA80" i="4"/>
  <c r="AB80" i="4"/>
  <c r="AC80" i="4"/>
  <c r="P81" i="4"/>
  <c r="Q81" i="4"/>
  <c r="S81" i="4"/>
  <c r="T81" i="4"/>
  <c r="X81" i="4"/>
  <c r="Y81" i="4"/>
  <c r="AA81" i="4"/>
  <c r="AB81" i="4"/>
  <c r="AC81" i="4"/>
  <c r="P82" i="4"/>
  <c r="Q82" i="4"/>
  <c r="S82" i="4"/>
  <c r="T82" i="4"/>
  <c r="V82" i="4"/>
  <c r="X82" i="4"/>
  <c r="Y82" i="4"/>
  <c r="AA82" i="4"/>
  <c r="AB82" i="4"/>
  <c r="AC82" i="4"/>
  <c r="AD82" i="4"/>
  <c r="P83" i="4"/>
  <c r="Q83" i="4"/>
  <c r="S83" i="4"/>
  <c r="T83" i="4"/>
  <c r="V83" i="4"/>
  <c r="X83" i="4"/>
  <c r="Y83" i="4"/>
  <c r="AA83" i="4"/>
  <c r="AB83" i="4"/>
  <c r="AC83" i="4"/>
  <c r="AD83" i="4"/>
  <c r="P84" i="4"/>
  <c r="Q84" i="4"/>
  <c r="S84" i="4"/>
  <c r="T84" i="4"/>
  <c r="V84" i="4"/>
  <c r="X84" i="4"/>
  <c r="Y84" i="4"/>
  <c r="AA84" i="4"/>
  <c r="AB84" i="4"/>
  <c r="AC84" i="4"/>
  <c r="AD84" i="4"/>
  <c r="P85" i="4"/>
  <c r="Q85" i="4"/>
  <c r="S85" i="4"/>
  <c r="T85" i="4"/>
  <c r="V85" i="4"/>
  <c r="X85" i="4"/>
  <c r="Y85" i="4"/>
  <c r="AA85" i="4"/>
  <c r="AB85" i="4"/>
  <c r="AC85" i="4"/>
  <c r="AD85" i="4"/>
  <c r="AI85" i="4" s="1"/>
  <c r="P86" i="4"/>
  <c r="Q86" i="4"/>
  <c r="S86" i="4"/>
  <c r="T86" i="4"/>
  <c r="V86" i="4"/>
  <c r="X86" i="4"/>
  <c r="Y86" i="4"/>
  <c r="AA86" i="4"/>
  <c r="AB86" i="4"/>
  <c r="AC86" i="4"/>
  <c r="AD86" i="4"/>
  <c r="P87" i="4"/>
  <c r="Q87" i="4"/>
  <c r="S87" i="4"/>
  <c r="T87" i="4"/>
  <c r="X87" i="4"/>
  <c r="Y87" i="4"/>
  <c r="AA87" i="4"/>
  <c r="AB87" i="4"/>
  <c r="AC87" i="4"/>
  <c r="P88" i="4"/>
  <c r="Q88" i="4"/>
  <c r="S88" i="4"/>
  <c r="T88" i="4"/>
  <c r="X88" i="4"/>
  <c r="Y88" i="4"/>
  <c r="AA88" i="4"/>
  <c r="AB88" i="4"/>
  <c r="AC88" i="4"/>
  <c r="P89" i="4"/>
  <c r="Q89" i="4"/>
  <c r="S89" i="4"/>
  <c r="T89" i="4"/>
  <c r="X89" i="4"/>
  <c r="Y89" i="4"/>
  <c r="AA89" i="4"/>
  <c r="AB89" i="4"/>
  <c r="AC89" i="4"/>
  <c r="P90" i="4"/>
  <c r="Q90" i="4"/>
  <c r="S90" i="4"/>
  <c r="T90" i="4"/>
  <c r="V90" i="4"/>
  <c r="X90" i="4"/>
  <c r="Y90" i="4"/>
  <c r="AA90" i="4"/>
  <c r="AB90" i="4"/>
  <c r="AC90" i="4"/>
  <c r="P91" i="4"/>
  <c r="Q91" i="4"/>
  <c r="S91" i="4"/>
  <c r="T91" i="4"/>
  <c r="V91" i="4"/>
  <c r="X91" i="4"/>
  <c r="Y91" i="4"/>
  <c r="AA91" i="4"/>
  <c r="AB91" i="4"/>
  <c r="AC91" i="4"/>
  <c r="P92" i="4"/>
  <c r="Q92" i="4"/>
  <c r="S92" i="4"/>
  <c r="T92" i="4"/>
  <c r="V92" i="4"/>
  <c r="X92" i="4"/>
  <c r="Y92" i="4"/>
  <c r="AA92" i="4"/>
  <c r="AB92" i="4"/>
  <c r="AC92" i="4"/>
  <c r="AD92" i="4"/>
  <c r="P93" i="4"/>
  <c r="Q93" i="4"/>
  <c r="S93" i="4"/>
  <c r="T93" i="4"/>
  <c r="V93" i="4"/>
  <c r="X93" i="4"/>
  <c r="Y93" i="4"/>
  <c r="AA93" i="4"/>
  <c r="AB93" i="4"/>
  <c r="AC93" i="4"/>
  <c r="AD93" i="4"/>
  <c r="AI93" i="4" s="1"/>
  <c r="P94" i="4"/>
  <c r="Q94" i="4"/>
  <c r="S94" i="4"/>
  <c r="T94" i="4"/>
  <c r="V94" i="4"/>
  <c r="X94" i="4"/>
  <c r="Y94" i="4"/>
  <c r="AA94" i="4"/>
  <c r="AB94" i="4"/>
  <c r="AC94" i="4"/>
  <c r="AD94" i="4"/>
  <c r="P95" i="4"/>
  <c r="Q95" i="4"/>
  <c r="S95" i="4"/>
  <c r="T95" i="4"/>
  <c r="V95" i="4"/>
  <c r="X95" i="4"/>
  <c r="Y95" i="4"/>
  <c r="AA95" i="4"/>
  <c r="AB95" i="4"/>
  <c r="AC95" i="4"/>
  <c r="P96" i="4"/>
  <c r="Q96" i="4"/>
  <c r="S96" i="4"/>
  <c r="T96" i="4"/>
  <c r="V96" i="4"/>
  <c r="X96" i="4"/>
  <c r="Y96" i="4"/>
  <c r="AA96" i="4"/>
  <c r="AB96" i="4"/>
  <c r="AC96" i="4"/>
  <c r="AD96" i="4"/>
  <c r="P97" i="4"/>
  <c r="Q97" i="4"/>
  <c r="S97" i="4"/>
  <c r="T97" i="4"/>
  <c r="V97" i="4"/>
  <c r="X97" i="4"/>
  <c r="Y97" i="4"/>
  <c r="AA97" i="4"/>
  <c r="AB97" i="4"/>
  <c r="AC97" i="4"/>
  <c r="AD97" i="4"/>
  <c r="P98" i="4"/>
  <c r="Q98" i="4"/>
  <c r="S98" i="4"/>
  <c r="T98" i="4"/>
  <c r="V98" i="4"/>
  <c r="X98" i="4"/>
  <c r="Y98" i="4"/>
  <c r="AA98" i="4"/>
  <c r="AB98" i="4"/>
  <c r="AC98" i="4"/>
  <c r="P99" i="4"/>
  <c r="Q99" i="4"/>
  <c r="S99" i="4"/>
  <c r="T99" i="4"/>
  <c r="V99" i="4"/>
  <c r="X99" i="4"/>
  <c r="Y99" i="4"/>
  <c r="AA99" i="4"/>
  <c r="AB99" i="4"/>
  <c r="AI99" i="4" s="1"/>
  <c r="AC99" i="4"/>
  <c r="AD99" i="4"/>
  <c r="P100" i="4"/>
  <c r="Q100" i="4"/>
  <c r="S100" i="4"/>
  <c r="T100" i="4"/>
  <c r="V100" i="4"/>
  <c r="X100" i="4"/>
  <c r="Y100" i="4"/>
  <c r="AA100" i="4"/>
  <c r="AB100" i="4"/>
  <c r="AC100" i="4"/>
  <c r="AD100" i="4"/>
  <c r="P101" i="4"/>
  <c r="Q101" i="4"/>
  <c r="S101" i="4"/>
  <c r="T101" i="4"/>
  <c r="V101" i="4"/>
  <c r="X101" i="4"/>
  <c r="Y101" i="4"/>
  <c r="AA101" i="4"/>
  <c r="AB101" i="4"/>
  <c r="AC101" i="4"/>
  <c r="AD101" i="4"/>
  <c r="P102" i="4"/>
  <c r="Q102" i="4"/>
  <c r="S102" i="4"/>
  <c r="T102" i="4"/>
  <c r="V102" i="4"/>
  <c r="X102" i="4"/>
  <c r="Y102" i="4"/>
  <c r="AA102" i="4"/>
  <c r="AB102" i="4"/>
  <c r="AC102" i="4"/>
  <c r="AD102" i="4"/>
  <c r="P103" i="4"/>
  <c r="Q103" i="4"/>
  <c r="S103" i="4"/>
  <c r="T103" i="4"/>
  <c r="V103" i="4"/>
  <c r="X103" i="4"/>
  <c r="Y103" i="4"/>
  <c r="AA103" i="4"/>
  <c r="AB103" i="4"/>
  <c r="AC103" i="4"/>
  <c r="AD103" i="4"/>
  <c r="P104" i="4"/>
  <c r="Q104" i="4"/>
  <c r="S104" i="4"/>
  <c r="T104" i="4"/>
  <c r="V104" i="4"/>
  <c r="X104" i="4"/>
  <c r="Y104" i="4"/>
  <c r="AA104" i="4"/>
  <c r="AB104" i="4"/>
  <c r="AC104" i="4"/>
  <c r="AD104" i="4"/>
  <c r="P105" i="4"/>
  <c r="Q105" i="4"/>
  <c r="S105" i="4"/>
  <c r="T105" i="4"/>
  <c r="V105" i="4"/>
  <c r="X105" i="4"/>
  <c r="Y105" i="4"/>
  <c r="AA105" i="4"/>
  <c r="AB105" i="4"/>
  <c r="AC105" i="4"/>
  <c r="AD105" i="4"/>
  <c r="P106" i="4"/>
  <c r="Q106" i="4"/>
  <c r="S106" i="4"/>
  <c r="T106" i="4"/>
  <c r="V106" i="4"/>
  <c r="X106" i="4"/>
  <c r="Y106" i="4"/>
  <c r="AA106" i="4"/>
  <c r="AB106" i="4"/>
  <c r="AI106" i="4" s="1"/>
  <c r="AC106" i="4"/>
  <c r="AD106" i="4"/>
  <c r="P107" i="4"/>
  <c r="Q107" i="4"/>
  <c r="S107" i="4"/>
  <c r="T107" i="4"/>
  <c r="V107" i="4"/>
  <c r="X107" i="4"/>
  <c r="Y107" i="4"/>
  <c r="AA107" i="4"/>
  <c r="AB107" i="4"/>
  <c r="AC107" i="4"/>
  <c r="AD107" i="4"/>
  <c r="P108" i="4"/>
  <c r="Q108" i="4"/>
  <c r="S108" i="4"/>
  <c r="T108" i="4"/>
  <c r="V108" i="4"/>
  <c r="X108" i="4"/>
  <c r="Y108" i="4"/>
  <c r="AA108" i="4"/>
  <c r="AB108" i="4"/>
  <c r="AC108" i="4"/>
  <c r="AD108" i="4"/>
  <c r="AI108" i="4" s="1"/>
  <c r="P109" i="4"/>
  <c r="Q109" i="4"/>
  <c r="S109" i="4"/>
  <c r="T109" i="4"/>
  <c r="V109" i="4"/>
  <c r="X109" i="4"/>
  <c r="Y109" i="4"/>
  <c r="AA109" i="4"/>
  <c r="AB109" i="4"/>
  <c r="AC109" i="4"/>
  <c r="AD109" i="4"/>
  <c r="P110" i="4"/>
  <c r="Q110" i="4"/>
  <c r="S110" i="4"/>
  <c r="T110" i="4"/>
  <c r="V110" i="4"/>
  <c r="X110" i="4"/>
  <c r="Y110" i="4"/>
  <c r="AA110" i="4"/>
  <c r="AB110" i="4"/>
  <c r="AC110" i="4"/>
  <c r="AD110" i="4"/>
  <c r="P111" i="4"/>
  <c r="Q111" i="4"/>
  <c r="S111" i="4"/>
  <c r="T111" i="4"/>
  <c r="V111" i="4"/>
  <c r="X111" i="4"/>
  <c r="Y111" i="4"/>
  <c r="AA111" i="4"/>
  <c r="AB111" i="4"/>
  <c r="AC111" i="4"/>
  <c r="AD111" i="4"/>
  <c r="P112" i="4"/>
  <c r="Q112" i="4"/>
  <c r="S112" i="4"/>
  <c r="T112" i="4"/>
  <c r="V112" i="4"/>
  <c r="X112" i="4"/>
  <c r="Y112" i="4"/>
  <c r="AA112" i="4"/>
  <c r="AB112" i="4"/>
  <c r="AC112" i="4"/>
  <c r="AD112" i="4"/>
  <c r="P113" i="4"/>
  <c r="Q113" i="4"/>
  <c r="S113" i="4"/>
  <c r="T113" i="4"/>
  <c r="V113" i="4"/>
  <c r="X113" i="4"/>
  <c r="Y113" i="4"/>
  <c r="AA113" i="4"/>
  <c r="AB113" i="4"/>
  <c r="AC113" i="4"/>
  <c r="AD113" i="4"/>
  <c r="P114" i="4"/>
  <c r="Q114" i="4"/>
  <c r="S114" i="4"/>
  <c r="T114" i="4"/>
  <c r="V114" i="4"/>
  <c r="X114" i="4"/>
  <c r="Y114" i="4"/>
  <c r="AA114" i="4"/>
  <c r="AB114" i="4"/>
  <c r="AC114" i="4"/>
  <c r="AD114" i="4"/>
  <c r="P115" i="4"/>
  <c r="Q115" i="4"/>
  <c r="S115" i="4"/>
  <c r="T115" i="4"/>
  <c r="V115" i="4"/>
  <c r="X115" i="4"/>
  <c r="Y115" i="4"/>
  <c r="AA115" i="4"/>
  <c r="AB115" i="4"/>
  <c r="AC115" i="4"/>
  <c r="AD115" i="4"/>
  <c r="P116" i="4"/>
  <c r="Q116" i="4"/>
  <c r="S116" i="4"/>
  <c r="T116" i="4"/>
  <c r="V116" i="4"/>
  <c r="X116" i="4"/>
  <c r="Y116" i="4"/>
  <c r="AA116" i="4"/>
  <c r="AB116" i="4"/>
  <c r="AC116" i="4"/>
  <c r="AD116" i="4"/>
  <c r="P117" i="4"/>
  <c r="Q117" i="4"/>
  <c r="S117" i="4"/>
  <c r="T117" i="4"/>
  <c r="V117" i="4"/>
  <c r="X117" i="4"/>
  <c r="Y117" i="4"/>
  <c r="AA117" i="4"/>
  <c r="AB117" i="4"/>
  <c r="AC117" i="4"/>
  <c r="AD117" i="4"/>
  <c r="P118" i="4"/>
  <c r="Q118" i="4"/>
  <c r="S118" i="4"/>
  <c r="T118" i="4"/>
  <c r="V118" i="4"/>
  <c r="X118" i="4"/>
  <c r="Y118" i="4"/>
  <c r="AA118" i="4"/>
  <c r="AB118" i="4"/>
  <c r="AC118" i="4"/>
  <c r="AD118" i="4"/>
  <c r="P119" i="4"/>
  <c r="Q119" i="4"/>
  <c r="S119" i="4"/>
  <c r="T119" i="4"/>
  <c r="V119" i="4"/>
  <c r="X119" i="4"/>
  <c r="Y119" i="4"/>
  <c r="AA119" i="4"/>
  <c r="AB119" i="4"/>
  <c r="AC119" i="4"/>
  <c r="AI119" i="4" s="1"/>
  <c r="AD119" i="4"/>
  <c r="P120" i="4"/>
  <c r="Q120" i="4"/>
  <c r="S120" i="4"/>
  <c r="T120" i="4"/>
  <c r="V120" i="4"/>
  <c r="X120" i="4"/>
  <c r="Y120" i="4"/>
  <c r="AA120" i="4"/>
  <c r="AB120" i="4"/>
  <c r="AC120" i="4"/>
  <c r="AD120" i="4"/>
  <c r="P121" i="4"/>
  <c r="Q121" i="4"/>
  <c r="S121" i="4"/>
  <c r="T121" i="4"/>
  <c r="V121" i="4"/>
  <c r="X121" i="4"/>
  <c r="Y121" i="4"/>
  <c r="AA121" i="4"/>
  <c r="AB121" i="4"/>
  <c r="AC121" i="4"/>
  <c r="AD121" i="4"/>
  <c r="P122" i="4"/>
  <c r="Q122" i="4"/>
  <c r="S122" i="4"/>
  <c r="T122" i="4"/>
  <c r="V122" i="4"/>
  <c r="X122" i="4"/>
  <c r="Y122" i="4"/>
  <c r="AA122" i="4"/>
  <c r="AB122" i="4"/>
  <c r="AC122" i="4"/>
  <c r="AD122" i="4"/>
  <c r="P123" i="4"/>
  <c r="Q123" i="4"/>
  <c r="S123" i="4"/>
  <c r="T123" i="4"/>
  <c r="V123" i="4"/>
  <c r="X123" i="4"/>
  <c r="Y123" i="4"/>
  <c r="AA123" i="4"/>
  <c r="AB123" i="4"/>
  <c r="AC123" i="4"/>
  <c r="AD123" i="4"/>
  <c r="P124" i="4"/>
  <c r="Q124" i="4"/>
  <c r="S124" i="4"/>
  <c r="T124" i="4"/>
  <c r="V124" i="4"/>
  <c r="X124" i="4"/>
  <c r="Y124" i="4"/>
  <c r="AA124" i="4"/>
  <c r="AB124" i="4"/>
  <c r="AC124" i="4"/>
  <c r="AD124" i="4"/>
  <c r="P125" i="4"/>
  <c r="Q125" i="4"/>
  <c r="S125" i="4"/>
  <c r="T125" i="4"/>
  <c r="V125" i="4"/>
  <c r="X125" i="4"/>
  <c r="Y125" i="4"/>
  <c r="AA125" i="4"/>
  <c r="AB125" i="4"/>
  <c r="AC125" i="4"/>
  <c r="AD125" i="4"/>
  <c r="P126" i="4"/>
  <c r="Q126" i="4"/>
  <c r="S126" i="4"/>
  <c r="T126" i="4"/>
  <c r="V126" i="4"/>
  <c r="W126" i="4"/>
  <c r="X126" i="4"/>
  <c r="AG126" i="4" s="1"/>
  <c r="Y126" i="4"/>
  <c r="AA126" i="4"/>
  <c r="AB126" i="4"/>
  <c r="AC126" i="4"/>
  <c r="AD126" i="4"/>
  <c r="P127" i="4"/>
  <c r="Q127" i="4"/>
  <c r="S127" i="4"/>
  <c r="T127" i="4"/>
  <c r="V127" i="4"/>
  <c r="X127" i="4"/>
  <c r="Y127" i="4"/>
  <c r="AA127" i="4"/>
  <c r="AB127" i="4"/>
  <c r="AC127" i="4"/>
  <c r="AD127" i="4"/>
  <c r="P128" i="4"/>
  <c r="Q128" i="4"/>
  <c r="S128" i="4"/>
  <c r="T128" i="4"/>
  <c r="V128" i="4"/>
  <c r="X128" i="4"/>
  <c r="Y128" i="4"/>
  <c r="AA128" i="4"/>
  <c r="AB128" i="4"/>
  <c r="AC128" i="4"/>
  <c r="AD128" i="4"/>
  <c r="P129" i="4"/>
  <c r="Q129" i="4"/>
  <c r="S129" i="4"/>
  <c r="T129" i="4"/>
  <c r="V129" i="4"/>
  <c r="X129" i="4"/>
  <c r="Y129" i="4"/>
  <c r="AA129" i="4"/>
  <c r="AB129" i="4"/>
  <c r="AC129" i="4"/>
  <c r="AD129" i="4"/>
  <c r="P130" i="4"/>
  <c r="Q130" i="4"/>
  <c r="S130" i="4"/>
  <c r="T130" i="4"/>
  <c r="V130" i="4"/>
  <c r="X130" i="4"/>
  <c r="Y130" i="4"/>
  <c r="AA130" i="4"/>
  <c r="AB130" i="4"/>
  <c r="AC130" i="4"/>
  <c r="AD130" i="4"/>
  <c r="P131" i="4"/>
  <c r="Q131" i="4"/>
  <c r="S131" i="4"/>
  <c r="T131" i="4"/>
  <c r="V131" i="4"/>
  <c r="X131" i="4"/>
  <c r="Y131" i="4"/>
  <c r="AA131" i="4"/>
  <c r="AB131" i="4"/>
  <c r="AC131" i="4"/>
  <c r="AD131" i="4"/>
  <c r="P132" i="4"/>
  <c r="Q132" i="4"/>
  <c r="S132" i="4"/>
  <c r="T132" i="4"/>
  <c r="V132" i="4"/>
  <c r="W132" i="4"/>
  <c r="AG132" i="4" s="1"/>
  <c r="X132" i="4"/>
  <c r="Y132" i="4"/>
  <c r="AA132" i="4"/>
  <c r="AB132" i="4"/>
  <c r="AC132" i="4"/>
  <c r="AI132" i="4" s="1"/>
  <c r="AD132" i="4"/>
  <c r="P133" i="4"/>
  <c r="Q133" i="4"/>
  <c r="S133" i="4"/>
  <c r="T133" i="4"/>
  <c r="V133" i="4"/>
  <c r="X133" i="4"/>
  <c r="Y133" i="4"/>
  <c r="AA133" i="4"/>
  <c r="AB133" i="4"/>
  <c r="AC133" i="4"/>
  <c r="AD133" i="4"/>
  <c r="P134" i="4"/>
  <c r="Q134" i="4"/>
  <c r="S134" i="4"/>
  <c r="T134" i="4"/>
  <c r="V134" i="4"/>
  <c r="X134" i="4"/>
  <c r="Y134" i="4"/>
  <c r="AA134" i="4"/>
  <c r="AB134" i="4"/>
  <c r="AC134" i="4"/>
  <c r="AD134" i="4"/>
  <c r="AI134" i="4" s="1"/>
  <c r="P135" i="4"/>
  <c r="Q135" i="4"/>
  <c r="S135" i="4"/>
  <c r="T135" i="4"/>
  <c r="V135" i="4"/>
  <c r="X135" i="4"/>
  <c r="Y135" i="4"/>
  <c r="AA135" i="4"/>
  <c r="AB135" i="4"/>
  <c r="AC135" i="4"/>
  <c r="AI135" i="4" s="1"/>
  <c r="AD135" i="4"/>
  <c r="AI44" i="4"/>
  <c r="AI52" i="4"/>
  <c r="AI59" i="4"/>
  <c r="AI60" i="4"/>
  <c r="AI67" i="4"/>
  <c r="AI68" i="4"/>
  <c r="AI74" i="4"/>
  <c r="AG76" i="4"/>
  <c r="AI78" i="4"/>
  <c r="AI82" i="4"/>
  <c r="AI83" i="4"/>
  <c r="AI84" i="4"/>
  <c r="AI86" i="4"/>
  <c r="AI92" i="4"/>
  <c r="AI94" i="4"/>
  <c r="AI96" i="4"/>
  <c r="AI97" i="4"/>
  <c r="AI100" i="4"/>
  <c r="AI101" i="4"/>
  <c r="AI102" i="4"/>
  <c r="AI103" i="4"/>
  <c r="AI104" i="4"/>
  <c r="AI105" i="4"/>
  <c r="AI107" i="4"/>
  <c r="AI109" i="4"/>
  <c r="AI110" i="4"/>
  <c r="AI111" i="4"/>
  <c r="AI112" i="4"/>
  <c r="AI113" i="4"/>
  <c r="AI114" i="4"/>
  <c r="AI115" i="4"/>
  <c r="AI116" i="4"/>
  <c r="AI117" i="4"/>
  <c r="AI118" i="4"/>
  <c r="AI120" i="4"/>
  <c r="AI121" i="4"/>
  <c r="AI122" i="4"/>
  <c r="AI123" i="4"/>
  <c r="AI124" i="4"/>
  <c r="AI126" i="4"/>
  <c r="AI127" i="4"/>
  <c r="AI128" i="4"/>
  <c r="AI129" i="4"/>
  <c r="AI130" i="4"/>
  <c r="AI131" i="4"/>
  <c r="AI133" i="4"/>
  <c r="B1" i="4"/>
  <c r="C1" i="4"/>
  <c r="D1" i="4" l="1"/>
  <c r="AG35" i="4"/>
  <c r="Z30" i="4"/>
  <c r="AH30" i="4" s="1"/>
  <c r="Z28" i="4"/>
  <c r="AH28" i="4" s="1"/>
  <c r="R131" i="4"/>
  <c r="AE131" i="4" s="1"/>
  <c r="Z17" i="4"/>
  <c r="AH17" i="4" s="1"/>
  <c r="R81" i="4"/>
  <c r="AE81" i="4" s="1"/>
  <c r="AI125" i="4"/>
  <c r="R135" i="4"/>
  <c r="AE135" i="4" s="1"/>
  <c r="R5" i="4"/>
  <c r="AE5" i="4" s="1"/>
  <c r="W11" i="4"/>
  <c r="AG11" i="4" s="1"/>
  <c r="W19" i="4"/>
  <c r="W27" i="4"/>
  <c r="W35" i="4"/>
  <c r="W43" i="4"/>
  <c r="W51" i="4"/>
  <c r="AG51" i="4" s="1"/>
  <c r="W59" i="4"/>
  <c r="AG59" i="4" s="1"/>
  <c r="W67" i="4"/>
  <c r="AG67" i="4" s="1"/>
  <c r="W10" i="4"/>
  <c r="W18" i="4"/>
  <c r="W26" i="4"/>
  <c r="W34" i="4"/>
  <c r="W42" i="4"/>
  <c r="W50" i="4"/>
  <c r="W58" i="4"/>
  <c r="W66" i="4"/>
  <c r="W74" i="4"/>
  <c r="AG74" i="4" s="1"/>
  <c r="W82" i="4"/>
  <c r="AG82" i="4" s="1"/>
  <c r="W90" i="4"/>
  <c r="AG90" i="4" s="1"/>
  <c r="W9" i="4"/>
  <c r="W17" i="4"/>
  <c r="W25" i="4"/>
  <c r="W33" i="4"/>
  <c r="W41" i="4"/>
  <c r="W49" i="4"/>
  <c r="W57" i="4"/>
  <c r="W65" i="4"/>
  <c r="W73" i="4"/>
  <c r="W81" i="4"/>
  <c r="W89" i="4"/>
  <c r="W8" i="4"/>
  <c r="W16" i="4"/>
  <c r="W24" i="4"/>
  <c r="W32" i="4"/>
  <c r="W40" i="4"/>
  <c r="W48" i="4"/>
  <c r="W56" i="4"/>
  <c r="W64" i="4"/>
  <c r="W72" i="4"/>
  <c r="W80" i="4"/>
  <c r="W88" i="4"/>
  <c r="W7" i="4"/>
  <c r="W15" i="4"/>
  <c r="W23" i="4"/>
  <c r="W31" i="4"/>
  <c r="W39" i="4"/>
  <c r="W47" i="4"/>
  <c r="W55" i="4"/>
  <c r="W63" i="4"/>
  <c r="W71" i="4"/>
  <c r="W6" i="4"/>
  <c r="W14" i="4"/>
  <c r="W22" i="4"/>
  <c r="W30" i="4"/>
  <c r="W38" i="4"/>
  <c r="W46" i="4"/>
  <c r="W54" i="4"/>
  <c r="W62" i="4"/>
  <c r="W70" i="4"/>
  <c r="W78" i="4"/>
  <c r="AG78" i="4" s="1"/>
  <c r="W20" i="4"/>
  <c r="W36" i="4"/>
  <c r="W53" i="4"/>
  <c r="W69" i="4"/>
  <c r="W92" i="4"/>
  <c r="AG92" i="4" s="1"/>
  <c r="W100" i="4"/>
  <c r="AG100" i="4" s="1"/>
  <c r="W108" i="4"/>
  <c r="AG108" i="4" s="1"/>
  <c r="W44" i="4"/>
  <c r="AG44" i="4" s="1"/>
  <c r="W60" i="4"/>
  <c r="AG60" i="4" s="1"/>
  <c r="W87" i="4"/>
  <c r="W99" i="4"/>
  <c r="AG99" i="4" s="1"/>
  <c r="W107" i="4"/>
  <c r="AG107" i="4" s="1"/>
  <c r="W115" i="4"/>
  <c r="AG115" i="4" s="1"/>
  <c r="W123" i="4"/>
  <c r="AG123" i="4" s="1"/>
  <c r="W131" i="4"/>
  <c r="AG131" i="4" s="1"/>
  <c r="W21" i="4"/>
  <c r="W84" i="4"/>
  <c r="AG84" i="4" s="1"/>
  <c r="W98" i="4"/>
  <c r="AG98" i="4" s="1"/>
  <c r="W106" i="4"/>
  <c r="AG106" i="4" s="1"/>
  <c r="W114" i="4"/>
  <c r="AG114" i="4" s="1"/>
  <c r="W122" i="4"/>
  <c r="AG122" i="4" s="1"/>
  <c r="W130" i="4"/>
  <c r="AG130" i="4" s="1"/>
  <c r="W37" i="4"/>
  <c r="W75" i="4"/>
  <c r="AG75" i="4" s="1"/>
  <c r="W77" i="4"/>
  <c r="W79" i="4"/>
  <c r="W91" i="4"/>
  <c r="AG91" i="4" s="1"/>
  <c r="W97" i="4"/>
  <c r="AG97" i="4" s="1"/>
  <c r="W105" i="4"/>
  <c r="AG105" i="4" s="1"/>
  <c r="W113" i="4"/>
  <c r="AG113" i="4" s="1"/>
  <c r="W12" i="4"/>
  <c r="AG12" i="4" s="1"/>
  <c r="W28" i="4"/>
  <c r="AG28" i="4" s="1"/>
  <c r="W45" i="4"/>
  <c r="W61" i="4"/>
  <c r="W86" i="4"/>
  <c r="AG86" i="4" s="1"/>
  <c r="W96" i="4"/>
  <c r="AG96" i="4" s="1"/>
  <c r="W104" i="4"/>
  <c r="AG104" i="4" s="1"/>
  <c r="W112" i="4"/>
  <c r="AG112" i="4" s="1"/>
  <c r="W120" i="4"/>
  <c r="AG120" i="4" s="1"/>
  <c r="W128" i="4"/>
  <c r="AG128" i="4" s="1"/>
  <c r="W13" i="4"/>
  <c r="W93" i="4"/>
  <c r="AG93" i="4" s="1"/>
  <c r="W95" i="4"/>
  <c r="AG95" i="4" s="1"/>
  <c r="W68" i="4"/>
  <c r="AG68" i="4" s="1"/>
  <c r="W83" i="4"/>
  <c r="AG83" i="4" s="1"/>
  <c r="W85" i="4"/>
  <c r="AG85" i="4" s="1"/>
  <c r="W118" i="4"/>
  <c r="AG118" i="4" s="1"/>
  <c r="W125" i="4"/>
  <c r="AG125" i="4" s="1"/>
  <c r="W134" i="4"/>
  <c r="AG134" i="4" s="1"/>
  <c r="W101" i="4"/>
  <c r="AG101" i="4" s="1"/>
  <c r="W103" i="4"/>
  <c r="AG103" i="4" s="1"/>
  <c r="W110" i="4"/>
  <c r="AG110" i="4" s="1"/>
  <c r="W121" i="4"/>
  <c r="AG121" i="4" s="1"/>
  <c r="W124" i="4"/>
  <c r="AG124" i="4" s="1"/>
  <c r="W127" i="4"/>
  <c r="AG127" i="4" s="1"/>
  <c r="W29" i="4"/>
  <c r="W52" i="4"/>
  <c r="AG52" i="4" s="1"/>
  <c r="W94" i="4"/>
  <c r="AG94" i="4" s="1"/>
  <c r="W116" i="4"/>
  <c r="AG116" i="4" s="1"/>
  <c r="Z88" i="4"/>
  <c r="AH88" i="4" s="1"/>
  <c r="W135" i="4"/>
  <c r="AG135" i="4" s="1"/>
  <c r="W133" i="4"/>
  <c r="AG133" i="4" s="1"/>
  <c r="W129" i="4"/>
  <c r="AG129" i="4" s="1"/>
  <c r="R80" i="4"/>
  <c r="AE80" i="4" s="1"/>
  <c r="R55" i="4"/>
  <c r="AE55" i="4" s="1"/>
  <c r="W109" i="4"/>
  <c r="AG109" i="4" s="1"/>
  <c r="Z104" i="4"/>
  <c r="AH104" i="4" s="1"/>
  <c r="R103" i="4"/>
  <c r="AE103" i="4" s="1"/>
  <c r="W102" i="4"/>
  <c r="AG102" i="4" s="1"/>
  <c r="AI24" i="4"/>
  <c r="AG20" i="4"/>
  <c r="W119" i="4"/>
  <c r="AG119" i="4" s="1"/>
  <c r="W117" i="4"/>
  <c r="AG117" i="4" s="1"/>
  <c r="W111" i="4"/>
  <c r="AG111" i="4" s="1"/>
  <c r="Z37" i="4"/>
  <c r="AH37" i="4" s="1"/>
  <c r="Z118" i="4"/>
  <c r="AH118" i="4" s="1"/>
  <c r="Z115" i="4"/>
  <c r="AH115" i="4" s="1"/>
  <c r="R71" i="4"/>
  <c r="AE71" i="4" s="1"/>
  <c r="Z65" i="4"/>
  <c r="AH65" i="4" s="1"/>
  <c r="R102" i="4"/>
  <c r="AE102" i="4" s="1"/>
  <c r="Z95" i="4"/>
  <c r="AH95" i="4" s="1"/>
  <c r="AG43" i="4"/>
  <c r="R86" i="4"/>
  <c r="AE86" i="4" s="1"/>
  <c r="R84" i="4"/>
  <c r="AE84" i="4" s="1"/>
  <c r="Z46" i="4"/>
  <c r="AH46" i="4" s="1"/>
  <c r="R44" i="4"/>
  <c r="AE44" i="4" s="1"/>
  <c r="R94" i="4"/>
  <c r="AE94" i="4" s="1"/>
  <c r="AG36" i="4"/>
  <c r="AD95" i="4"/>
  <c r="AI95" i="4" s="1"/>
  <c r="AD90" i="4"/>
  <c r="AI90" i="4" s="1"/>
  <c r="Z84" i="4"/>
  <c r="AH84" i="4" s="1"/>
  <c r="R17" i="4"/>
  <c r="R14" i="4"/>
  <c r="AE14" i="4" s="1"/>
  <c r="V10" i="4"/>
  <c r="V18" i="4"/>
  <c r="V26" i="4"/>
  <c r="V34" i="4"/>
  <c r="AG34" i="4" s="1"/>
  <c r="V42" i="4"/>
  <c r="AG42" i="4" s="1"/>
  <c r="V50" i="4"/>
  <c r="AG50" i="4" s="1"/>
  <c r="V58" i="4"/>
  <c r="AG58" i="4" s="1"/>
  <c r="V66" i="4"/>
  <c r="V9" i="4"/>
  <c r="V17" i="4"/>
  <c r="V25" i="4"/>
  <c r="V33" i="4"/>
  <c r="AG33" i="4" s="1"/>
  <c r="V41" i="4"/>
  <c r="AG41" i="4" s="1"/>
  <c r="V49" i="4"/>
  <c r="AG49" i="4" s="1"/>
  <c r="V57" i="4"/>
  <c r="AG57" i="4" s="1"/>
  <c r="V65" i="4"/>
  <c r="AG65" i="4" s="1"/>
  <c r="V73" i="4"/>
  <c r="AG73" i="4" s="1"/>
  <c r="V81" i="4"/>
  <c r="AG81" i="4" s="1"/>
  <c r="V89" i="4"/>
  <c r="AG89" i="4" s="1"/>
  <c r="V8" i="4"/>
  <c r="AG8" i="4" s="1"/>
  <c r="V16" i="4"/>
  <c r="AG16" i="4" s="1"/>
  <c r="V24" i="4"/>
  <c r="AG24" i="4" s="1"/>
  <c r="V32" i="4"/>
  <c r="AG32" i="4" s="1"/>
  <c r="V40" i="4"/>
  <c r="AG40" i="4" s="1"/>
  <c r="V48" i="4"/>
  <c r="AG48" i="4" s="1"/>
  <c r="V56" i="4"/>
  <c r="AG56" i="4" s="1"/>
  <c r="V64" i="4"/>
  <c r="AG64" i="4" s="1"/>
  <c r="V72" i="4"/>
  <c r="AG72" i="4" s="1"/>
  <c r="V80" i="4"/>
  <c r="AG80" i="4" s="1"/>
  <c r="V88" i="4"/>
  <c r="AG88" i="4" s="1"/>
  <c r="V7" i="4"/>
  <c r="V15" i="4"/>
  <c r="V23" i="4"/>
  <c r="V31" i="4"/>
  <c r="V39" i="4"/>
  <c r="V47" i="4"/>
  <c r="AG47" i="4" s="1"/>
  <c r="V55" i="4"/>
  <c r="AG55" i="4" s="1"/>
  <c r="V63" i="4"/>
  <c r="AG63" i="4" s="1"/>
  <c r="V71" i="4"/>
  <c r="AG71" i="4" s="1"/>
  <c r="V79" i="4"/>
  <c r="AG79" i="4" s="1"/>
  <c r="V87" i="4"/>
  <c r="AG87" i="4" s="1"/>
  <c r="V6" i="4"/>
  <c r="AG6" i="4" s="1"/>
  <c r="V14" i="4"/>
  <c r="AG14" i="4" s="1"/>
  <c r="V22" i="4"/>
  <c r="AG22" i="4" s="1"/>
  <c r="V30" i="4"/>
  <c r="AG30" i="4" s="1"/>
  <c r="V38" i="4"/>
  <c r="AG38" i="4" s="1"/>
  <c r="V46" i="4"/>
  <c r="V54" i="4"/>
  <c r="V62" i="4"/>
  <c r="AG62" i="4" s="1"/>
  <c r="V70" i="4"/>
  <c r="AG70" i="4" s="1"/>
  <c r="V5" i="4"/>
  <c r="AG5" i="4" s="1"/>
  <c r="V13" i="4"/>
  <c r="AG13" i="4" s="1"/>
  <c r="V21" i="4"/>
  <c r="AG21" i="4" s="1"/>
  <c r="V29" i="4"/>
  <c r="AG29" i="4" s="1"/>
  <c r="V37" i="4"/>
  <c r="AG37" i="4" s="1"/>
  <c r="V45" i="4"/>
  <c r="AG45" i="4" s="1"/>
  <c r="V53" i="4"/>
  <c r="AG53" i="4" s="1"/>
  <c r="V61" i="4"/>
  <c r="AG61" i="4" s="1"/>
  <c r="V69" i="4"/>
  <c r="V77" i="4"/>
  <c r="AG77" i="4" s="1"/>
  <c r="Z73" i="4"/>
  <c r="AH73" i="4" s="1"/>
  <c r="Z70" i="4"/>
  <c r="AH70" i="4" s="1"/>
  <c r="R46" i="4"/>
  <c r="AE46" i="4" s="1"/>
  <c r="R6" i="4"/>
  <c r="AE6" i="4" s="1"/>
  <c r="AD10" i="4"/>
  <c r="AI10" i="4" s="1"/>
  <c r="AD18" i="4"/>
  <c r="AI18" i="4" s="1"/>
  <c r="AD26" i="4"/>
  <c r="AI26" i="4" s="1"/>
  <c r="AD34" i="4"/>
  <c r="AI34" i="4" s="1"/>
  <c r="AD42" i="4"/>
  <c r="AI42" i="4" s="1"/>
  <c r="AD50" i="4"/>
  <c r="AI50" i="4" s="1"/>
  <c r="AD58" i="4"/>
  <c r="AI58" i="4" s="1"/>
  <c r="AD66" i="4"/>
  <c r="AI66" i="4" s="1"/>
  <c r="AD9" i="4"/>
  <c r="AI9" i="4" s="1"/>
  <c r="AD17" i="4"/>
  <c r="AI17" i="4" s="1"/>
  <c r="AD25" i="4"/>
  <c r="AI25" i="4" s="1"/>
  <c r="AD33" i="4"/>
  <c r="AI33" i="4" s="1"/>
  <c r="AD41" i="4"/>
  <c r="AI41" i="4" s="1"/>
  <c r="AD49" i="4"/>
  <c r="AI49" i="4" s="1"/>
  <c r="AD57" i="4"/>
  <c r="AI57" i="4" s="1"/>
  <c r="AD65" i="4"/>
  <c r="AI65" i="4" s="1"/>
  <c r="AD73" i="4"/>
  <c r="AI73" i="4" s="1"/>
  <c r="AD81" i="4"/>
  <c r="AI81" i="4" s="1"/>
  <c r="AD89" i="4"/>
  <c r="AI89" i="4" s="1"/>
  <c r="AD8" i="4"/>
  <c r="AI8" i="4" s="1"/>
  <c r="AD16" i="4"/>
  <c r="AI16" i="4" s="1"/>
  <c r="AD24" i="4"/>
  <c r="AD32" i="4"/>
  <c r="AI32" i="4" s="1"/>
  <c r="AD40" i="4"/>
  <c r="AI40" i="4" s="1"/>
  <c r="AD48" i="4"/>
  <c r="AI48" i="4" s="1"/>
  <c r="AD56" i="4"/>
  <c r="AI56" i="4" s="1"/>
  <c r="AD64" i="4"/>
  <c r="AI64" i="4" s="1"/>
  <c r="AD72" i="4"/>
  <c r="AI72" i="4" s="1"/>
  <c r="AD80" i="4"/>
  <c r="AI80" i="4" s="1"/>
  <c r="AD88" i="4"/>
  <c r="AI88" i="4" s="1"/>
  <c r="AD7" i="4"/>
  <c r="AI7" i="4" s="1"/>
  <c r="AD15" i="4"/>
  <c r="AD23" i="4"/>
  <c r="AD31" i="4"/>
  <c r="AI31" i="4" s="1"/>
  <c r="AD39" i="4"/>
  <c r="AI39" i="4" s="1"/>
  <c r="AD47" i="4"/>
  <c r="AI47" i="4" s="1"/>
  <c r="AD55" i="4"/>
  <c r="AI55" i="4" s="1"/>
  <c r="AD63" i="4"/>
  <c r="AI63" i="4" s="1"/>
  <c r="AD71" i="4"/>
  <c r="AI71" i="4" s="1"/>
  <c r="AD79" i="4"/>
  <c r="AI79" i="4" s="1"/>
  <c r="AD87" i="4"/>
  <c r="AI87" i="4" s="1"/>
  <c r="AD6" i="4"/>
  <c r="AD14" i="4"/>
  <c r="AD22" i="4"/>
  <c r="AD30" i="4"/>
  <c r="AD38" i="4"/>
  <c r="AI38" i="4" s="1"/>
  <c r="AD46" i="4"/>
  <c r="AI46" i="4" s="1"/>
  <c r="AD54" i="4"/>
  <c r="AI54" i="4" s="1"/>
  <c r="AD62" i="4"/>
  <c r="AI62" i="4" s="1"/>
  <c r="AD70" i="4"/>
  <c r="AI70" i="4" s="1"/>
  <c r="AD5" i="4"/>
  <c r="AD13" i="4"/>
  <c r="AD21" i="4"/>
  <c r="AD29" i="4"/>
  <c r="AD37" i="4"/>
  <c r="AI37" i="4" s="1"/>
  <c r="AD45" i="4"/>
  <c r="AI45" i="4" s="1"/>
  <c r="AD53" i="4"/>
  <c r="AI53" i="4" s="1"/>
  <c r="AD61" i="4"/>
  <c r="AI61" i="4" s="1"/>
  <c r="AD69" i="4"/>
  <c r="AI69" i="4" s="1"/>
  <c r="AD77" i="4"/>
  <c r="AI77" i="4" s="1"/>
  <c r="R85" i="4"/>
  <c r="AE85" i="4" s="1"/>
  <c r="Z69" i="4"/>
  <c r="AH69" i="4" s="1"/>
  <c r="R38" i="4"/>
  <c r="AE38" i="4" s="1"/>
  <c r="Z36" i="4"/>
  <c r="AH36" i="4" s="1"/>
  <c r="AD35" i="4"/>
  <c r="AD28" i="4"/>
  <c r="AI28" i="4" s="1"/>
  <c r="AD19" i="4"/>
  <c r="AD12" i="4"/>
  <c r="AI12" i="4" s="1"/>
  <c r="AD98" i="4"/>
  <c r="AI98" i="4" s="1"/>
  <c r="AD91" i="4"/>
  <c r="AI91" i="4" s="1"/>
  <c r="AD75" i="4"/>
  <c r="AI75" i="4" s="1"/>
  <c r="R61" i="4"/>
  <c r="AE61" i="4" s="1"/>
  <c r="R52" i="4"/>
  <c r="AE52" i="4" s="1"/>
  <c r="R83" i="4"/>
  <c r="AE83" i="4" s="1"/>
  <c r="Z13" i="4"/>
  <c r="AH13" i="4" s="1"/>
  <c r="R12" i="4"/>
  <c r="AE12" i="4" s="1"/>
  <c r="AB43" i="4"/>
  <c r="AI43" i="4" s="1"/>
  <c r="X39" i="4"/>
  <c r="P39" i="4"/>
  <c r="AB35" i="4"/>
  <c r="T35" i="4"/>
  <c r="X31" i="4"/>
  <c r="P31" i="4"/>
  <c r="AB27" i="4"/>
  <c r="AI27" i="4" s="1"/>
  <c r="T27" i="4"/>
  <c r="X23" i="4"/>
  <c r="P23" i="4"/>
  <c r="AB19" i="4"/>
  <c r="AI19" i="4" s="1"/>
  <c r="T19" i="4"/>
  <c r="X15" i="4"/>
  <c r="P15" i="4"/>
  <c r="AB11" i="4"/>
  <c r="AI11" i="4" s="1"/>
  <c r="T11" i="4"/>
  <c r="Y8" i="4"/>
  <c r="X7" i="4"/>
  <c r="P7" i="4"/>
  <c r="AB29" i="4"/>
  <c r="AI29" i="4" s="1"/>
  <c r="T29" i="4"/>
  <c r="X25" i="4"/>
  <c r="P25" i="4"/>
  <c r="AB21" i="4"/>
  <c r="AI21" i="4" s="1"/>
  <c r="T21" i="4"/>
  <c r="X17" i="4"/>
  <c r="P17" i="4"/>
  <c r="AB13" i="4"/>
  <c r="AI13" i="4" s="1"/>
  <c r="T13" i="4"/>
  <c r="X9" i="4"/>
  <c r="P9" i="4"/>
  <c r="AB5" i="4"/>
  <c r="AI5" i="4" s="1"/>
  <c r="T5" i="4"/>
  <c r="AB30" i="4"/>
  <c r="AI30" i="4" s="1"/>
  <c r="T30" i="4"/>
  <c r="X26" i="4"/>
  <c r="P26" i="4"/>
  <c r="AB22" i="4"/>
  <c r="AI22" i="4" s="1"/>
  <c r="T22" i="4"/>
  <c r="X18" i="4"/>
  <c r="P18" i="4"/>
  <c r="AB14" i="4"/>
  <c r="AI14" i="4" s="1"/>
  <c r="T14" i="4"/>
  <c r="X10" i="4"/>
  <c r="P10" i="4"/>
  <c r="AB6" i="4"/>
  <c r="AI6" i="4" s="1"/>
  <c r="T6" i="4"/>
  <c r="Z1" i="4"/>
  <c r="Z15" i="4" s="1"/>
  <c r="AH15" i="4" s="1"/>
  <c r="R1" i="4"/>
  <c r="R110" i="4" s="1"/>
  <c r="AE110" i="4" s="1"/>
  <c r="X27" i="4"/>
  <c r="P27" i="4"/>
  <c r="AB23" i="4"/>
  <c r="AI23" i="4" s="1"/>
  <c r="T23" i="4"/>
  <c r="X19" i="4"/>
  <c r="AG19" i="4" s="1"/>
  <c r="P19" i="4"/>
  <c r="AB15" i="4"/>
  <c r="T15" i="4"/>
  <c r="D6" i="12"/>
  <c r="G9" i="12"/>
  <c r="F8" i="12"/>
  <c r="B4" i="12"/>
  <c r="K13" i="12"/>
  <c r="J12" i="12"/>
  <c r="I11" i="12"/>
  <c r="H10" i="12"/>
  <c r="B5" i="12"/>
  <c r="M15" i="12"/>
  <c r="L14" i="12"/>
  <c r="E7" i="12"/>
  <c r="C5" i="12"/>
  <c r="L15" i="12"/>
  <c r="K15" i="12"/>
  <c r="J15" i="12"/>
  <c r="I15" i="12"/>
  <c r="H15" i="12"/>
  <c r="G15" i="12"/>
  <c r="F15" i="12"/>
  <c r="E15" i="12"/>
  <c r="D15" i="12"/>
  <c r="C15" i="12"/>
  <c r="B15" i="12"/>
  <c r="M14" i="12"/>
  <c r="K14" i="12"/>
  <c r="J14" i="12"/>
  <c r="I14" i="12"/>
  <c r="H14" i="12"/>
  <c r="G14" i="12"/>
  <c r="F14" i="12"/>
  <c r="E14" i="12"/>
  <c r="D14" i="12"/>
  <c r="C14" i="12"/>
  <c r="B14" i="12"/>
  <c r="M13" i="12"/>
  <c r="L13" i="12"/>
  <c r="J13" i="12"/>
  <c r="I13" i="12"/>
  <c r="H13" i="12"/>
  <c r="G13" i="12"/>
  <c r="F13" i="12"/>
  <c r="E13" i="12"/>
  <c r="D13" i="12"/>
  <c r="C13" i="12"/>
  <c r="B13" i="12"/>
  <c r="M12" i="12"/>
  <c r="L12" i="12"/>
  <c r="K12" i="12"/>
  <c r="I12" i="12"/>
  <c r="H12" i="12"/>
  <c r="G12" i="12"/>
  <c r="F12" i="12"/>
  <c r="E12" i="12"/>
  <c r="D12" i="12"/>
  <c r="C12" i="12"/>
  <c r="B12" i="12"/>
  <c r="M11" i="12"/>
  <c r="L11" i="12"/>
  <c r="K11" i="12"/>
  <c r="J11" i="12"/>
  <c r="H11" i="12"/>
  <c r="G11" i="12"/>
  <c r="F11" i="12"/>
  <c r="E11" i="12"/>
  <c r="D11" i="12"/>
  <c r="C11" i="12"/>
  <c r="B11" i="12"/>
  <c r="M10" i="12"/>
  <c r="L10" i="12"/>
  <c r="K10" i="12"/>
  <c r="J10" i="12"/>
  <c r="I10" i="12"/>
  <c r="G10" i="12"/>
  <c r="F10" i="12"/>
  <c r="E10" i="12"/>
  <c r="D10" i="12"/>
  <c r="C10" i="12"/>
  <c r="B10" i="12"/>
  <c r="M9" i="12"/>
  <c r="L9" i="12"/>
  <c r="K9" i="12"/>
  <c r="J9" i="12"/>
  <c r="I9" i="12"/>
  <c r="H9" i="12"/>
  <c r="F9" i="12"/>
  <c r="E9" i="12"/>
  <c r="D9" i="12"/>
  <c r="C9" i="12"/>
  <c r="B9" i="12"/>
  <c r="M8" i="12"/>
  <c r="L8" i="12"/>
  <c r="K8" i="12"/>
  <c r="J8" i="12"/>
  <c r="I8" i="12"/>
  <c r="H8" i="12"/>
  <c r="G8" i="12"/>
  <c r="E8" i="12"/>
  <c r="D8" i="12"/>
  <c r="C8" i="12"/>
  <c r="B8" i="12"/>
  <c r="M7" i="12"/>
  <c r="L7" i="12"/>
  <c r="K7" i="12"/>
  <c r="J7" i="12"/>
  <c r="I7" i="12"/>
  <c r="H7" i="12"/>
  <c r="G7" i="12"/>
  <c r="F7" i="12"/>
  <c r="D7" i="12"/>
  <c r="C7" i="12"/>
  <c r="B7" i="12"/>
  <c r="M6" i="12"/>
  <c r="L6" i="12"/>
  <c r="K6" i="12"/>
  <c r="J6" i="12"/>
  <c r="I6" i="12"/>
  <c r="H6" i="12"/>
  <c r="G6" i="12"/>
  <c r="F6" i="12"/>
  <c r="E6" i="12"/>
  <c r="C6" i="12"/>
  <c r="B6" i="12"/>
  <c r="M5" i="12"/>
  <c r="L5" i="12"/>
  <c r="K5" i="12"/>
  <c r="J5" i="12"/>
  <c r="I5" i="12"/>
  <c r="H5" i="12"/>
  <c r="G5" i="12"/>
  <c r="F5" i="12"/>
  <c r="E5" i="12"/>
  <c r="D5" i="12"/>
  <c r="M4" i="12"/>
  <c r="L4" i="12"/>
  <c r="K4" i="12"/>
  <c r="J4" i="12"/>
  <c r="I4" i="12"/>
  <c r="H4" i="12"/>
  <c r="G4" i="12"/>
  <c r="F4" i="12"/>
  <c r="E4" i="12"/>
  <c r="D4" i="12"/>
  <c r="C4" i="12"/>
  <c r="U19" i="4" l="1"/>
  <c r="AF19" i="4" s="1"/>
  <c r="R21" i="4"/>
  <c r="AE21" i="4" s="1"/>
  <c r="Z54" i="4"/>
  <c r="AH54" i="4" s="1"/>
  <c r="R20" i="4"/>
  <c r="AE20" i="4" s="1"/>
  <c r="Z102" i="4"/>
  <c r="AH102" i="4" s="1"/>
  <c r="R107" i="4"/>
  <c r="AE107" i="4" s="1"/>
  <c r="R67" i="4"/>
  <c r="AE67" i="4" s="1"/>
  <c r="Z77" i="4"/>
  <c r="AH77" i="4" s="1"/>
  <c r="R41" i="4"/>
  <c r="AE41" i="4" s="1"/>
  <c r="Z103" i="4"/>
  <c r="AH103" i="4" s="1"/>
  <c r="R118" i="4"/>
  <c r="AE118" i="4" s="1"/>
  <c r="R54" i="4"/>
  <c r="AE54" i="4" s="1"/>
  <c r="Z94" i="4"/>
  <c r="AH94" i="4" s="1"/>
  <c r="R134" i="4"/>
  <c r="AE134" i="4" s="1"/>
  <c r="R91" i="4"/>
  <c r="AE91" i="4" s="1"/>
  <c r="Z135" i="4"/>
  <c r="AH135" i="4" s="1"/>
  <c r="Z86" i="4"/>
  <c r="AH86" i="4" s="1"/>
  <c r="R112" i="4"/>
  <c r="AE112" i="4" s="1"/>
  <c r="R129" i="4"/>
  <c r="AE129" i="4" s="1"/>
  <c r="U30" i="4"/>
  <c r="AF30" i="4" s="1"/>
  <c r="AE17" i="4"/>
  <c r="AE7" i="4"/>
  <c r="AI35" i="4"/>
  <c r="R22" i="4"/>
  <c r="AE22" i="4" s="1"/>
  <c r="R9" i="4"/>
  <c r="Z20" i="4"/>
  <c r="AH20" i="4" s="1"/>
  <c r="R49" i="4"/>
  <c r="AE49" i="4" s="1"/>
  <c r="Z22" i="4"/>
  <c r="AH22" i="4" s="1"/>
  <c r="AG69" i="4"/>
  <c r="AG39" i="4"/>
  <c r="AG25" i="4"/>
  <c r="AG26" i="4"/>
  <c r="Z21" i="4"/>
  <c r="AH21" i="4" s="1"/>
  <c r="R57" i="4"/>
  <c r="AE57" i="4" s="1"/>
  <c r="R123" i="4"/>
  <c r="AE123" i="4" s="1"/>
  <c r="R70" i="4"/>
  <c r="AE70" i="4" s="1"/>
  <c r="R111" i="4"/>
  <c r="AE111" i="4" s="1"/>
  <c r="R79" i="4"/>
  <c r="AE79" i="4" s="1"/>
  <c r="Z131" i="4"/>
  <c r="AH131" i="4" s="1"/>
  <c r="R53" i="4"/>
  <c r="AE53" i="4" s="1"/>
  <c r="Z110" i="4"/>
  <c r="AH110" i="4" s="1"/>
  <c r="R60" i="4"/>
  <c r="AE60" i="4" s="1"/>
  <c r="R96" i="4"/>
  <c r="AE96" i="4" s="1"/>
  <c r="R99" i="4"/>
  <c r="AE99" i="4" s="1"/>
  <c r="R77" i="4"/>
  <c r="AE77" i="4" s="1"/>
  <c r="R119" i="4"/>
  <c r="AE119" i="4" s="1"/>
  <c r="Z49" i="4"/>
  <c r="AH49" i="4" s="1"/>
  <c r="AE26" i="4"/>
  <c r="R25" i="4"/>
  <c r="Z76" i="4"/>
  <c r="AH76" i="4" s="1"/>
  <c r="Z53" i="4"/>
  <c r="AH53" i="4" s="1"/>
  <c r="Z25" i="4"/>
  <c r="AH25" i="4" s="1"/>
  <c r="Z60" i="4"/>
  <c r="AH60" i="4" s="1"/>
  <c r="AG31" i="4"/>
  <c r="AG17" i="4"/>
  <c r="AG18" i="4"/>
  <c r="R29" i="4"/>
  <c r="AE29" i="4" s="1"/>
  <c r="Z111" i="4"/>
  <c r="AH111" i="4" s="1"/>
  <c r="R69" i="4"/>
  <c r="AE69" i="4" s="1"/>
  <c r="R126" i="4"/>
  <c r="AE126" i="4" s="1"/>
  <c r="Z83" i="4"/>
  <c r="AH83" i="4" s="1"/>
  <c r="Z134" i="4"/>
  <c r="AH134" i="4" s="1"/>
  <c r="R120" i="4"/>
  <c r="AE120" i="4" s="1"/>
  <c r="Z62" i="4"/>
  <c r="AH62" i="4" s="1"/>
  <c r="Z113" i="4"/>
  <c r="AH113" i="4" s="1"/>
  <c r="Z38" i="4"/>
  <c r="AH38" i="4" s="1"/>
  <c r="Z107" i="4"/>
  <c r="AH107" i="4" s="1"/>
  <c r="Z79" i="4"/>
  <c r="AH79" i="4" s="1"/>
  <c r="Z96" i="4"/>
  <c r="AH96" i="4" s="1"/>
  <c r="R68" i="4"/>
  <c r="AE68" i="4" s="1"/>
  <c r="R76" i="4"/>
  <c r="AE76" i="4" s="1"/>
  <c r="R92" i="4"/>
  <c r="AE92" i="4" s="1"/>
  <c r="R11" i="4"/>
  <c r="AE11" i="4" s="1"/>
  <c r="R19" i="4"/>
  <c r="R27" i="4"/>
  <c r="AE27" i="4" s="1"/>
  <c r="AJ27" i="4" s="1"/>
  <c r="R35" i="4"/>
  <c r="AE35" i="4" s="1"/>
  <c r="R43" i="4"/>
  <c r="AE43" i="4" s="1"/>
  <c r="R51" i="4"/>
  <c r="AE51" i="4" s="1"/>
  <c r="R59" i="4"/>
  <c r="AE59" i="4" s="1"/>
  <c r="R10" i="4"/>
  <c r="AE10" i="4" s="1"/>
  <c r="R18" i="4"/>
  <c r="R26" i="4"/>
  <c r="R34" i="4"/>
  <c r="AE34" i="4" s="1"/>
  <c r="R42" i="4"/>
  <c r="AE42" i="4" s="1"/>
  <c r="R50" i="4"/>
  <c r="AE50" i="4" s="1"/>
  <c r="R58" i="4"/>
  <c r="AE58" i="4" s="1"/>
  <c r="R66" i="4"/>
  <c r="AE66" i="4" s="1"/>
  <c r="R48" i="4"/>
  <c r="AE48" i="4" s="1"/>
  <c r="R64" i="4"/>
  <c r="AE64" i="4" s="1"/>
  <c r="R8" i="4"/>
  <c r="AE8" i="4" s="1"/>
  <c r="R74" i="4"/>
  <c r="AE74" i="4" s="1"/>
  <c r="R90" i="4"/>
  <c r="AE90" i="4" s="1"/>
  <c r="R7" i="4"/>
  <c r="R88" i="4"/>
  <c r="AE88" i="4" s="1"/>
  <c r="R93" i="4"/>
  <c r="AE93" i="4" s="1"/>
  <c r="R101" i="4"/>
  <c r="AE101" i="4" s="1"/>
  <c r="R109" i="4"/>
  <c r="AE109" i="4" s="1"/>
  <c r="R117" i="4"/>
  <c r="AE117" i="4" s="1"/>
  <c r="R125" i="4"/>
  <c r="AE125" i="4" s="1"/>
  <c r="R133" i="4"/>
  <c r="AE133" i="4" s="1"/>
  <c r="R15" i="4"/>
  <c r="R16" i="4"/>
  <c r="AE16" i="4" s="1"/>
  <c r="R31" i="4"/>
  <c r="AE31" i="4" s="1"/>
  <c r="R39" i="4"/>
  <c r="AE39" i="4" s="1"/>
  <c r="R78" i="4"/>
  <c r="AE78" i="4" s="1"/>
  <c r="R82" i="4"/>
  <c r="AE82" i="4" s="1"/>
  <c r="R100" i="4"/>
  <c r="AE100" i="4" s="1"/>
  <c r="R108" i="4"/>
  <c r="AE108" i="4" s="1"/>
  <c r="R56" i="4"/>
  <c r="AE56" i="4" s="1"/>
  <c r="R72" i="4"/>
  <c r="AE72" i="4" s="1"/>
  <c r="R130" i="4"/>
  <c r="AE130" i="4" s="1"/>
  <c r="R114" i="4"/>
  <c r="AE114" i="4" s="1"/>
  <c r="R24" i="4"/>
  <c r="AE24" i="4" s="1"/>
  <c r="R32" i="4"/>
  <c r="AE32" i="4" s="1"/>
  <c r="R89" i="4"/>
  <c r="AE89" i="4" s="1"/>
  <c r="R98" i="4"/>
  <c r="AE98" i="4" s="1"/>
  <c r="R116" i="4"/>
  <c r="AE116" i="4" s="1"/>
  <c r="R132" i="4"/>
  <c r="AE132" i="4" s="1"/>
  <c r="R23" i="4"/>
  <c r="AE23" i="4" s="1"/>
  <c r="R40" i="4"/>
  <c r="AE40" i="4" s="1"/>
  <c r="R104" i="4"/>
  <c r="AE104" i="4" s="1"/>
  <c r="R63" i="4"/>
  <c r="AE63" i="4" s="1"/>
  <c r="R122" i="4"/>
  <c r="AE122" i="4" s="1"/>
  <c r="R124" i="4"/>
  <c r="AE124" i="4" s="1"/>
  <c r="R47" i="4"/>
  <c r="AE47" i="4" s="1"/>
  <c r="R106" i="4"/>
  <c r="AE106" i="4" s="1"/>
  <c r="R121" i="4"/>
  <c r="AE121" i="4" s="1"/>
  <c r="R127" i="4"/>
  <c r="AE127" i="4" s="1"/>
  <c r="R128" i="4"/>
  <c r="AE128" i="4" s="1"/>
  <c r="R97" i="4"/>
  <c r="AE97" i="4" s="1"/>
  <c r="R87" i="4"/>
  <c r="AE87" i="4" s="1"/>
  <c r="AE18" i="4"/>
  <c r="U1" i="4"/>
  <c r="U21" i="4"/>
  <c r="AF21" i="4" s="1"/>
  <c r="Z8" i="4"/>
  <c r="AH8" i="4" s="1"/>
  <c r="R28" i="4"/>
  <c r="AE28" i="4" s="1"/>
  <c r="Z85" i="4"/>
  <c r="AH85" i="4" s="1"/>
  <c r="Z57" i="4"/>
  <c r="AH57" i="4" s="1"/>
  <c r="Z33" i="4"/>
  <c r="AH33" i="4" s="1"/>
  <c r="R62" i="4"/>
  <c r="AE62" i="4" s="1"/>
  <c r="AG23" i="4"/>
  <c r="AG9" i="4"/>
  <c r="AG10" i="4"/>
  <c r="R30" i="4"/>
  <c r="AE30" i="4" s="1"/>
  <c r="Z87" i="4"/>
  <c r="AH87" i="4" s="1"/>
  <c r="R33" i="4"/>
  <c r="AE33" i="4" s="1"/>
  <c r="Z128" i="4"/>
  <c r="AH128" i="4" s="1"/>
  <c r="R73" i="4"/>
  <c r="AE73" i="4" s="1"/>
  <c r="Z6" i="4"/>
  <c r="AH6" i="4" s="1"/>
  <c r="R105" i="4"/>
  <c r="AE105" i="4" s="1"/>
  <c r="AE15" i="4"/>
  <c r="U13" i="4"/>
  <c r="AF13" i="4" s="1"/>
  <c r="Z68" i="4"/>
  <c r="AH68" i="4" s="1"/>
  <c r="Z19" i="4"/>
  <c r="AH19" i="4" s="1"/>
  <c r="Z27" i="4"/>
  <c r="AH27" i="4" s="1"/>
  <c r="Z35" i="4"/>
  <c r="AH35" i="4" s="1"/>
  <c r="Z43" i="4"/>
  <c r="AH43" i="4" s="1"/>
  <c r="Z51" i="4"/>
  <c r="AH51" i="4" s="1"/>
  <c r="Z59" i="4"/>
  <c r="AH59" i="4" s="1"/>
  <c r="Z10" i="4"/>
  <c r="AH10" i="4" s="1"/>
  <c r="Z18" i="4"/>
  <c r="AH18" i="4" s="1"/>
  <c r="Z26" i="4"/>
  <c r="AH26" i="4" s="1"/>
  <c r="Z34" i="4"/>
  <c r="AH34" i="4" s="1"/>
  <c r="Z42" i="4"/>
  <c r="AH42" i="4" s="1"/>
  <c r="Z50" i="4"/>
  <c r="AH50" i="4" s="1"/>
  <c r="Z58" i="4"/>
  <c r="AH58" i="4" s="1"/>
  <c r="Z66" i="4"/>
  <c r="AH66" i="4" s="1"/>
  <c r="Z16" i="4"/>
  <c r="AH16" i="4" s="1"/>
  <c r="Z74" i="4"/>
  <c r="AH74" i="4" s="1"/>
  <c r="Z90" i="4"/>
  <c r="AH90" i="4" s="1"/>
  <c r="Z56" i="4"/>
  <c r="AH56" i="4" s="1"/>
  <c r="Z72" i="4"/>
  <c r="AH72" i="4" s="1"/>
  <c r="Z23" i="4"/>
  <c r="AH23" i="4" s="1"/>
  <c r="Z32" i="4"/>
  <c r="AH32" i="4" s="1"/>
  <c r="Z40" i="4"/>
  <c r="AH40" i="4" s="1"/>
  <c r="Z47" i="4"/>
  <c r="AH47" i="4" s="1"/>
  <c r="Z63" i="4"/>
  <c r="AH63" i="4" s="1"/>
  <c r="Z82" i="4"/>
  <c r="AH82" i="4" s="1"/>
  <c r="Z93" i="4"/>
  <c r="AH93" i="4" s="1"/>
  <c r="Z101" i="4"/>
  <c r="AH101" i="4" s="1"/>
  <c r="Z109" i="4"/>
  <c r="AH109" i="4" s="1"/>
  <c r="Z117" i="4"/>
  <c r="AH117" i="4" s="1"/>
  <c r="Z125" i="4"/>
  <c r="AH125" i="4" s="1"/>
  <c r="Z133" i="4"/>
  <c r="AH133" i="4" s="1"/>
  <c r="Z89" i="4"/>
  <c r="AH89" i="4" s="1"/>
  <c r="Z92" i="4"/>
  <c r="AH92" i="4" s="1"/>
  <c r="Z100" i="4"/>
  <c r="AH100" i="4" s="1"/>
  <c r="Z108" i="4"/>
  <c r="AH108" i="4" s="1"/>
  <c r="Z24" i="4"/>
  <c r="AH24" i="4" s="1"/>
  <c r="Z98" i="4"/>
  <c r="AH98" i="4" s="1"/>
  <c r="Z129" i="4"/>
  <c r="AH129" i="4" s="1"/>
  <c r="Z64" i="4"/>
  <c r="AH64" i="4" s="1"/>
  <c r="Z116" i="4"/>
  <c r="AH116" i="4" s="1"/>
  <c r="Z132" i="4"/>
  <c r="AH132" i="4" s="1"/>
  <c r="Z55" i="4"/>
  <c r="AH55" i="4" s="1"/>
  <c r="Z97" i="4"/>
  <c r="AH97" i="4" s="1"/>
  <c r="Z106" i="4"/>
  <c r="AH106" i="4" s="1"/>
  <c r="Z122" i="4"/>
  <c r="AH122" i="4" s="1"/>
  <c r="Z7" i="4"/>
  <c r="AH7" i="4" s="1"/>
  <c r="Z31" i="4"/>
  <c r="AH31" i="4" s="1"/>
  <c r="Z81" i="4"/>
  <c r="AH81" i="4" s="1"/>
  <c r="Z130" i="4"/>
  <c r="AH130" i="4" s="1"/>
  <c r="Z48" i="4"/>
  <c r="AH48" i="4" s="1"/>
  <c r="Z39" i="4"/>
  <c r="AH39" i="4" s="1"/>
  <c r="Z105" i="4"/>
  <c r="AH105" i="4" s="1"/>
  <c r="Z124" i="4"/>
  <c r="AH124" i="4" s="1"/>
  <c r="Z120" i="4"/>
  <c r="AH120" i="4" s="1"/>
  <c r="Z121" i="4"/>
  <c r="AH121" i="4" s="1"/>
  <c r="Z112" i="4"/>
  <c r="AH112" i="4" s="1"/>
  <c r="Z114" i="4"/>
  <c r="AH114" i="4" s="1"/>
  <c r="U27" i="4"/>
  <c r="AF27" i="4" s="1"/>
  <c r="Z29" i="4"/>
  <c r="AH29" i="4" s="1"/>
  <c r="Z41" i="4"/>
  <c r="AH41" i="4" s="1"/>
  <c r="Z67" i="4"/>
  <c r="AH67" i="4" s="1"/>
  <c r="AG54" i="4"/>
  <c r="AG15" i="4"/>
  <c r="AG66" i="4"/>
  <c r="Z9" i="4"/>
  <c r="AH9" i="4" s="1"/>
  <c r="R36" i="4"/>
  <c r="AE36" i="4" s="1"/>
  <c r="Z45" i="4"/>
  <c r="AH45" i="4" s="1"/>
  <c r="Z12" i="4"/>
  <c r="AH12" i="4" s="1"/>
  <c r="R75" i="4"/>
  <c r="AE75" i="4" s="1"/>
  <c r="Z91" i="4"/>
  <c r="AH91" i="4" s="1"/>
  <c r="Z99" i="4"/>
  <c r="AH99" i="4" s="1"/>
  <c r="Z61" i="4"/>
  <c r="AH61" i="4" s="1"/>
  <c r="Z119" i="4"/>
  <c r="AH119" i="4" s="1"/>
  <c r="Z75" i="4"/>
  <c r="AH75" i="4" s="1"/>
  <c r="R115" i="4"/>
  <c r="AE115" i="4" s="1"/>
  <c r="AG27" i="4"/>
  <c r="Z11" i="4"/>
  <c r="AH11" i="4" s="1"/>
  <c r="U29" i="4"/>
  <c r="AF29" i="4" s="1"/>
  <c r="AJ21" i="4"/>
  <c r="AI15" i="4"/>
  <c r="AE19" i="4"/>
  <c r="U6" i="4"/>
  <c r="AF6" i="4" s="1"/>
  <c r="AJ6" i="4" s="1"/>
  <c r="U22" i="4"/>
  <c r="AF22" i="4" s="1"/>
  <c r="AE9" i="4"/>
  <c r="AE25" i="4"/>
  <c r="Z5" i="4"/>
  <c r="AH5" i="4" s="1"/>
  <c r="R37" i="4"/>
  <c r="AE37" i="4" s="1"/>
  <c r="R45" i="4"/>
  <c r="AE45" i="4" s="1"/>
  <c r="R65" i="4"/>
  <c r="AE65" i="4" s="1"/>
  <c r="Z44" i="4"/>
  <c r="AH44" i="4" s="1"/>
  <c r="AG46" i="4"/>
  <c r="AG7" i="4"/>
  <c r="R13" i="4"/>
  <c r="AE13" i="4" s="1"/>
  <c r="AJ13" i="4" s="1"/>
  <c r="Z14" i="4"/>
  <c r="AH14" i="4" s="1"/>
  <c r="Z80" i="4"/>
  <c r="AH80" i="4" s="1"/>
  <c r="R95" i="4"/>
  <c r="AE95" i="4" s="1"/>
  <c r="Z52" i="4"/>
  <c r="AH52" i="4" s="1"/>
  <c r="Z123" i="4"/>
  <c r="AH123" i="4" s="1"/>
  <c r="R113" i="4"/>
  <c r="AE113" i="4" s="1"/>
  <c r="Z71" i="4"/>
  <c r="AH71" i="4" s="1"/>
  <c r="Z78" i="4"/>
  <c r="AH78" i="4" s="1"/>
  <c r="Z127" i="4"/>
  <c r="AH127" i="4" s="1"/>
  <c r="Z126" i="4"/>
  <c r="AH126" i="4" s="1"/>
  <c r="A115" i="10"/>
  <c r="A121" i="10" s="1"/>
  <c r="D49" i="12"/>
  <c r="D48" i="12"/>
  <c r="D47" i="12"/>
  <c r="D28" i="12"/>
  <c r="D27" i="12"/>
  <c r="D25" i="12"/>
  <c r="D23" i="12"/>
  <c r="B32" i="12"/>
  <c r="B31" i="12"/>
  <c r="B30" i="12"/>
  <c r="B29" i="12"/>
  <c r="B28" i="12"/>
  <c r="X23" i="1"/>
  <c r="AB23" i="1" s="1"/>
  <c r="Y23" i="1"/>
  <c r="W25" i="1" s="1"/>
  <c r="AB25" i="1" s="1"/>
  <c r="Z23" i="1"/>
  <c r="AA23" i="1"/>
  <c r="Y24" i="1"/>
  <c r="Z24" i="1"/>
  <c r="AA24" i="1"/>
  <c r="X27" i="1" s="1"/>
  <c r="X28" i="1" s="1"/>
  <c r="X25" i="1"/>
  <c r="Z25" i="1"/>
  <c r="Y26" i="1" s="1"/>
  <c r="AA25" i="1"/>
  <c r="W26" i="1"/>
  <c r="X26" i="1"/>
  <c r="AA26" i="1"/>
  <c r="Z27" i="1" s="1"/>
  <c r="Z28" i="1" s="1"/>
  <c r="W27" i="1"/>
  <c r="Y27" i="1"/>
  <c r="X37" i="1"/>
  <c r="W38" i="1" s="1"/>
  <c r="Y37" i="1"/>
  <c r="Z37" i="1" s="1"/>
  <c r="Y38" i="1"/>
  <c r="X39" i="1"/>
  <c r="X47" i="1"/>
  <c r="Z47" i="1" s="1"/>
  <c r="Y47" i="1"/>
  <c r="Y48" i="1"/>
  <c r="W49" i="1"/>
  <c r="Z49" i="1" s="1"/>
  <c r="X49" i="1"/>
  <c r="X56" i="1"/>
  <c r="AA56" i="1" s="1"/>
  <c r="Y56" i="1"/>
  <c r="Z56" i="1"/>
  <c r="W59" i="1" s="1"/>
  <c r="AA59" i="1" s="1"/>
  <c r="Y57" i="1"/>
  <c r="Z57" i="1"/>
  <c r="X59" i="1" s="1"/>
  <c r="X60" i="1" s="1"/>
  <c r="W58" i="1"/>
  <c r="AA58" i="1" s="1"/>
  <c r="X58" i="1"/>
  <c r="Z58" i="1"/>
  <c r="Y59" i="1"/>
  <c r="AI119" i="10"/>
  <c r="BB135" i="10"/>
  <c r="AI117" i="10"/>
  <c r="BB134" i="10"/>
  <c r="AI123" i="10"/>
  <c r="BB133" i="10"/>
  <c r="AI118" i="10"/>
  <c r="BB132" i="10"/>
  <c r="AI121" i="10"/>
  <c r="BB131" i="10"/>
  <c r="AI122" i="10"/>
  <c r="BB130" i="10"/>
  <c r="AI135" i="10"/>
  <c r="BB129" i="10"/>
  <c r="AI130" i="10"/>
  <c r="BB128" i="10"/>
  <c r="AI116" i="10"/>
  <c r="BB127" i="10"/>
  <c r="AI129" i="10"/>
  <c r="BB126" i="10"/>
  <c r="AI128" i="10"/>
  <c r="BB125" i="10"/>
  <c r="AI115" i="10"/>
  <c r="BB124" i="10"/>
  <c r="AI120" i="10"/>
  <c r="BB123" i="10"/>
  <c r="AI134" i="10"/>
  <c r="BB122" i="10"/>
  <c r="AI133" i="10"/>
  <c r="BB121" i="10"/>
  <c r="AI132" i="10"/>
  <c r="BB120" i="10"/>
  <c r="AI124" i="10"/>
  <c r="BB119" i="10"/>
  <c r="AI125" i="10"/>
  <c r="BB118" i="10"/>
  <c r="AI126" i="10"/>
  <c r="BB117" i="10"/>
  <c r="AI131" i="10"/>
  <c r="BB116" i="10"/>
  <c r="AI127" i="10"/>
  <c r="BB115" i="10"/>
  <c r="AJ119" i="10"/>
  <c r="AY135" i="10"/>
  <c r="BC135" i="10" s="1"/>
  <c r="AJ117" i="10"/>
  <c r="AY134" i="10"/>
  <c r="BC134" i="10" s="1"/>
  <c r="AJ123" i="10"/>
  <c r="AY133" i="10"/>
  <c r="BC133" i="10" s="1"/>
  <c r="AJ118" i="10"/>
  <c r="AY132" i="10"/>
  <c r="BC132" i="10"/>
  <c r="AJ121" i="10"/>
  <c r="AY131" i="10"/>
  <c r="BC131" i="10" s="1"/>
  <c r="AJ122" i="10"/>
  <c r="AY130" i="10"/>
  <c r="BC130" i="10"/>
  <c r="AJ135" i="10"/>
  <c r="AY129" i="10"/>
  <c r="BC129" i="10"/>
  <c r="AJ130" i="10"/>
  <c r="AY128" i="10"/>
  <c r="BC128" i="10"/>
  <c r="AJ116" i="10"/>
  <c r="AY127" i="10"/>
  <c r="BC127" i="10" s="1"/>
  <c r="AJ129" i="10"/>
  <c r="AY126" i="10"/>
  <c r="BC126" i="10" s="1"/>
  <c r="AJ128" i="10"/>
  <c r="AY125" i="10"/>
  <c r="BC125" i="10" s="1"/>
  <c r="AJ115" i="10"/>
  <c r="AY124" i="10"/>
  <c r="BC124" i="10"/>
  <c r="AJ120" i="10"/>
  <c r="AY123" i="10"/>
  <c r="BC123" i="10" s="1"/>
  <c r="AJ134" i="10"/>
  <c r="AY122" i="10"/>
  <c r="BC122" i="10"/>
  <c r="AJ133" i="10"/>
  <c r="AY121" i="10"/>
  <c r="BC121" i="10" s="1"/>
  <c r="AJ132" i="10"/>
  <c r="AY120" i="10"/>
  <c r="BC120" i="10"/>
  <c r="AJ124" i="10"/>
  <c r="AY119" i="10"/>
  <c r="BC119" i="10" s="1"/>
  <c r="AJ125" i="10"/>
  <c r="AY118" i="10"/>
  <c r="BC118" i="10" s="1"/>
  <c r="AJ126" i="10"/>
  <c r="AY117" i="10"/>
  <c r="BC117" i="10" s="1"/>
  <c r="AJ131" i="10"/>
  <c r="AY116" i="10"/>
  <c r="BC116" i="10"/>
  <c r="AJ127" i="10"/>
  <c r="AY115" i="10"/>
  <c r="BC115" i="10" s="1"/>
  <c r="AO115" i="10"/>
  <c r="AU134" i="10" s="1"/>
  <c r="AW134" i="10" s="1"/>
  <c r="AO116" i="10"/>
  <c r="AO117" i="10"/>
  <c r="AO118" i="10"/>
  <c r="AO119" i="10"/>
  <c r="AO120" i="10"/>
  <c r="AO121" i="10"/>
  <c r="AO122" i="10"/>
  <c r="AO123" i="10"/>
  <c r="AU135" i="10" s="1"/>
  <c r="AW135" i="10" s="1"/>
  <c r="AO124" i="10"/>
  <c r="AO125" i="10"/>
  <c r="AO126" i="10"/>
  <c r="AO127" i="10"/>
  <c r="AO128" i="10"/>
  <c r="AO129" i="10"/>
  <c r="AO130" i="10"/>
  <c r="AO131" i="10"/>
  <c r="AO132" i="10"/>
  <c r="AO133" i="10"/>
  <c r="AO134" i="10"/>
  <c r="AO135" i="10"/>
  <c r="AU132" i="10"/>
  <c r="AU128" i="10"/>
  <c r="AU127" i="10"/>
  <c r="AU124" i="10"/>
  <c r="AU120" i="10"/>
  <c r="AU119" i="10"/>
  <c r="AW119" i="10" s="1"/>
  <c r="AU116" i="10"/>
  <c r="AK115" i="10"/>
  <c r="AK116" i="10"/>
  <c r="AK117" i="10"/>
  <c r="AS125" i="10" s="1"/>
  <c r="AK118" i="10"/>
  <c r="AS129" i="10" s="1"/>
  <c r="AK119" i="10"/>
  <c r="AK120" i="10"/>
  <c r="AK121" i="10"/>
  <c r="AS115" i="10" s="1"/>
  <c r="AK122" i="10"/>
  <c r="AK123" i="10"/>
  <c r="AK124" i="10"/>
  <c r="AK125" i="10"/>
  <c r="AK126" i="10"/>
  <c r="AK127" i="10"/>
  <c r="AK128" i="10"/>
  <c r="AK129" i="10"/>
  <c r="AK130" i="10"/>
  <c r="AK131" i="10"/>
  <c r="AK132" i="10"/>
  <c r="AK133" i="10"/>
  <c r="AK134" i="10"/>
  <c r="AK135" i="10"/>
  <c r="BA135" i="10"/>
  <c r="BA134" i="10"/>
  <c r="BA133" i="10"/>
  <c r="BA132" i="10"/>
  <c r="BA131" i="10"/>
  <c r="BA130" i="10"/>
  <c r="BA129" i="10"/>
  <c r="BA128" i="10"/>
  <c r="BA127" i="10"/>
  <c r="BA126" i="10"/>
  <c r="BA125" i="10"/>
  <c r="BA124" i="10"/>
  <c r="BA123" i="10"/>
  <c r="BA122" i="10"/>
  <c r="BA121" i="10"/>
  <c r="BA120" i="10"/>
  <c r="BA119" i="10"/>
  <c r="BA118" i="10"/>
  <c r="BA117" i="10"/>
  <c r="BA116" i="10"/>
  <c r="BA115" i="10"/>
  <c r="AQ119" i="10"/>
  <c r="AQ117" i="10"/>
  <c r="AQ123" i="10"/>
  <c r="AQ118" i="10"/>
  <c r="AQ121" i="10"/>
  <c r="AQ122" i="10"/>
  <c r="AQ135" i="10"/>
  <c r="AQ130" i="10"/>
  <c r="AQ116" i="10"/>
  <c r="AQ129" i="10"/>
  <c r="AQ128" i="10"/>
  <c r="AQ115" i="10"/>
  <c r="AQ120" i="10"/>
  <c r="AQ134" i="10"/>
  <c r="AQ133" i="10"/>
  <c r="AQ132" i="10"/>
  <c r="AQ124" i="10"/>
  <c r="AQ125" i="10"/>
  <c r="AQ126" i="10"/>
  <c r="AQ131" i="10"/>
  <c r="AQ127" i="10"/>
  <c r="AW132" i="10"/>
  <c r="AW128" i="10"/>
  <c r="AW127" i="10"/>
  <c r="AW124" i="10"/>
  <c r="AW120" i="10"/>
  <c r="AW116" i="10"/>
  <c r="AL127" i="10"/>
  <c r="AL135" i="10"/>
  <c r="AL125" i="10"/>
  <c r="AL115" i="10"/>
  <c r="AS116" i="10"/>
  <c r="AL131" i="10"/>
  <c r="AL134" i="10"/>
  <c r="AL130" i="10"/>
  <c r="AL116" i="10"/>
  <c r="AL120" i="10"/>
  <c r="AT116" i="10"/>
  <c r="AL126" i="10"/>
  <c r="AL133" i="10"/>
  <c r="AL117" i="10"/>
  <c r="AL121" i="10"/>
  <c r="AT117" i="10"/>
  <c r="AL132" i="10"/>
  <c r="AL119" i="10"/>
  <c r="AL118" i="10"/>
  <c r="AT118" i="10"/>
  <c r="AS119" i="10"/>
  <c r="AL124" i="10"/>
  <c r="AT119" i="10"/>
  <c r="AS120" i="10"/>
  <c r="AT120" i="10"/>
  <c r="AL129" i="10"/>
  <c r="AT121" i="10"/>
  <c r="AS122" i="10"/>
  <c r="AL128" i="10"/>
  <c r="AL122" i="10"/>
  <c r="AT122" i="10"/>
  <c r="AS123" i="10"/>
  <c r="AL123" i="10"/>
  <c r="AT123" i="10"/>
  <c r="AS124" i="10"/>
  <c r="AT124" i="10"/>
  <c r="AT125" i="10"/>
  <c r="AS126" i="10"/>
  <c r="AT126" i="10"/>
  <c r="AT127" i="10"/>
  <c r="AS128" i="10"/>
  <c r="AT128" i="10"/>
  <c r="AT129" i="10"/>
  <c r="AS130" i="10"/>
  <c r="AT130" i="10"/>
  <c r="AS131" i="10"/>
  <c r="AT131" i="10"/>
  <c r="AS132" i="10"/>
  <c r="AT132" i="10"/>
  <c r="AT133" i="10"/>
  <c r="AS134" i="10"/>
  <c r="AT134" i="10"/>
  <c r="AS135" i="10"/>
  <c r="AT135" i="10"/>
  <c r="AV116" i="10"/>
  <c r="AV115" i="10"/>
  <c r="AM115" i="10"/>
  <c r="AM116" i="10"/>
  <c r="AM117" i="10"/>
  <c r="AM118" i="10"/>
  <c r="AM119" i="10"/>
  <c r="AM120" i="10"/>
  <c r="AM121" i="10"/>
  <c r="AM122" i="10"/>
  <c r="AM123" i="10"/>
  <c r="AM124" i="10"/>
  <c r="AM125" i="10"/>
  <c r="AM126" i="10"/>
  <c r="AM127" i="10"/>
  <c r="AM128" i="10"/>
  <c r="AM129" i="10"/>
  <c r="AM130" i="10"/>
  <c r="AM131" i="10"/>
  <c r="AM132" i="10"/>
  <c r="AM133" i="10"/>
  <c r="AM134" i="10"/>
  <c r="AM135" i="10"/>
  <c r="AZ135" i="10"/>
  <c r="AZ134" i="10"/>
  <c r="AZ133" i="10"/>
  <c r="AZ132" i="10"/>
  <c r="AZ131" i="10"/>
  <c r="AZ130" i="10"/>
  <c r="AZ129" i="10"/>
  <c r="AZ128" i="10"/>
  <c r="AZ127" i="10"/>
  <c r="AZ126" i="10"/>
  <c r="AZ125" i="10"/>
  <c r="AZ124" i="10"/>
  <c r="AZ123" i="10"/>
  <c r="AZ122" i="10"/>
  <c r="AZ121" i="10"/>
  <c r="AZ120" i="10"/>
  <c r="AZ119" i="10"/>
  <c r="AZ118" i="10"/>
  <c r="AZ117" i="10"/>
  <c r="AZ116" i="10"/>
  <c r="AZ115" i="10"/>
  <c r="Z116" i="10"/>
  <c r="Y115" i="10"/>
  <c r="Z115" i="10"/>
  <c r="AA115" i="10" s="1"/>
  <c r="Z117" i="10" s="1"/>
  <c r="AB116" i="10"/>
  <c r="AA116" i="10"/>
  <c r="A116" i="10"/>
  <c r="A117" i="10"/>
  <c r="A118" i="10"/>
  <c r="A119" i="10"/>
  <c r="M59" i="12"/>
  <c r="L59" i="12"/>
  <c r="K59" i="12"/>
  <c r="J59" i="12"/>
  <c r="I59" i="12"/>
  <c r="H59" i="12"/>
  <c r="G59" i="12"/>
  <c r="F59" i="12"/>
  <c r="E59" i="12"/>
  <c r="D59" i="12"/>
  <c r="C59" i="12"/>
  <c r="B59" i="12"/>
  <c r="M58" i="12"/>
  <c r="L58" i="12"/>
  <c r="K58" i="12"/>
  <c r="J58" i="12"/>
  <c r="I58" i="12"/>
  <c r="H58" i="12"/>
  <c r="G58" i="12"/>
  <c r="F58" i="12"/>
  <c r="E58" i="12"/>
  <c r="D58" i="12"/>
  <c r="C58" i="12"/>
  <c r="B58" i="12"/>
  <c r="M57" i="12"/>
  <c r="L57" i="12"/>
  <c r="K57" i="12"/>
  <c r="J57" i="12"/>
  <c r="I57" i="12"/>
  <c r="H57" i="12"/>
  <c r="G57" i="12"/>
  <c r="F57" i="12"/>
  <c r="E57" i="12"/>
  <c r="D57" i="12"/>
  <c r="C57" i="12"/>
  <c r="B57" i="12"/>
  <c r="M56" i="12"/>
  <c r="L56" i="12"/>
  <c r="K56" i="12"/>
  <c r="J56" i="12"/>
  <c r="I56" i="12"/>
  <c r="H56" i="12"/>
  <c r="G56" i="12"/>
  <c r="F56" i="12"/>
  <c r="E56" i="12"/>
  <c r="D56" i="12"/>
  <c r="C56" i="12"/>
  <c r="B56" i="12"/>
  <c r="M55" i="12"/>
  <c r="L55" i="12"/>
  <c r="K55" i="12"/>
  <c r="J55" i="12"/>
  <c r="I55" i="12"/>
  <c r="H55" i="12"/>
  <c r="G55" i="12"/>
  <c r="F55" i="12"/>
  <c r="E55" i="12"/>
  <c r="D55" i="12"/>
  <c r="C55" i="12"/>
  <c r="B55" i="12"/>
  <c r="M54" i="12"/>
  <c r="L54" i="12"/>
  <c r="K54" i="12"/>
  <c r="J54" i="12"/>
  <c r="I54" i="12"/>
  <c r="H54" i="12"/>
  <c r="G54" i="12"/>
  <c r="F54" i="12"/>
  <c r="E54" i="12"/>
  <c r="D54" i="12"/>
  <c r="C54" i="12"/>
  <c r="B54" i="12"/>
  <c r="S34" i="12"/>
  <c r="R34" i="12"/>
  <c r="Q34" i="12"/>
  <c r="P34" i="12"/>
  <c r="O34" i="12"/>
  <c r="N34" i="12"/>
  <c r="M34" i="12"/>
  <c r="M53" i="12"/>
  <c r="L34" i="12"/>
  <c r="L53" i="12"/>
  <c r="K34" i="12"/>
  <c r="K53" i="12"/>
  <c r="J34" i="12"/>
  <c r="J53" i="12"/>
  <c r="I34" i="12"/>
  <c r="I53" i="12"/>
  <c r="H34" i="12"/>
  <c r="H53" i="12"/>
  <c r="G34" i="12"/>
  <c r="G53" i="12"/>
  <c r="F34" i="12"/>
  <c r="F53" i="12"/>
  <c r="E34" i="12"/>
  <c r="E53" i="12"/>
  <c r="D34" i="12"/>
  <c r="D53" i="12"/>
  <c r="C34" i="12"/>
  <c r="C53" i="12"/>
  <c r="B34" i="12"/>
  <c r="B53" i="12"/>
  <c r="S33" i="12"/>
  <c r="R33" i="12"/>
  <c r="Q33" i="12"/>
  <c r="P33" i="12"/>
  <c r="O33" i="12"/>
  <c r="N33" i="12"/>
  <c r="M33" i="12"/>
  <c r="M52" i="12"/>
  <c r="L33" i="12"/>
  <c r="L52" i="12"/>
  <c r="K33" i="12"/>
  <c r="K52" i="12"/>
  <c r="J33" i="12"/>
  <c r="J52" i="12"/>
  <c r="I33" i="12"/>
  <c r="I52" i="12"/>
  <c r="H33" i="12"/>
  <c r="H52" i="12"/>
  <c r="G33" i="12"/>
  <c r="G52" i="12"/>
  <c r="F33" i="12"/>
  <c r="F52" i="12"/>
  <c r="E33" i="12"/>
  <c r="E52" i="12"/>
  <c r="D33" i="12"/>
  <c r="D52" i="12"/>
  <c r="C33" i="12"/>
  <c r="C52" i="12"/>
  <c r="B33" i="12"/>
  <c r="B52" i="12"/>
  <c r="S32" i="12"/>
  <c r="R32" i="12"/>
  <c r="Q32" i="12"/>
  <c r="P32" i="12"/>
  <c r="O32" i="12"/>
  <c r="N32" i="12"/>
  <c r="M32" i="12"/>
  <c r="M51" i="12"/>
  <c r="L32" i="12"/>
  <c r="L51" i="12"/>
  <c r="K32" i="12"/>
  <c r="K51" i="12"/>
  <c r="J32" i="12"/>
  <c r="J51" i="12"/>
  <c r="I32" i="12"/>
  <c r="I51" i="12"/>
  <c r="H32" i="12"/>
  <c r="H51" i="12"/>
  <c r="G32" i="12"/>
  <c r="G51" i="12"/>
  <c r="F32" i="12"/>
  <c r="F51" i="12"/>
  <c r="E32" i="12"/>
  <c r="E51" i="12"/>
  <c r="D32" i="12"/>
  <c r="D51" i="12"/>
  <c r="C32" i="12"/>
  <c r="C51" i="12"/>
  <c r="B51" i="12"/>
  <c r="B95" i="10" s="1"/>
  <c r="S31" i="12"/>
  <c r="R31" i="12"/>
  <c r="Q31" i="12"/>
  <c r="P31" i="12"/>
  <c r="O31" i="12"/>
  <c r="N31" i="12"/>
  <c r="M31" i="12"/>
  <c r="M50" i="12"/>
  <c r="L31" i="12"/>
  <c r="L50" i="12"/>
  <c r="K31" i="12"/>
  <c r="K50" i="12"/>
  <c r="J31" i="12"/>
  <c r="J50" i="12"/>
  <c r="I31" i="12"/>
  <c r="I50" i="12"/>
  <c r="H31" i="12"/>
  <c r="H50" i="12"/>
  <c r="G31" i="12"/>
  <c r="G50" i="12"/>
  <c r="F31" i="12"/>
  <c r="F50" i="12"/>
  <c r="E31" i="12"/>
  <c r="E50" i="12"/>
  <c r="D31" i="12"/>
  <c r="D50" i="12"/>
  <c r="C31" i="12"/>
  <c r="C50" i="12"/>
  <c r="B50" i="12"/>
  <c r="S30" i="12"/>
  <c r="R30" i="12"/>
  <c r="Q30" i="12"/>
  <c r="P30" i="12"/>
  <c r="O30" i="12"/>
  <c r="N30" i="12"/>
  <c r="M30" i="12"/>
  <c r="M49" i="12"/>
  <c r="L30" i="12"/>
  <c r="L49" i="12"/>
  <c r="K30" i="12"/>
  <c r="K49" i="12"/>
  <c r="J30" i="12"/>
  <c r="J49" i="12"/>
  <c r="I30" i="12"/>
  <c r="I49" i="12"/>
  <c r="H30" i="12"/>
  <c r="H49" i="12"/>
  <c r="G30" i="12"/>
  <c r="G49" i="12"/>
  <c r="F30" i="12"/>
  <c r="F49" i="12"/>
  <c r="E30" i="12"/>
  <c r="E49" i="12"/>
  <c r="D30" i="12"/>
  <c r="C30" i="12"/>
  <c r="C49" i="12"/>
  <c r="B49" i="12"/>
  <c r="S29" i="12"/>
  <c r="R29" i="12"/>
  <c r="Q29" i="12"/>
  <c r="P29" i="12"/>
  <c r="O29" i="12"/>
  <c r="N29" i="12"/>
  <c r="M29" i="12"/>
  <c r="M48" i="12"/>
  <c r="L29" i="12"/>
  <c r="L48" i="12"/>
  <c r="K29" i="12"/>
  <c r="K48" i="12"/>
  <c r="J29" i="12"/>
  <c r="J48" i="12"/>
  <c r="I29" i="12"/>
  <c r="I48" i="12"/>
  <c r="H29" i="12"/>
  <c r="H48" i="12"/>
  <c r="G29" i="12"/>
  <c r="G48" i="12"/>
  <c r="F29" i="12"/>
  <c r="F48" i="12"/>
  <c r="E29" i="12"/>
  <c r="E48" i="12"/>
  <c r="D29" i="12"/>
  <c r="C29" i="12"/>
  <c r="C48" i="12"/>
  <c r="B48" i="12"/>
  <c r="B92" i="10" s="1"/>
  <c r="S28" i="12"/>
  <c r="R28" i="12"/>
  <c r="Q28" i="12"/>
  <c r="P28" i="12"/>
  <c r="O28" i="12"/>
  <c r="N28" i="12"/>
  <c r="M28" i="12"/>
  <c r="M47" i="12"/>
  <c r="L28" i="12"/>
  <c r="L47" i="12"/>
  <c r="K28" i="12"/>
  <c r="K47" i="12"/>
  <c r="J28" i="12"/>
  <c r="J47" i="12"/>
  <c r="I28" i="12"/>
  <c r="I47" i="12"/>
  <c r="H28" i="12"/>
  <c r="H47" i="12"/>
  <c r="G28" i="12"/>
  <c r="G47" i="12"/>
  <c r="F28" i="12"/>
  <c r="F47" i="12"/>
  <c r="E28" i="12"/>
  <c r="E47" i="12"/>
  <c r="C28" i="12"/>
  <c r="C47" i="12"/>
  <c r="B47" i="12"/>
  <c r="S27" i="12"/>
  <c r="R27" i="12"/>
  <c r="Q27" i="12"/>
  <c r="P27" i="12"/>
  <c r="O27" i="12"/>
  <c r="N27" i="12"/>
  <c r="M27" i="12"/>
  <c r="M46" i="12"/>
  <c r="L27" i="12"/>
  <c r="L46" i="12"/>
  <c r="K27" i="12"/>
  <c r="K46" i="12"/>
  <c r="J27" i="12"/>
  <c r="J46" i="12"/>
  <c r="I27" i="12"/>
  <c r="I46" i="12"/>
  <c r="H27" i="12"/>
  <c r="H46" i="12"/>
  <c r="G27" i="12"/>
  <c r="G46" i="12"/>
  <c r="F27" i="12"/>
  <c r="F46" i="12"/>
  <c r="E27" i="12"/>
  <c r="E46" i="12"/>
  <c r="D46" i="12"/>
  <c r="C27" i="12"/>
  <c r="C46" i="12"/>
  <c r="B27" i="12"/>
  <c r="B46" i="12"/>
  <c r="S26" i="12"/>
  <c r="R26" i="12"/>
  <c r="Q26" i="12"/>
  <c r="P26" i="12"/>
  <c r="O26" i="12"/>
  <c r="N26" i="12"/>
  <c r="M26" i="12"/>
  <c r="M45" i="12"/>
  <c r="L26" i="12"/>
  <c r="L45" i="12"/>
  <c r="K26" i="12"/>
  <c r="K45" i="12"/>
  <c r="J26" i="12"/>
  <c r="J45" i="12"/>
  <c r="I26" i="12"/>
  <c r="I45" i="12"/>
  <c r="H26" i="12"/>
  <c r="H45" i="12"/>
  <c r="G26" i="12"/>
  <c r="G45" i="12"/>
  <c r="F26" i="12"/>
  <c r="F45" i="12"/>
  <c r="E26" i="12"/>
  <c r="E45" i="12"/>
  <c r="D26" i="12"/>
  <c r="D45" i="12"/>
  <c r="C26" i="12"/>
  <c r="C45" i="12"/>
  <c r="B26" i="12"/>
  <c r="B45" i="12"/>
  <c r="S25" i="12"/>
  <c r="R25" i="12"/>
  <c r="Q25" i="12"/>
  <c r="P25" i="12"/>
  <c r="O25" i="12"/>
  <c r="N25" i="12"/>
  <c r="M25" i="12"/>
  <c r="M44" i="12"/>
  <c r="L25" i="12"/>
  <c r="L88" i="10" s="1"/>
  <c r="L44" i="12"/>
  <c r="K25" i="12"/>
  <c r="K44" i="12"/>
  <c r="J25" i="12"/>
  <c r="J44" i="12"/>
  <c r="I25" i="12"/>
  <c r="I44" i="12"/>
  <c r="H25" i="12"/>
  <c r="H44" i="12"/>
  <c r="G25" i="12"/>
  <c r="G44" i="12"/>
  <c r="F25" i="12"/>
  <c r="F44" i="12"/>
  <c r="E25" i="12"/>
  <c r="E44" i="12"/>
  <c r="D44" i="12"/>
  <c r="C25" i="12"/>
  <c r="C44" i="12"/>
  <c r="B25" i="12"/>
  <c r="B44" i="12"/>
  <c r="S24" i="12"/>
  <c r="R24" i="12"/>
  <c r="Q24" i="12"/>
  <c r="P24" i="12"/>
  <c r="O24" i="12"/>
  <c r="N24" i="12"/>
  <c r="M24" i="12"/>
  <c r="M43" i="12"/>
  <c r="L24" i="12"/>
  <c r="L43" i="12"/>
  <c r="K24" i="12"/>
  <c r="K43" i="12"/>
  <c r="J24" i="12"/>
  <c r="J43" i="12"/>
  <c r="I24" i="12"/>
  <c r="I43" i="12"/>
  <c r="H24" i="12"/>
  <c r="H43" i="12"/>
  <c r="G24" i="12"/>
  <c r="G43" i="12"/>
  <c r="F24" i="12"/>
  <c r="F43" i="12"/>
  <c r="E24" i="12"/>
  <c r="E43" i="12"/>
  <c r="D24" i="12"/>
  <c r="D43" i="12"/>
  <c r="C24" i="12"/>
  <c r="C43" i="12"/>
  <c r="B24" i="12"/>
  <c r="B43" i="12"/>
  <c r="S23" i="12"/>
  <c r="R23" i="12"/>
  <c r="Q23" i="12"/>
  <c r="P23" i="12"/>
  <c r="O23" i="12"/>
  <c r="N23" i="12"/>
  <c r="M23" i="12"/>
  <c r="M42" i="12"/>
  <c r="L23" i="12"/>
  <c r="L42" i="12"/>
  <c r="K23" i="12"/>
  <c r="K42" i="12"/>
  <c r="J23" i="12"/>
  <c r="J42" i="12"/>
  <c r="I23" i="12"/>
  <c r="I42" i="12"/>
  <c r="H23" i="12"/>
  <c r="H42" i="12"/>
  <c r="G23" i="12"/>
  <c r="G42" i="12"/>
  <c r="F23" i="12"/>
  <c r="F42" i="12"/>
  <c r="E23" i="12"/>
  <c r="E42" i="12"/>
  <c r="D42" i="12"/>
  <c r="C23" i="12"/>
  <c r="C42" i="12"/>
  <c r="B23" i="12"/>
  <c r="B42" i="12"/>
  <c r="S115" i="10"/>
  <c r="S122" i="10" s="1"/>
  <c r="AV135" i="10"/>
  <c r="AV134" i="10"/>
  <c r="AV133" i="10"/>
  <c r="AV132" i="10"/>
  <c r="AV131" i="10"/>
  <c r="AV130" i="10"/>
  <c r="AV129" i="10"/>
  <c r="AV128" i="10"/>
  <c r="AV127" i="10"/>
  <c r="AV126" i="10"/>
  <c r="AV125" i="10"/>
  <c r="AV124" i="10"/>
  <c r="AV123" i="10"/>
  <c r="AV122" i="10"/>
  <c r="AV121" i="10"/>
  <c r="AV120" i="10"/>
  <c r="AV119" i="10"/>
  <c r="AV118" i="10"/>
  <c r="AV117" i="10"/>
  <c r="AC116" i="10"/>
  <c r="T115" i="10"/>
  <c r="V115" i="10" s="1"/>
  <c r="U115" i="10"/>
  <c r="S119" i="10"/>
  <c r="S118" i="10"/>
  <c r="S117" i="10"/>
  <c r="S116" i="10"/>
  <c r="S125" i="10"/>
  <c r="S124" i="10"/>
  <c r="S123" i="10"/>
  <c r="U116" i="10"/>
  <c r="V116" i="10"/>
  <c r="Q115" i="10"/>
  <c r="Q119" i="10"/>
  <c r="Q118" i="10"/>
  <c r="Q117" i="10"/>
  <c r="Q124" i="10" s="1"/>
  <c r="Q116" i="10"/>
  <c r="C119" i="10"/>
  <c r="C118" i="10"/>
  <c r="C117" i="10"/>
  <c r="C116" i="10"/>
  <c r="C115" i="10"/>
  <c r="C121" i="10" s="1"/>
  <c r="T39" i="1"/>
  <c r="A39" i="1" s="1"/>
  <c r="T38" i="1"/>
  <c r="A38" i="1"/>
  <c r="X40" i="1"/>
  <c r="Y40" i="1"/>
  <c r="P119" i="10"/>
  <c r="P118" i="10"/>
  <c r="P117" i="10"/>
  <c r="P116" i="10"/>
  <c r="P115" i="10"/>
  <c r="P121" i="10" s="1"/>
  <c r="O119" i="10"/>
  <c r="O118" i="10"/>
  <c r="O117" i="10"/>
  <c r="O116" i="10"/>
  <c r="O115" i="10"/>
  <c r="O121" i="10" s="1"/>
  <c r="Z60" i="1"/>
  <c r="T61" i="1"/>
  <c r="A61" i="1"/>
  <c r="T60" i="1"/>
  <c r="A60" i="1"/>
  <c r="T59" i="1"/>
  <c r="A59" i="1" s="1"/>
  <c r="Y60" i="1"/>
  <c r="T58" i="1"/>
  <c r="A58" i="1" s="1"/>
  <c r="T57" i="1"/>
  <c r="A57" i="1"/>
  <c r="T56" i="1"/>
  <c r="A56" i="1"/>
  <c r="D119" i="10"/>
  <c r="D118" i="10"/>
  <c r="D117" i="10"/>
  <c r="D116" i="10"/>
  <c r="D115" i="10"/>
  <c r="D121" i="10" s="1"/>
  <c r="AA28" i="1"/>
  <c r="T32" i="1"/>
  <c r="A32" i="1"/>
  <c r="T31" i="1"/>
  <c r="A31" i="1" s="1"/>
  <c r="T29" i="1"/>
  <c r="A29" i="1"/>
  <c r="T26" i="1"/>
  <c r="A26" i="1" s="1"/>
  <c r="F119" i="10"/>
  <c r="F118" i="10"/>
  <c r="F117" i="10"/>
  <c r="F116" i="10"/>
  <c r="F115" i="10"/>
  <c r="F121" i="10" s="1"/>
  <c r="E119" i="10"/>
  <c r="E118" i="10"/>
  <c r="E117" i="10"/>
  <c r="E116" i="10"/>
  <c r="E115" i="10"/>
  <c r="E121" i="10" s="1"/>
  <c r="N119" i="10"/>
  <c r="N118" i="10"/>
  <c r="N117" i="10"/>
  <c r="N116" i="10"/>
  <c r="N115" i="10"/>
  <c r="N121" i="10" s="1"/>
  <c r="W116" i="10"/>
  <c r="Q125" i="10"/>
  <c r="Q122" i="10"/>
  <c r="Q121" i="10"/>
  <c r="B119" i="10"/>
  <c r="B118" i="10"/>
  <c r="B117" i="10"/>
  <c r="B116" i="10"/>
  <c r="B115" i="10"/>
  <c r="B121" i="10" s="1"/>
  <c r="H119" i="10"/>
  <c r="H118" i="10"/>
  <c r="H117" i="10"/>
  <c r="H116" i="10"/>
  <c r="H115" i="10"/>
  <c r="H121" i="10" s="1"/>
  <c r="G119" i="10"/>
  <c r="G118" i="10"/>
  <c r="G117" i="10"/>
  <c r="G116" i="10"/>
  <c r="G115" i="10"/>
  <c r="G121" i="10" s="1"/>
  <c r="I119" i="10"/>
  <c r="I118" i="10"/>
  <c r="I117" i="10"/>
  <c r="I116" i="10"/>
  <c r="I115" i="10"/>
  <c r="I121" i="10" s="1"/>
  <c r="T49" i="1"/>
  <c r="A49" i="1" s="1"/>
  <c r="T48" i="1"/>
  <c r="A48" i="1"/>
  <c r="T47" i="1"/>
  <c r="A47" i="1" s="1"/>
  <c r="T37" i="1"/>
  <c r="A37" i="1"/>
  <c r="T30" i="1"/>
  <c r="A30" i="1" s="1"/>
  <c r="T28" i="1"/>
  <c r="A28" i="1"/>
  <c r="T27" i="1"/>
  <c r="A27" i="1" s="1"/>
  <c r="T25" i="1"/>
  <c r="A25" i="1"/>
  <c r="T24" i="1"/>
  <c r="A24" i="1" s="1"/>
  <c r="T23" i="1"/>
  <c r="A23" i="1"/>
  <c r="X50" i="1"/>
  <c r="Y50" i="1"/>
  <c r="Q123" i="10" l="1"/>
  <c r="B123" i="10"/>
  <c r="D86" i="10"/>
  <c r="AJ130" i="4"/>
  <c r="U63" i="4"/>
  <c r="AF63" i="4" s="1"/>
  <c r="U71" i="4"/>
  <c r="AF71" i="4" s="1"/>
  <c r="AJ71" i="4" s="1"/>
  <c r="U79" i="4"/>
  <c r="AF79" i="4" s="1"/>
  <c r="AJ79" i="4" s="1"/>
  <c r="U38" i="4"/>
  <c r="AF38" i="4" s="1"/>
  <c r="AJ38" i="4" s="1"/>
  <c r="U46" i="4"/>
  <c r="AF46" i="4" s="1"/>
  <c r="AJ46" i="4" s="1"/>
  <c r="U54" i="4"/>
  <c r="AF54" i="4" s="1"/>
  <c r="U37" i="4"/>
  <c r="AF37" i="4" s="1"/>
  <c r="U45" i="4"/>
  <c r="AF45" i="4" s="1"/>
  <c r="U53" i="4"/>
  <c r="AF53" i="4" s="1"/>
  <c r="U61" i="4"/>
  <c r="AF61" i="4" s="1"/>
  <c r="AJ61" i="4" s="1"/>
  <c r="U69" i="4"/>
  <c r="AF69" i="4" s="1"/>
  <c r="AJ69" i="4" s="1"/>
  <c r="U51" i="4"/>
  <c r="AF51" i="4" s="1"/>
  <c r="U67" i="4"/>
  <c r="AF67" i="4" s="1"/>
  <c r="U75" i="4"/>
  <c r="AF75" i="4" s="1"/>
  <c r="AJ75" i="4" s="1"/>
  <c r="U26" i="4"/>
  <c r="AF26" i="4" s="1"/>
  <c r="U58" i="4"/>
  <c r="AF58" i="4" s="1"/>
  <c r="U77" i="4"/>
  <c r="AF77" i="4" s="1"/>
  <c r="U81" i="4"/>
  <c r="AF81" i="4" s="1"/>
  <c r="AJ81" i="4" s="1"/>
  <c r="U96" i="4"/>
  <c r="AF96" i="4" s="1"/>
  <c r="AJ96" i="4" s="1"/>
  <c r="U104" i="4"/>
  <c r="AF104" i="4" s="1"/>
  <c r="U112" i="4"/>
  <c r="AF112" i="4" s="1"/>
  <c r="U120" i="4"/>
  <c r="AF120" i="4" s="1"/>
  <c r="U128" i="4"/>
  <c r="AF128" i="4" s="1"/>
  <c r="U10" i="4"/>
  <c r="AF10" i="4" s="1"/>
  <c r="AJ10" i="4" s="1"/>
  <c r="U34" i="4"/>
  <c r="AF34" i="4" s="1"/>
  <c r="U42" i="4"/>
  <c r="AF42" i="4" s="1"/>
  <c r="U83" i="4"/>
  <c r="AF83" i="4" s="1"/>
  <c r="AJ83" i="4" s="1"/>
  <c r="U95" i="4"/>
  <c r="AF95" i="4" s="1"/>
  <c r="U103" i="4"/>
  <c r="AF103" i="4" s="1"/>
  <c r="AJ103" i="4" s="1"/>
  <c r="U111" i="4"/>
  <c r="AF111" i="4" s="1"/>
  <c r="U59" i="4"/>
  <c r="AF59" i="4" s="1"/>
  <c r="U101" i="4"/>
  <c r="AF101" i="4" s="1"/>
  <c r="U43" i="4"/>
  <c r="AF43" i="4" s="1"/>
  <c r="U127" i="4"/>
  <c r="AF127" i="4" s="1"/>
  <c r="U66" i="4"/>
  <c r="AF66" i="4" s="1"/>
  <c r="AJ66" i="4" s="1"/>
  <c r="U117" i="4"/>
  <c r="AF117" i="4" s="1"/>
  <c r="U133" i="4"/>
  <c r="AF133" i="4" s="1"/>
  <c r="U109" i="4"/>
  <c r="AF109" i="4" s="1"/>
  <c r="U125" i="4"/>
  <c r="AF125" i="4" s="1"/>
  <c r="U135" i="4"/>
  <c r="AF135" i="4" s="1"/>
  <c r="AJ135" i="4" s="1"/>
  <c r="U85" i="4"/>
  <c r="AF85" i="4" s="1"/>
  <c r="AJ85" i="4" s="1"/>
  <c r="U18" i="4"/>
  <c r="AF18" i="4" s="1"/>
  <c r="U116" i="4"/>
  <c r="AF116" i="4" s="1"/>
  <c r="AJ116" i="4" s="1"/>
  <c r="U93" i="4"/>
  <c r="AF93" i="4" s="1"/>
  <c r="U132" i="4"/>
  <c r="AF132" i="4" s="1"/>
  <c r="AJ132" i="4" s="1"/>
  <c r="A132" i="4" s="1"/>
  <c r="U50" i="4"/>
  <c r="AF50" i="4" s="1"/>
  <c r="U119" i="4"/>
  <c r="AF119" i="4" s="1"/>
  <c r="U80" i="4"/>
  <c r="AF80" i="4" s="1"/>
  <c r="AJ80" i="4" s="1"/>
  <c r="U92" i="4"/>
  <c r="AF92" i="4" s="1"/>
  <c r="U114" i="4"/>
  <c r="AF114" i="4" s="1"/>
  <c r="U44" i="4"/>
  <c r="AF44" i="4" s="1"/>
  <c r="AJ44" i="4" s="1"/>
  <c r="U94" i="4"/>
  <c r="AF94" i="4" s="1"/>
  <c r="AJ94" i="4" s="1"/>
  <c r="U60" i="4"/>
  <c r="AF60" i="4" s="1"/>
  <c r="U49" i="4"/>
  <c r="AF49" i="4" s="1"/>
  <c r="U68" i="4"/>
  <c r="AF68" i="4" s="1"/>
  <c r="U82" i="4"/>
  <c r="AF82" i="4" s="1"/>
  <c r="U98" i="4"/>
  <c r="AF98" i="4" s="1"/>
  <c r="U32" i="4"/>
  <c r="AF32" i="4" s="1"/>
  <c r="U12" i="4"/>
  <c r="AF12" i="4" s="1"/>
  <c r="AJ12" i="4" s="1"/>
  <c r="U57" i="4"/>
  <c r="AF57" i="4" s="1"/>
  <c r="U124" i="4"/>
  <c r="AF124" i="4" s="1"/>
  <c r="U113" i="4"/>
  <c r="AF113" i="4" s="1"/>
  <c r="U76" i="4"/>
  <c r="AF76" i="4" s="1"/>
  <c r="U17" i="4"/>
  <c r="AF17" i="4" s="1"/>
  <c r="U100" i="4"/>
  <c r="AF100" i="4" s="1"/>
  <c r="U131" i="4"/>
  <c r="AF131" i="4" s="1"/>
  <c r="AJ131" i="4" s="1"/>
  <c r="U89" i="4"/>
  <c r="AF89" i="4" s="1"/>
  <c r="AJ89" i="4" s="1"/>
  <c r="U20" i="4"/>
  <c r="AF20" i="4" s="1"/>
  <c r="U39" i="4"/>
  <c r="AF39" i="4" s="1"/>
  <c r="AJ39" i="4" s="1"/>
  <c r="A39" i="4" s="1"/>
  <c r="U64" i="4"/>
  <c r="AF64" i="4" s="1"/>
  <c r="U41" i="4"/>
  <c r="AF41" i="4" s="1"/>
  <c r="U130" i="4"/>
  <c r="AF130" i="4" s="1"/>
  <c r="U73" i="4"/>
  <c r="AF73" i="4" s="1"/>
  <c r="U65" i="4"/>
  <c r="AF65" i="4" s="1"/>
  <c r="U122" i="4"/>
  <c r="AF122" i="4" s="1"/>
  <c r="AJ122" i="4" s="1"/>
  <c r="U108" i="4"/>
  <c r="AF108" i="4" s="1"/>
  <c r="U118" i="4"/>
  <c r="AF118" i="4" s="1"/>
  <c r="U16" i="4"/>
  <c r="AF16" i="4" s="1"/>
  <c r="U97" i="4"/>
  <c r="AF97" i="4" s="1"/>
  <c r="U62" i="4"/>
  <c r="AF62" i="4" s="1"/>
  <c r="U84" i="4"/>
  <c r="AF84" i="4" s="1"/>
  <c r="AJ84" i="4" s="1"/>
  <c r="U31" i="4"/>
  <c r="AF31" i="4" s="1"/>
  <c r="AJ31" i="4" s="1"/>
  <c r="U74" i="4"/>
  <c r="AF74" i="4" s="1"/>
  <c r="AJ74" i="4" s="1"/>
  <c r="U121" i="4"/>
  <c r="AF121" i="4" s="1"/>
  <c r="AJ121" i="4" s="1"/>
  <c r="U28" i="4"/>
  <c r="AF28" i="4" s="1"/>
  <c r="U33" i="4"/>
  <c r="AF33" i="4" s="1"/>
  <c r="U52" i="4"/>
  <c r="AF52" i="4" s="1"/>
  <c r="AJ52" i="4" s="1"/>
  <c r="U99" i="4"/>
  <c r="AF99" i="4" s="1"/>
  <c r="U91" i="4"/>
  <c r="AF91" i="4" s="1"/>
  <c r="U115" i="4"/>
  <c r="AF115" i="4" s="1"/>
  <c r="U123" i="4"/>
  <c r="AF123" i="4" s="1"/>
  <c r="AJ123" i="4" s="1"/>
  <c r="U129" i="4"/>
  <c r="AF129" i="4" s="1"/>
  <c r="U78" i="4"/>
  <c r="AF78" i="4" s="1"/>
  <c r="U25" i="4"/>
  <c r="AF25" i="4" s="1"/>
  <c r="AJ25" i="4" s="1"/>
  <c r="U24" i="4"/>
  <c r="AF24" i="4" s="1"/>
  <c r="U134" i="4"/>
  <c r="AF134" i="4" s="1"/>
  <c r="U102" i="4"/>
  <c r="AF102" i="4" s="1"/>
  <c r="AJ102" i="4" s="1"/>
  <c r="U56" i="4"/>
  <c r="AF56" i="4" s="1"/>
  <c r="U8" i="4"/>
  <c r="AF8" i="4" s="1"/>
  <c r="AJ8" i="4" s="1"/>
  <c r="U110" i="4"/>
  <c r="AF110" i="4" s="1"/>
  <c r="AJ110" i="4" s="1"/>
  <c r="U55" i="4"/>
  <c r="AF55" i="4" s="1"/>
  <c r="AJ55" i="4" s="1"/>
  <c r="U7" i="4"/>
  <c r="AF7" i="4" s="1"/>
  <c r="U106" i="4"/>
  <c r="AF106" i="4" s="1"/>
  <c r="AJ106" i="4" s="1"/>
  <c r="U40" i="4"/>
  <c r="AF40" i="4" s="1"/>
  <c r="U90" i="4"/>
  <c r="AF90" i="4" s="1"/>
  <c r="U36" i="4"/>
  <c r="AF36" i="4" s="1"/>
  <c r="U72" i="4"/>
  <c r="AF72" i="4" s="1"/>
  <c r="AJ72" i="4" s="1"/>
  <c r="U107" i="4"/>
  <c r="AF107" i="4" s="1"/>
  <c r="U126" i="4"/>
  <c r="AF126" i="4" s="1"/>
  <c r="U105" i="4"/>
  <c r="AF105" i="4" s="1"/>
  <c r="U47" i="4"/>
  <c r="AF47" i="4" s="1"/>
  <c r="U88" i="4"/>
  <c r="AF88" i="4" s="1"/>
  <c r="U9" i="4"/>
  <c r="AF9" i="4" s="1"/>
  <c r="AJ9" i="4" s="1"/>
  <c r="A9" i="4" s="1"/>
  <c r="U86" i="4"/>
  <c r="AF86" i="4" s="1"/>
  <c r="AJ86" i="4" s="1"/>
  <c r="U48" i="4"/>
  <c r="AF48" i="4" s="1"/>
  <c r="AJ48" i="4" s="1"/>
  <c r="U70" i="4"/>
  <c r="AF70" i="4" s="1"/>
  <c r="U87" i="4"/>
  <c r="AF87" i="4" s="1"/>
  <c r="AJ16" i="4"/>
  <c r="AJ88" i="4"/>
  <c r="AJ58" i="4"/>
  <c r="AJ51" i="4"/>
  <c r="AJ68" i="4"/>
  <c r="AJ119" i="4"/>
  <c r="AJ7" i="4"/>
  <c r="AJ134" i="4"/>
  <c r="AJ107" i="4"/>
  <c r="AJ115" i="4"/>
  <c r="U23" i="4"/>
  <c r="AF23" i="4" s="1"/>
  <c r="AJ23" i="4" s="1"/>
  <c r="AJ73" i="4"/>
  <c r="AJ62" i="4"/>
  <c r="U5" i="4"/>
  <c r="AF5" i="4" s="1"/>
  <c r="AJ5" i="4" s="1"/>
  <c r="AJ47" i="4"/>
  <c r="AJ56" i="4"/>
  <c r="AJ50" i="4"/>
  <c r="AJ43" i="4"/>
  <c r="U15" i="4"/>
  <c r="AF15" i="4" s="1"/>
  <c r="AJ29" i="4"/>
  <c r="AJ77" i="4"/>
  <c r="AJ111" i="4"/>
  <c r="AJ98" i="4"/>
  <c r="AJ42" i="4"/>
  <c r="AJ113" i="4"/>
  <c r="AJ36" i="4"/>
  <c r="AJ124" i="4"/>
  <c r="AJ133" i="4"/>
  <c r="AJ90" i="4"/>
  <c r="AJ99" i="4"/>
  <c r="AJ20" i="4"/>
  <c r="U11" i="4"/>
  <c r="AF11" i="4" s="1"/>
  <c r="AJ87" i="4"/>
  <c r="AJ125" i="4"/>
  <c r="AJ34" i="4"/>
  <c r="AJ120" i="4"/>
  <c r="U14" i="4"/>
  <c r="AF14" i="4" s="1"/>
  <c r="AJ14" i="4" s="1"/>
  <c r="AJ129" i="4"/>
  <c r="AJ118" i="4"/>
  <c r="AJ65" i="4"/>
  <c r="AJ19" i="4"/>
  <c r="AJ97" i="4"/>
  <c r="AJ63" i="4"/>
  <c r="AJ32" i="4"/>
  <c r="AJ82" i="4"/>
  <c r="AJ117" i="4"/>
  <c r="AJ60" i="4"/>
  <c r="AJ57" i="4"/>
  <c r="AJ112" i="4"/>
  <c r="AJ18" i="4"/>
  <c r="AJ108" i="4"/>
  <c r="AJ70" i="4"/>
  <c r="AJ54" i="4"/>
  <c r="AJ33" i="4"/>
  <c r="AJ100" i="4"/>
  <c r="AJ17" i="4"/>
  <c r="AJ49" i="4"/>
  <c r="AJ95" i="4"/>
  <c r="AJ45" i="4"/>
  <c r="AJ30" i="4"/>
  <c r="AJ28" i="4"/>
  <c r="AJ128" i="4"/>
  <c r="AJ104" i="4"/>
  <c r="AJ24" i="4"/>
  <c r="AJ78" i="4"/>
  <c r="AJ109" i="4"/>
  <c r="AJ64" i="4"/>
  <c r="AJ11" i="4"/>
  <c r="AJ41" i="4"/>
  <c r="U35" i="4"/>
  <c r="AF35" i="4" s="1"/>
  <c r="AJ35" i="4" s="1"/>
  <c r="AJ37" i="4"/>
  <c r="AJ15" i="4"/>
  <c r="AJ127" i="4"/>
  <c r="AJ40" i="4"/>
  <c r="AJ114" i="4"/>
  <c r="AJ101" i="4"/>
  <c r="AJ92" i="4"/>
  <c r="AJ126" i="4"/>
  <c r="AJ26" i="4"/>
  <c r="AJ53" i="4"/>
  <c r="AJ22" i="4"/>
  <c r="AJ105" i="4"/>
  <c r="AJ93" i="4"/>
  <c r="AJ59" i="4"/>
  <c r="AJ76" i="4"/>
  <c r="AJ91" i="4"/>
  <c r="AJ67" i="4"/>
  <c r="B91" i="10"/>
  <c r="F97" i="10"/>
  <c r="U117" i="10"/>
  <c r="Z38" i="1"/>
  <c r="Y28" i="1"/>
  <c r="AB26" i="1"/>
  <c r="Z118" i="10"/>
  <c r="AB117" i="10"/>
  <c r="AC118" i="10"/>
  <c r="AC117" i="10"/>
  <c r="AA117" i="10"/>
  <c r="AB27" i="1"/>
  <c r="W57" i="1"/>
  <c r="W48" i="1"/>
  <c r="W39" i="1"/>
  <c r="Z39" i="1" s="1"/>
  <c r="U39" i="1" s="1"/>
  <c r="Y41" i="1" s="1"/>
  <c r="AS127" i="10"/>
  <c r="AS121" i="10"/>
  <c r="AS117" i="10"/>
  <c r="AT115" i="10"/>
  <c r="AU121" i="10"/>
  <c r="AW121" i="10" s="1"/>
  <c r="AU129" i="10"/>
  <c r="AW129" i="10" s="1"/>
  <c r="W117" i="10"/>
  <c r="AU122" i="10"/>
  <c r="AW122" i="10" s="1"/>
  <c r="AU130" i="10"/>
  <c r="AW130" i="10" s="1"/>
  <c r="W24" i="1"/>
  <c r="AS118" i="10"/>
  <c r="AU115" i="10"/>
  <c r="AW115" i="10" s="1"/>
  <c r="AU123" i="10"/>
  <c r="AW123" i="10" s="1"/>
  <c r="AU131" i="10"/>
  <c r="AW131" i="10" s="1"/>
  <c r="D125" i="10"/>
  <c r="S121" i="10"/>
  <c r="C86" i="10"/>
  <c r="J88" i="10"/>
  <c r="C89" i="10"/>
  <c r="AS133" i="10"/>
  <c r="AU117" i="10"/>
  <c r="AW117" i="10" s="1"/>
  <c r="AU125" i="10"/>
  <c r="AW125" i="10" s="1"/>
  <c r="AU133" i="10"/>
  <c r="AW133" i="10" s="1"/>
  <c r="AU118" i="10"/>
  <c r="AW118" i="10" s="1"/>
  <c r="AU126" i="10"/>
  <c r="AW126" i="10" s="1"/>
  <c r="D89" i="10"/>
  <c r="H93" i="10"/>
  <c r="A122" i="10"/>
  <c r="N123" i="10"/>
  <c r="F90" i="10"/>
  <c r="H90" i="10"/>
  <c r="L90" i="10"/>
  <c r="H125" i="10"/>
  <c r="J86" i="10"/>
  <c r="L86" i="10"/>
  <c r="P125" i="10"/>
  <c r="C91" i="10"/>
  <c r="F91" i="10"/>
  <c r="D92" i="10"/>
  <c r="L93" i="10"/>
  <c r="I95" i="10"/>
  <c r="M95" i="10"/>
  <c r="B96" i="10"/>
  <c r="G91" i="10"/>
  <c r="O124" i="10"/>
  <c r="C123" i="10"/>
  <c r="C87" i="10"/>
  <c r="I87" i="10"/>
  <c r="K87" i="10"/>
  <c r="M88" i="10"/>
  <c r="B90" i="10"/>
  <c r="M90" i="10"/>
  <c r="H92" i="10"/>
  <c r="J92" i="10"/>
  <c r="D93" i="10"/>
  <c r="J97" i="10"/>
  <c r="N122" i="10"/>
  <c r="O125" i="10"/>
  <c r="P122" i="10"/>
  <c r="C124" i="10"/>
  <c r="G86" i="10"/>
  <c r="I86" i="10"/>
  <c r="K92" i="10"/>
  <c r="G93" i="10"/>
  <c r="K93" i="10"/>
  <c r="B94" i="10"/>
  <c r="C96" i="10"/>
  <c r="D90" i="10"/>
  <c r="P123" i="10"/>
  <c r="C125" i="10"/>
  <c r="L94" i="10"/>
  <c r="J95" i="10"/>
  <c r="L96" i="10"/>
  <c r="C97" i="10"/>
  <c r="E97" i="10"/>
  <c r="I97" i="10"/>
  <c r="A123" i="10"/>
  <c r="B93" i="10"/>
  <c r="D88" i="10"/>
  <c r="B88" i="10"/>
  <c r="D87" i="10"/>
  <c r="N124" i="10"/>
  <c r="F87" i="10"/>
  <c r="H87" i="10"/>
  <c r="L87" i="10"/>
  <c r="E88" i="10"/>
  <c r="I88" i="10"/>
  <c r="I90" i="10"/>
  <c r="K90" i="10"/>
  <c r="F93" i="10"/>
  <c r="I94" i="10"/>
  <c r="K94" i="10"/>
  <c r="F95" i="10"/>
  <c r="H95" i="10"/>
  <c r="I125" i="10"/>
  <c r="H122" i="10"/>
  <c r="I122" i="10"/>
  <c r="H124" i="10"/>
  <c r="M87" i="10"/>
  <c r="F89" i="10"/>
  <c r="L89" i="10"/>
  <c r="I91" i="10"/>
  <c r="K91" i="10"/>
  <c r="D94" i="10"/>
  <c r="E96" i="10"/>
  <c r="K96" i="10"/>
  <c r="G123" i="10"/>
  <c r="K86" i="10"/>
  <c r="G89" i="10"/>
  <c r="L91" i="10"/>
  <c r="D96" i="10"/>
  <c r="B124" i="10"/>
  <c r="I124" i="10"/>
  <c r="D124" i="10"/>
  <c r="F86" i="10"/>
  <c r="F88" i="10"/>
  <c r="H88" i="10"/>
  <c r="K88" i="10"/>
  <c r="I89" i="10"/>
  <c r="K89" i="10"/>
  <c r="C90" i="10"/>
  <c r="C92" i="10"/>
  <c r="E92" i="10"/>
  <c r="G92" i="10"/>
  <c r="F94" i="10"/>
  <c r="H94" i="10"/>
  <c r="F96" i="10"/>
  <c r="H96" i="10"/>
  <c r="J96" i="10"/>
  <c r="M96" i="10"/>
  <c r="B97" i="10"/>
  <c r="K97" i="10"/>
  <c r="M97" i="10"/>
  <c r="H89" i="10"/>
  <c r="M92" i="10"/>
  <c r="C94" i="10"/>
  <c r="E94" i="10"/>
  <c r="E95" i="10"/>
  <c r="G96" i="10"/>
  <c r="H97" i="10"/>
  <c r="O123" i="10"/>
  <c r="E87" i="10"/>
  <c r="C88" i="10"/>
  <c r="E90" i="10"/>
  <c r="H91" i="10"/>
  <c r="L92" i="10"/>
  <c r="M94" i="10"/>
  <c r="E123" i="10"/>
  <c r="F125" i="10"/>
  <c r="I93" i="10"/>
  <c r="C95" i="10"/>
  <c r="K95" i="10"/>
  <c r="A124" i="10"/>
  <c r="D91" i="10"/>
  <c r="B122" i="10"/>
  <c r="N125" i="10"/>
  <c r="E122" i="10"/>
  <c r="E124" i="10"/>
  <c r="F122" i="10"/>
  <c r="O122" i="10"/>
  <c r="C122" i="10"/>
  <c r="E86" i="10"/>
  <c r="H86" i="10"/>
  <c r="M86" i="10"/>
  <c r="B87" i="10"/>
  <c r="G87" i="10"/>
  <c r="J87" i="10"/>
  <c r="B89" i="10"/>
  <c r="E89" i="10"/>
  <c r="J89" i="10"/>
  <c r="M89" i="10"/>
  <c r="G90" i="10"/>
  <c r="J90" i="10"/>
  <c r="E91" i="10"/>
  <c r="J91" i="10"/>
  <c r="M91" i="10"/>
  <c r="F92" i="10"/>
  <c r="I92" i="10"/>
  <c r="C93" i="10"/>
  <c r="E93" i="10"/>
  <c r="J93" i="10"/>
  <c r="M93" i="10"/>
  <c r="G94" i="10"/>
  <c r="J94" i="10"/>
  <c r="D95" i="10"/>
  <c r="G95" i="10"/>
  <c r="L95" i="10"/>
  <c r="D97" i="10"/>
  <c r="G97" i="10"/>
  <c r="L97" i="10"/>
  <c r="I123" i="10"/>
  <c r="G122" i="10"/>
  <c r="G124" i="10"/>
  <c r="E125" i="10"/>
  <c r="F123" i="10"/>
  <c r="D122" i="10"/>
  <c r="B86" i="10"/>
  <c r="G88" i="10"/>
  <c r="I96" i="10"/>
  <c r="B125" i="10"/>
  <c r="G125" i="10"/>
  <c r="H123" i="10"/>
  <c r="D123" i="10"/>
  <c r="F124" i="10"/>
  <c r="A125" i="10"/>
  <c r="P124" i="10"/>
  <c r="A23" i="4" l="1"/>
  <c r="A10" i="4"/>
  <c r="A106" i="4"/>
  <c r="A25" i="4"/>
  <c r="A75" i="4"/>
  <c r="A35" i="4"/>
  <c r="A6" i="4"/>
  <c r="A48" i="4"/>
  <c r="A8" i="4"/>
  <c r="A21" i="4"/>
  <c r="A123" i="4"/>
  <c r="A74" i="4"/>
  <c r="A122" i="4"/>
  <c r="A89" i="4"/>
  <c r="A116" i="4"/>
  <c r="A66" i="4"/>
  <c r="A96" i="4"/>
  <c r="A69" i="4"/>
  <c r="A79" i="4"/>
  <c r="A121" i="4"/>
  <c r="A72" i="4"/>
  <c r="A31" i="4"/>
  <c r="A109" i="4"/>
  <c r="A87" i="4"/>
  <c r="A44" i="4"/>
  <c r="A130" i="4"/>
  <c r="A91" i="4"/>
  <c r="A53" i="4"/>
  <c r="A127" i="4"/>
  <c r="A78" i="4"/>
  <c r="A49" i="4"/>
  <c r="A82" i="4"/>
  <c r="A14" i="4"/>
  <c r="A42" i="4"/>
  <c r="A56" i="4"/>
  <c r="A58" i="4"/>
  <c r="A86" i="4"/>
  <c r="A131" i="4"/>
  <c r="A81" i="4"/>
  <c r="A61" i="4"/>
  <c r="A71" i="4"/>
  <c r="A117" i="4"/>
  <c r="A83" i="4"/>
  <c r="A26" i="4"/>
  <c r="A15" i="4"/>
  <c r="A24" i="4"/>
  <c r="A17" i="4"/>
  <c r="A108" i="4"/>
  <c r="A32" i="4"/>
  <c r="A20" i="4"/>
  <c r="A98" i="4"/>
  <c r="A107" i="4"/>
  <c r="A88" i="4"/>
  <c r="A102" i="4"/>
  <c r="A84" i="4"/>
  <c r="A85" i="4"/>
  <c r="A27" i="4"/>
  <c r="A22" i="4"/>
  <c r="A129" i="4"/>
  <c r="A12" i="4"/>
  <c r="A76" i="4"/>
  <c r="A126" i="4"/>
  <c r="A37" i="4"/>
  <c r="A104" i="4"/>
  <c r="A18" i="4"/>
  <c r="A63" i="4"/>
  <c r="A99" i="4"/>
  <c r="A111" i="4"/>
  <c r="A47" i="4"/>
  <c r="A134" i="4"/>
  <c r="A16" i="4"/>
  <c r="A80" i="4"/>
  <c r="A135" i="4"/>
  <c r="A70" i="4"/>
  <c r="A115" i="4"/>
  <c r="A59" i="4"/>
  <c r="A92" i="4"/>
  <c r="A128" i="4"/>
  <c r="A100" i="4"/>
  <c r="A112" i="4"/>
  <c r="A97" i="4"/>
  <c r="A120" i="4"/>
  <c r="A90" i="4"/>
  <c r="A77" i="4"/>
  <c r="A5" i="4"/>
  <c r="A7" i="4"/>
  <c r="A52" i="4"/>
  <c r="A67" i="4"/>
  <c r="A50" i="4"/>
  <c r="A93" i="4"/>
  <c r="A41" i="4"/>
  <c r="A28" i="4"/>
  <c r="A57" i="4"/>
  <c r="A19" i="4"/>
  <c r="A34" i="4"/>
  <c r="A133" i="4"/>
  <c r="A29" i="4"/>
  <c r="A62" i="4"/>
  <c r="A95" i="4"/>
  <c r="A51" i="4"/>
  <c r="A105" i="4"/>
  <c r="A101" i="4"/>
  <c r="A11" i="4"/>
  <c r="A30" i="4"/>
  <c r="A33" i="4"/>
  <c r="A60" i="4"/>
  <c r="A65" i="4"/>
  <c r="A125" i="4"/>
  <c r="A124" i="4"/>
  <c r="A73" i="4"/>
  <c r="A119" i="4"/>
  <c r="A55" i="4"/>
  <c r="A103" i="4"/>
  <c r="A46" i="4"/>
  <c r="A40" i="4"/>
  <c r="A113" i="4"/>
  <c r="A114" i="4"/>
  <c r="A64" i="4"/>
  <c r="A45" i="4"/>
  <c r="A54" i="4"/>
  <c r="A118" i="4"/>
  <c r="A36" i="4"/>
  <c r="A43" i="4"/>
  <c r="A68" i="4"/>
  <c r="A110" i="4"/>
  <c r="A94" i="4"/>
  <c r="A38" i="4"/>
  <c r="A13" i="4"/>
  <c r="AB24" i="1"/>
  <c r="U26" i="1" s="1"/>
  <c r="Z29" i="1" s="1"/>
  <c r="W28" i="1"/>
  <c r="W40" i="1"/>
  <c r="AB118" i="10"/>
  <c r="Z119" i="10"/>
  <c r="AC119" i="10" s="1"/>
  <c r="AA118" i="10"/>
  <c r="U38" i="1"/>
  <c r="X41" i="1" s="1"/>
  <c r="Z48" i="1"/>
  <c r="W50" i="1"/>
  <c r="V117" i="10"/>
  <c r="U118" i="10"/>
  <c r="W60" i="1"/>
  <c r="AA57" i="1"/>
  <c r="U37" i="1"/>
  <c r="P50" i="7" l="1"/>
  <c r="P104" i="7"/>
  <c r="P58" i="7"/>
  <c r="P77" i="7"/>
  <c r="P29" i="7"/>
  <c r="Q12" i="7"/>
  <c r="P67" i="7"/>
  <c r="P17" i="7"/>
  <c r="P4" i="7"/>
  <c r="P18" i="7"/>
  <c r="P84" i="7"/>
  <c r="P27" i="7"/>
  <c r="P64" i="7"/>
  <c r="P114" i="7"/>
  <c r="P92" i="7"/>
  <c r="P59" i="7"/>
  <c r="P103" i="7"/>
  <c r="P86" i="7"/>
  <c r="P98" i="7"/>
  <c r="P47" i="7"/>
  <c r="P49" i="7"/>
  <c r="P6" i="7"/>
  <c r="P105" i="7"/>
  <c r="P60" i="7"/>
  <c r="P121" i="7"/>
  <c r="P89" i="7"/>
  <c r="S30" i="7"/>
  <c r="P116" i="7"/>
  <c r="S77" i="7"/>
  <c r="V118" i="10"/>
  <c r="U119" i="10"/>
  <c r="S99" i="7"/>
  <c r="S41" i="7"/>
  <c r="P106" i="7"/>
  <c r="P99" i="7"/>
  <c r="P19" i="7"/>
  <c r="P36" i="7"/>
  <c r="U24" i="1"/>
  <c r="X29" i="1" s="1"/>
  <c r="U23" i="1"/>
  <c r="W29" i="1" s="1"/>
  <c r="AB29" i="1" s="1"/>
  <c r="AB30" i="1" s="1"/>
  <c r="V28" i="1" s="1"/>
  <c r="U25" i="1"/>
  <c r="Y29" i="1" s="1"/>
  <c r="S15" i="7"/>
  <c r="S7" i="7"/>
  <c r="U27" i="1"/>
  <c r="AA29" i="1" s="1"/>
  <c r="W118" i="10"/>
  <c r="W41" i="1"/>
  <c r="Z41" i="1" s="1"/>
  <c r="Z42" i="1" s="1"/>
  <c r="V40" i="1" s="1"/>
  <c r="S13" i="7"/>
  <c r="S79" i="7"/>
  <c r="U57" i="1"/>
  <c r="X61" i="1" s="1"/>
  <c r="U56" i="1"/>
  <c r="U58" i="1"/>
  <c r="Y61" i="1" s="1"/>
  <c r="U59" i="1"/>
  <c r="Z61" i="1" s="1"/>
  <c r="AC120" i="10"/>
  <c r="Z120" i="10"/>
  <c r="AA119" i="10"/>
  <c r="AB119" i="10"/>
  <c r="P13" i="7"/>
  <c r="P130" i="7"/>
  <c r="P131" i="7"/>
  <c r="P118" i="7"/>
  <c r="P54" i="7"/>
  <c r="W61" i="1"/>
  <c r="AA61" i="1" s="1"/>
  <c r="AA62" i="1" s="1"/>
  <c r="V60" i="1" s="1"/>
  <c r="U48" i="1"/>
  <c r="X51" i="1" s="1"/>
  <c r="U47" i="1"/>
  <c r="U49" i="1"/>
  <c r="Y51" i="1" s="1"/>
  <c r="P46" i="7"/>
  <c r="P100" i="7"/>
  <c r="P126" i="7"/>
  <c r="P42" i="7"/>
  <c r="P8" i="7"/>
  <c r="S125" i="7"/>
  <c r="S117" i="7"/>
  <c r="S63" i="7"/>
  <c r="S85" i="7"/>
  <c r="S22" i="7"/>
  <c r="S93" i="7"/>
  <c r="S95" i="7"/>
  <c r="S45" i="7"/>
  <c r="S78" i="7"/>
  <c r="S47" i="7"/>
  <c r="S111" i="7"/>
  <c r="P66" i="7"/>
  <c r="P44" i="7"/>
  <c r="P14" i="7"/>
  <c r="P95" i="7"/>
  <c r="P5" i="7"/>
  <c r="P45" i="7"/>
  <c r="P10" i="7"/>
  <c r="P52" i="7"/>
  <c r="P16" i="7"/>
  <c r="P53" i="7"/>
  <c r="P124" i="7"/>
  <c r="P107" i="7"/>
  <c r="P79" i="7"/>
  <c r="P112" i="7"/>
  <c r="P2" i="7"/>
  <c r="Q22" i="7"/>
  <c r="S57" i="7"/>
  <c r="S121" i="7"/>
  <c r="P32" i="7"/>
  <c r="Q11" i="7"/>
  <c r="Q75" i="7"/>
  <c r="Q49" i="7"/>
  <c r="P76" i="7"/>
  <c r="S86" i="7"/>
  <c r="P22" i="7"/>
  <c r="P56" i="7"/>
  <c r="S31" i="7"/>
  <c r="P78" i="7"/>
  <c r="P48" i="7"/>
  <c r="P82" i="7"/>
  <c r="S23" i="7"/>
  <c r="S87" i="7"/>
  <c r="P12" i="7"/>
  <c r="Q7" i="7"/>
  <c r="Q71" i="7"/>
  <c r="Q38" i="7"/>
  <c r="Q46" i="7"/>
  <c r="Q121" i="7"/>
  <c r="Q97" i="7"/>
  <c r="Q84" i="7"/>
  <c r="Q51" i="7"/>
  <c r="Q115" i="7"/>
  <c r="Q73" i="7"/>
  <c r="S71" i="7"/>
  <c r="S51" i="7"/>
  <c r="S54" i="7"/>
  <c r="P123" i="7"/>
  <c r="S67" i="7"/>
  <c r="P38" i="7"/>
  <c r="S14" i="7"/>
  <c r="S113" i="7"/>
  <c r="S19" i="7"/>
  <c r="P30" i="7"/>
  <c r="P28" i="7"/>
  <c r="P122" i="7"/>
  <c r="P40" i="7"/>
  <c r="Q124" i="7"/>
  <c r="Q111" i="7"/>
  <c r="Q127" i="7"/>
  <c r="Q108" i="7"/>
  <c r="S9" i="7"/>
  <c r="S11" i="7"/>
  <c r="S75" i="7"/>
  <c r="P96" i="7"/>
  <c r="S115" i="7"/>
  <c r="S65" i="7"/>
  <c r="S5" i="7"/>
  <c r="P74" i="7" l="1"/>
  <c r="P7" i="7"/>
  <c r="P94" i="7"/>
  <c r="S109" i="7"/>
  <c r="P93" i="7"/>
  <c r="P111" i="7"/>
  <c r="P65" i="7"/>
  <c r="S38" i="7"/>
  <c r="P33" i="7"/>
  <c r="P108" i="7"/>
  <c r="P88" i="7"/>
  <c r="P62" i="7"/>
  <c r="P132" i="7"/>
  <c r="P128" i="7"/>
  <c r="P34" i="7"/>
  <c r="P39" i="7"/>
  <c r="P70" i="7"/>
  <c r="P69" i="7"/>
  <c r="P102" i="7"/>
  <c r="P20" i="7"/>
  <c r="P11" i="7"/>
  <c r="P117" i="7"/>
  <c r="S61" i="7"/>
  <c r="S35" i="7"/>
  <c r="R130" i="7"/>
  <c r="R89" i="7"/>
  <c r="R50" i="7"/>
  <c r="R44" i="7"/>
  <c r="R98" i="7"/>
  <c r="R31" i="7"/>
  <c r="R47" i="7"/>
  <c r="R40" i="7"/>
  <c r="R29" i="7"/>
  <c r="R25" i="7"/>
  <c r="R9" i="7"/>
  <c r="R88" i="7"/>
  <c r="R102" i="7"/>
  <c r="R76" i="7"/>
  <c r="R22" i="7"/>
  <c r="R70" i="7"/>
  <c r="R5" i="7"/>
  <c r="R57" i="7"/>
  <c r="R17" i="7"/>
  <c r="R111" i="7"/>
  <c r="R58" i="7"/>
  <c r="R32" i="7"/>
  <c r="R34" i="7"/>
  <c r="R19" i="7"/>
  <c r="R66" i="7"/>
  <c r="R27" i="7"/>
  <c r="R104" i="7"/>
  <c r="R80" i="7"/>
  <c r="R59" i="7"/>
  <c r="R120" i="7"/>
  <c r="R52" i="7"/>
  <c r="R129" i="7"/>
  <c r="R43" i="7"/>
  <c r="R30" i="7"/>
  <c r="R37" i="7"/>
  <c r="R69" i="7"/>
  <c r="R35" i="7"/>
  <c r="R2" i="7"/>
  <c r="R18" i="7"/>
  <c r="R115" i="7"/>
  <c r="R6" i="7"/>
  <c r="R54" i="7"/>
  <c r="R95" i="7"/>
  <c r="R131" i="7"/>
  <c r="R42" i="7"/>
  <c r="R21" i="7"/>
  <c r="R11" i="7"/>
  <c r="R94" i="7"/>
  <c r="R26" i="7"/>
  <c r="R118" i="7"/>
  <c r="R103" i="7"/>
  <c r="R75" i="7"/>
  <c r="R51" i="7"/>
  <c r="R41" i="7"/>
  <c r="R28" i="7"/>
  <c r="R46" i="7"/>
  <c r="R116" i="7"/>
  <c r="R107" i="7"/>
  <c r="R15" i="7"/>
  <c r="R36" i="7"/>
  <c r="R86" i="7"/>
  <c r="R105" i="7"/>
  <c r="R24" i="7"/>
  <c r="R3" i="7"/>
  <c r="R81" i="7"/>
  <c r="R122" i="7"/>
  <c r="R64" i="7"/>
  <c r="R55" i="7"/>
  <c r="R132" i="7"/>
  <c r="R125" i="7"/>
  <c r="R23" i="7"/>
  <c r="R49" i="7"/>
  <c r="R10" i="7"/>
  <c r="R74" i="7"/>
  <c r="R20" i="7"/>
  <c r="R99" i="7"/>
  <c r="R77" i="7"/>
  <c r="R85" i="7"/>
  <c r="R79" i="7"/>
  <c r="R72" i="7"/>
  <c r="R123" i="7"/>
  <c r="R97" i="7"/>
  <c r="R109" i="7"/>
  <c r="R12" i="7"/>
  <c r="R39" i="7"/>
  <c r="R62" i="7"/>
  <c r="R117" i="7"/>
  <c r="R67" i="7"/>
  <c r="R13" i="7"/>
  <c r="R128" i="7"/>
  <c r="R65" i="7"/>
  <c r="R48" i="7"/>
  <c r="R119" i="7"/>
  <c r="R100" i="7"/>
  <c r="R112" i="7"/>
  <c r="R14" i="7"/>
  <c r="R106" i="7"/>
  <c r="R90" i="7"/>
  <c r="R45" i="7"/>
  <c r="R61" i="7"/>
  <c r="R114" i="7"/>
  <c r="R124" i="7"/>
  <c r="R71" i="7"/>
  <c r="R83" i="7"/>
  <c r="R113" i="7"/>
  <c r="R53" i="7"/>
  <c r="R92" i="7"/>
  <c r="R38" i="7"/>
  <c r="R84" i="7"/>
  <c r="R82" i="7"/>
  <c r="R78" i="7"/>
  <c r="R33" i="7"/>
  <c r="R121" i="7"/>
  <c r="R101" i="7"/>
  <c r="R126" i="7"/>
  <c r="R96" i="7"/>
  <c r="R91" i="7"/>
  <c r="R63" i="7"/>
  <c r="R108" i="7"/>
  <c r="R73" i="7"/>
  <c r="R87" i="7"/>
  <c r="R7" i="7"/>
  <c r="R110" i="7"/>
  <c r="R4" i="7"/>
  <c r="R16" i="7"/>
  <c r="R68" i="7"/>
  <c r="R56" i="7"/>
  <c r="R8" i="7"/>
  <c r="R93" i="7"/>
  <c r="R127" i="7"/>
  <c r="R60" i="7"/>
  <c r="T130" i="7"/>
  <c r="T132" i="7"/>
  <c r="T131" i="7"/>
  <c r="T54" i="7"/>
  <c r="T129" i="7"/>
  <c r="T50" i="7"/>
  <c r="T58" i="7"/>
  <c r="T65" i="7"/>
  <c r="T113" i="7"/>
  <c r="T119" i="7"/>
  <c r="T126" i="7"/>
  <c r="T109" i="7"/>
  <c r="T108" i="7"/>
  <c r="T99" i="7"/>
  <c r="T56" i="7"/>
  <c r="T40" i="7"/>
  <c r="T24" i="7"/>
  <c r="T3" i="7"/>
  <c r="T42" i="7"/>
  <c r="T26" i="7"/>
  <c r="T10" i="7"/>
  <c r="T83" i="7"/>
  <c r="T27" i="7"/>
  <c r="T64" i="7"/>
  <c r="T96" i="7"/>
  <c r="T122" i="7"/>
  <c r="T12" i="7"/>
  <c r="T48" i="7"/>
  <c r="T127" i="7"/>
  <c r="T95" i="7"/>
  <c r="T86" i="7"/>
  <c r="T111" i="7"/>
  <c r="T118" i="7"/>
  <c r="T101" i="7"/>
  <c r="T100" i="7"/>
  <c r="T88" i="7"/>
  <c r="T8" i="7"/>
  <c r="T35" i="7"/>
  <c r="T19" i="7"/>
  <c r="T41" i="7"/>
  <c r="T25" i="7"/>
  <c r="T9" i="7"/>
  <c r="T104" i="7"/>
  <c r="T57" i="7"/>
  <c r="T11" i="7"/>
  <c r="T84" i="7"/>
  <c r="T47" i="7"/>
  <c r="T59" i="7"/>
  <c r="T115" i="7"/>
  <c r="T28" i="7"/>
  <c r="T14" i="7"/>
  <c r="T98" i="7"/>
  <c r="T114" i="7"/>
  <c r="T121" i="7"/>
  <c r="T128" i="7"/>
  <c r="T66" i="7"/>
  <c r="T103" i="7"/>
  <c r="T110" i="7"/>
  <c r="T79" i="7"/>
  <c r="T90" i="7"/>
  <c r="T89" i="7"/>
  <c r="T76" i="7"/>
  <c r="T93" i="7"/>
  <c r="T36" i="7"/>
  <c r="T20" i="7"/>
  <c r="T4" i="7"/>
  <c r="T38" i="7"/>
  <c r="T22" i="7"/>
  <c r="T82" i="7"/>
  <c r="T37" i="7"/>
  <c r="T33" i="7"/>
  <c r="T85" i="7"/>
  <c r="T125" i="7"/>
  <c r="T73" i="7"/>
  <c r="T116" i="7"/>
  <c r="T87" i="7"/>
  <c r="T105" i="7"/>
  <c r="T120" i="7"/>
  <c r="T55" i="7"/>
  <c r="T92" i="7"/>
  <c r="T102" i="7"/>
  <c r="T78" i="7"/>
  <c r="T77" i="7"/>
  <c r="T68" i="7"/>
  <c r="T39" i="7"/>
  <c r="T23" i="7"/>
  <c r="T81" i="7"/>
  <c r="T21" i="7"/>
  <c r="T75" i="7"/>
  <c r="T72" i="7"/>
  <c r="T67" i="7"/>
  <c r="T71" i="7"/>
  <c r="T62" i="7"/>
  <c r="T61" i="7"/>
  <c r="T123" i="7"/>
  <c r="T6" i="7"/>
  <c r="T49" i="7"/>
  <c r="T2" i="7"/>
  <c r="T30" i="7"/>
  <c r="T53" i="7"/>
  <c r="T117" i="7"/>
  <c r="T107" i="7"/>
  <c r="T97" i="7"/>
  <c r="T112" i="7"/>
  <c r="T106" i="7"/>
  <c r="T80" i="7"/>
  <c r="T91" i="7"/>
  <c r="T70" i="7"/>
  <c r="T69" i="7"/>
  <c r="T60" i="7"/>
  <c r="T52" i="7"/>
  <c r="T5" i="7"/>
  <c r="T32" i="7"/>
  <c r="T16" i="7"/>
  <c r="T7" i="7"/>
  <c r="T34" i="7"/>
  <c r="T18" i="7"/>
  <c r="T74" i="7"/>
  <c r="T43" i="7"/>
  <c r="T17" i="7"/>
  <c r="T63" i="7"/>
  <c r="T124" i="7"/>
  <c r="T44" i="7"/>
  <c r="T46" i="7"/>
  <c r="T51" i="7"/>
  <c r="T29" i="7"/>
  <c r="T15" i="7"/>
  <c r="T13" i="7"/>
  <c r="T45" i="7"/>
  <c r="T94" i="7"/>
  <c r="T31" i="7"/>
  <c r="U120" i="10"/>
  <c r="W120" i="10"/>
  <c r="V119" i="10"/>
  <c r="Z121" i="10"/>
  <c r="AA120" i="10"/>
  <c r="AB120" i="10"/>
  <c r="W119" i="10"/>
  <c r="Q130" i="7"/>
  <c r="Q132" i="7"/>
  <c r="W51" i="1"/>
  <c r="Z51" i="1" s="1"/>
  <c r="Z52" i="1" s="1"/>
  <c r="V50" i="1" s="1"/>
  <c r="Q131" i="7"/>
  <c r="S43" i="7"/>
  <c r="S103" i="7"/>
  <c r="S83" i="7"/>
  <c r="S126" i="7"/>
  <c r="S29" i="7"/>
  <c r="S73" i="7"/>
  <c r="S97" i="7"/>
  <c r="S70" i="7"/>
  <c r="S132" i="7"/>
  <c r="S27" i="7"/>
  <c r="S130" i="7"/>
  <c r="S69" i="7"/>
  <c r="S131" i="7"/>
  <c r="S89" i="7"/>
  <c r="S62" i="7"/>
  <c r="S110" i="7"/>
  <c r="S59" i="7"/>
  <c r="S55" i="7"/>
  <c r="S107" i="7"/>
  <c r="S53" i="7"/>
  <c r="U22" i="7"/>
  <c r="S127" i="7"/>
  <c r="S91" i="7"/>
  <c r="S118" i="7"/>
  <c r="S17" i="7"/>
  <c r="S33" i="7"/>
  <c r="S46" i="7"/>
  <c r="S39" i="7"/>
  <c r="S25" i="7"/>
  <c r="S101" i="7"/>
  <c r="S129" i="7"/>
  <c r="S21" i="7"/>
  <c r="S105" i="7"/>
  <c r="S49" i="7"/>
  <c r="S123" i="7"/>
  <c r="S81" i="7"/>
  <c r="P61" i="7"/>
  <c r="P83" i="7"/>
  <c r="P81" i="7"/>
  <c r="P41" i="7"/>
  <c r="P87" i="7"/>
  <c r="P120" i="7"/>
  <c r="P43" i="7"/>
  <c r="P72" i="7"/>
  <c r="P26" i="7"/>
  <c r="P113" i="7"/>
  <c r="P37" i="7"/>
  <c r="P85" i="7"/>
  <c r="P119" i="7"/>
  <c r="P75" i="7"/>
  <c r="P24" i="7"/>
  <c r="P3" i="7"/>
  <c r="P63" i="7"/>
  <c r="P109" i="7"/>
  <c r="P51" i="7"/>
  <c r="P31" i="7"/>
  <c r="P80" i="7"/>
  <c r="P71" i="7"/>
  <c r="P55" i="7"/>
  <c r="P35" i="7"/>
  <c r="P129" i="7"/>
  <c r="P57" i="7"/>
  <c r="P101" i="7"/>
  <c r="P127" i="7"/>
  <c r="P91" i="7"/>
  <c r="P90" i="7"/>
  <c r="P21" i="7"/>
  <c r="U97" i="7"/>
  <c r="P97" i="7"/>
  <c r="P125" i="7"/>
  <c r="P15" i="7"/>
  <c r="P110" i="7"/>
  <c r="P25" i="7"/>
  <c r="P73" i="7"/>
  <c r="P115" i="7"/>
  <c r="P23" i="7"/>
  <c r="P9" i="7"/>
  <c r="P68" i="7"/>
  <c r="Q2" i="7"/>
  <c r="S119" i="7"/>
  <c r="S94" i="7"/>
  <c r="Q67" i="7"/>
  <c r="Q6" i="7"/>
  <c r="Q76" i="7"/>
  <c r="Q17" i="7"/>
  <c r="Q70" i="7"/>
  <c r="U38" i="7"/>
  <c r="S16" i="7"/>
  <c r="S116" i="7"/>
  <c r="S40" i="7"/>
  <c r="S10" i="7"/>
  <c r="S100" i="7"/>
  <c r="S124" i="7"/>
  <c r="S66" i="7"/>
  <c r="S92" i="7"/>
  <c r="S58" i="7"/>
  <c r="S80" i="7"/>
  <c r="S24" i="7"/>
  <c r="S120" i="7"/>
  <c r="Q116" i="7"/>
  <c r="Q65" i="7"/>
  <c r="Q126" i="7"/>
  <c r="Q54" i="7"/>
  <c r="Q48" i="7"/>
  <c r="Q77" i="7"/>
  <c r="Q58" i="7"/>
  <c r="Q85" i="7"/>
  <c r="Q32" i="7"/>
  <c r="Q29" i="7"/>
  <c r="S102" i="7"/>
  <c r="Q99" i="7"/>
  <c r="Q47" i="7"/>
  <c r="Q63" i="7"/>
  <c r="S20" i="7"/>
  <c r="S6" i="7"/>
  <c r="S104" i="7"/>
  <c r="S48" i="7"/>
  <c r="S82" i="7"/>
  <c r="S90" i="7"/>
  <c r="S4" i="7"/>
  <c r="S8" i="7"/>
  <c r="S42" i="7"/>
  <c r="S32" i="7"/>
  <c r="S56" i="7"/>
  <c r="S26" i="7"/>
  <c r="Q83" i="7"/>
  <c r="S2" i="7"/>
  <c r="Q15" i="7"/>
  <c r="Q9" i="7"/>
  <c r="Q35" i="7"/>
  <c r="Q68" i="7"/>
  <c r="Q60" i="7"/>
  <c r="Q55" i="7"/>
  <c r="S114" i="7"/>
  <c r="S76" i="7"/>
  <c r="S68" i="7"/>
  <c r="S52" i="7"/>
  <c r="S12" i="7"/>
  <c r="S96" i="7"/>
  <c r="S122" i="7"/>
  <c r="S88" i="7"/>
  <c r="S64" i="7"/>
  <c r="S18" i="7"/>
  <c r="S34" i="7"/>
  <c r="S98" i="7"/>
  <c r="Q19" i="7"/>
  <c r="Q31" i="7"/>
  <c r="Q43" i="7"/>
  <c r="Q103" i="7"/>
  <c r="Q14" i="7"/>
  <c r="Q104" i="7"/>
  <c r="Q42" i="7"/>
  <c r="Q101" i="7"/>
  <c r="Q117" i="7"/>
  <c r="Q40" i="7"/>
  <c r="Q53" i="7"/>
  <c r="Q61" i="7"/>
  <c r="Q66" i="7"/>
  <c r="Q125" i="7"/>
  <c r="Q24" i="7"/>
  <c r="Q64" i="7"/>
  <c r="Q52" i="7"/>
  <c r="Q86" i="7"/>
  <c r="Q62" i="7"/>
  <c r="Q27" i="7"/>
  <c r="Q110" i="7"/>
  <c r="Q87" i="7"/>
  <c r="Q78" i="7"/>
  <c r="Q129" i="7"/>
  <c r="Q118" i="7"/>
  <c r="Q4" i="7"/>
  <c r="Q13" i="7"/>
  <c r="Q56" i="7"/>
  <c r="Q80" i="7"/>
  <c r="Q98" i="7"/>
  <c r="Q69" i="7"/>
  <c r="Q109" i="7"/>
  <c r="Q95" i="7"/>
  <c r="Q113" i="7"/>
  <c r="Q123" i="7"/>
  <c r="Q119" i="7"/>
  <c r="Q107" i="7"/>
  <c r="Q89" i="7"/>
  <c r="Q81" i="7"/>
  <c r="Q112" i="7"/>
  <c r="Q72" i="7"/>
  <c r="Q37" i="7"/>
  <c r="Q74" i="7"/>
  <c r="Q122" i="7"/>
  <c r="Q82" i="7"/>
  <c r="Q8" i="7"/>
  <c r="Q128" i="7"/>
  <c r="Q50" i="7"/>
  <c r="Q18" i="7"/>
  <c r="Q10" i="7"/>
  <c r="Q88" i="7"/>
  <c r="Q3" i="7"/>
  <c r="Q91" i="7"/>
  <c r="Q25" i="7"/>
  <c r="Q102" i="7"/>
  <c r="Q79" i="7"/>
  <c r="Q20" i="7"/>
  <c r="Q59" i="7"/>
  <c r="S3" i="7"/>
  <c r="Q94" i="7"/>
  <c r="Q44" i="7"/>
  <c r="Q105" i="7"/>
  <c r="Q33" i="7"/>
  <c r="S112" i="7"/>
  <c r="S36" i="7"/>
  <c r="S72" i="7"/>
  <c r="S44" i="7"/>
  <c r="S108" i="7"/>
  <c r="S84" i="7"/>
  <c r="S28" i="7"/>
  <c r="S74" i="7"/>
  <c r="S60" i="7"/>
  <c r="S128" i="7"/>
  <c r="S106" i="7"/>
  <c r="S50" i="7"/>
  <c r="Q30" i="7"/>
  <c r="Q36" i="7"/>
  <c r="Q41" i="7"/>
  <c r="Q28" i="7"/>
  <c r="Q39" i="7"/>
  <c r="Q45" i="7"/>
  <c r="Q5" i="7"/>
  <c r="Q96" i="7"/>
  <c r="Q93" i="7"/>
  <c r="Q16" i="7"/>
  <c r="Q114" i="7"/>
  <c r="Q106" i="7"/>
  <c r="Q21" i="7"/>
  <c r="Q26" i="7"/>
  <c r="Q90" i="7"/>
  <c r="Q34" i="7"/>
  <c r="Q120" i="7"/>
  <c r="S37" i="7"/>
  <c r="Q100" i="7"/>
  <c r="Q57" i="7"/>
  <c r="Q92" i="7"/>
  <c r="Q23" i="7"/>
  <c r="U46" i="7" l="1"/>
  <c r="U108" i="7"/>
  <c r="U7" i="7"/>
  <c r="U121" i="7"/>
  <c r="U11" i="7"/>
  <c r="U85" i="7"/>
  <c r="N14" i="12"/>
  <c r="I16" i="12"/>
  <c r="C16" i="12"/>
  <c r="R16" i="12"/>
  <c r="F16" i="12"/>
  <c r="AA121" i="10"/>
  <c r="Z122" i="10"/>
  <c r="AB121" i="10"/>
  <c r="AC122" i="10"/>
  <c r="U30" i="7"/>
  <c r="U84" i="7"/>
  <c r="U123" i="7"/>
  <c r="U53" i="7"/>
  <c r="U117" i="7"/>
  <c r="M16" i="12"/>
  <c r="J16" i="12"/>
  <c r="B20" i="12"/>
  <c r="E20" i="12"/>
  <c r="R9" i="12"/>
  <c r="R14" i="12"/>
  <c r="R20" i="12"/>
  <c r="R6" i="12"/>
  <c r="D20" i="12"/>
  <c r="I20" i="12"/>
  <c r="R13" i="12"/>
  <c r="F20" i="12"/>
  <c r="R5" i="12"/>
  <c r="G20" i="12"/>
  <c r="C20" i="12"/>
  <c r="R10" i="12"/>
  <c r="H20" i="12"/>
  <c r="R15" i="12"/>
  <c r="R11" i="12"/>
  <c r="R7" i="12"/>
  <c r="M20" i="12"/>
  <c r="R4" i="12"/>
  <c r="R8" i="12"/>
  <c r="K20" i="12"/>
  <c r="J20" i="12"/>
  <c r="L20" i="12"/>
  <c r="R12" i="12"/>
  <c r="P20" i="12"/>
  <c r="P9" i="12"/>
  <c r="H16" i="12"/>
  <c r="U121" i="10"/>
  <c r="W121" i="10"/>
  <c r="V120" i="10"/>
  <c r="N11" i="12"/>
  <c r="N8" i="12"/>
  <c r="G16" i="12"/>
  <c r="K16" i="12"/>
  <c r="N4" i="12"/>
  <c r="AC121" i="10"/>
  <c r="L16" i="12"/>
  <c r="U111" i="7"/>
  <c r="N6" i="12"/>
  <c r="N5" i="12"/>
  <c r="N10" i="12"/>
  <c r="I18" i="12"/>
  <c r="B18" i="12"/>
  <c r="P5" i="12"/>
  <c r="P7" i="12"/>
  <c r="P8" i="12"/>
  <c r="G18" i="12"/>
  <c r="L115" i="10"/>
  <c r="L121" i="10" s="1"/>
  <c r="L119" i="10"/>
  <c r="J18" i="12"/>
  <c r="P10" i="12"/>
  <c r="M18" i="12"/>
  <c r="P11" i="12"/>
  <c r="L118" i="10"/>
  <c r="L117" i="10"/>
  <c r="P12" i="12"/>
  <c r="D18" i="12"/>
  <c r="L18" i="12"/>
  <c r="P6" i="12"/>
  <c r="P4" i="12"/>
  <c r="P15" i="12"/>
  <c r="R18" i="12"/>
  <c r="P14" i="12"/>
  <c r="F18" i="12"/>
  <c r="E18" i="12"/>
  <c r="L116" i="10"/>
  <c r="H18" i="12"/>
  <c r="P18" i="12"/>
  <c r="P13" i="12"/>
  <c r="K18" i="12"/>
  <c r="P16" i="12"/>
  <c r="C18" i="12"/>
  <c r="U2" i="7"/>
  <c r="N16" i="12"/>
  <c r="C35" i="12" s="1"/>
  <c r="C98" i="10" s="1"/>
  <c r="D16" i="12"/>
  <c r="U130" i="7"/>
  <c r="U131" i="7"/>
  <c r="U132" i="7"/>
  <c r="U49" i="7"/>
  <c r="U96" i="7"/>
  <c r="U64" i="7"/>
  <c r="U92" i="7"/>
  <c r="U71" i="7"/>
  <c r="U51" i="7"/>
  <c r="U34" i="7"/>
  <c r="U82" i="7"/>
  <c r="U24" i="7"/>
  <c r="U110" i="7"/>
  <c r="U61" i="7"/>
  <c r="U113" i="7"/>
  <c r="J115" i="10"/>
  <c r="J121" i="10" s="1"/>
  <c r="J116" i="10"/>
  <c r="U127" i="7"/>
  <c r="J118" i="10"/>
  <c r="J117" i="10"/>
  <c r="U115" i="7"/>
  <c r="N9" i="12"/>
  <c r="U75" i="7"/>
  <c r="N13" i="12"/>
  <c r="J119" i="10"/>
  <c r="B16" i="12"/>
  <c r="N18" i="12"/>
  <c r="U73" i="7"/>
  <c r="N15" i="12"/>
  <c r="N12" i="12"/>
  <c r="N7" i="12"/>
  <c r="E16" i="12"/>
  <c r="N20" i="12"/>
  <c r="E17" i="12"/>
  <c r="U58" i="7"/>
  <c r="U124" i="7"/>
  <c r="U86" i="7"/>
  <c r="U74" i="7"/>
  <c r="U47" i="7"/>
  <c r="U32" i="7"/>
  <c r="U102" i="7"/>
  <c r="U52" i="7"/>
  <c r="O6" i="12"/>
  <c r="J17" i="12"/>
  <c r="K119" i="10"/>
  <c r="O15" i="12"/>
  <c r="R17" i="12"/>
  <c r="G17" i="12"/>
  <c r="M17" i="12"/>
  <c r="U17" i="7"/>
  <c r="U114" i="7"/>
  <c r="U5" i="7"/>
  <c r="U87" i="7"/>
  <c r="U43" i="7"/>
  <c r="U55" i="7"/>
  <c r="U15" i="7"/>
  <c r="M118" i="10"/>
  <c r="C19" i="12"/>
  <c r="M116" i="10"/>
  <c r="Q4" i="12"/>
  <c r="M119" i="10"/>
  <c r="M115" i="10"/>
  <c r="M121" i="10" s="1"/>
  <c r="Q8" i="12"/>
  <c r="Q12" i="12"/>
  <c r="B19" i="12"/>
  <c r="E19" i="12"/>
  <c r="I19" i="12"/>
  <c r="M19" i="12"/>
  <c r="L19" i="12"/>
  <c r="Q5" i="12"/>
  <c r="Q9" i="12"/>
  <c r="Q13" i="12"/>
  <c r="D19" i="12"/>
  <c r="H19" i="12"/>
  <c r="Q6" i="12"/>
  <c r="Q10" i="12"/>
  <c r="Q14" i="12"/>
  <c r="G19" i="12"/>
  <c r="K19" i="12"/>
  <c r="R19" i="12"/>
  <c r="Q18" i="12"/>
  <c r="F19" i="12"/>
  <c r="J19" i="12"/>
  <c r="N19" i="12"/>
  <c r="O19" i="12"/>
  <c r="P19" i="12"/>
  <c r="M117" i="10"/>
  <c r="Q19" i="12"/>
  <c r="Q7" i="12"/>
  <c r="Q11" i="12"/>
  <c r="Q15" i="12"/>
  <c r="Q16" i="12"/>
  <c r="Q20" i="12"/>
  <c r="U70" i="7"/>
  <c r="N17" i="12"/>
  <c r="U100" i="7"/>
  <c r="U90" i="7"/>
  <c r="U36" i="7"/>
  <c r="U105" i="7"/>
  <c r="U31" i="7"/>
  <c r="U9" i="7"/>
  <c r="O17" i="12"/>
  <c r="Q17" i="12"/>
  <c r="I17" i="12"/>
  <c r="U41" i="7"/>
  <c r="U33" i="7"/>
  <c r="U20" i="7"/>
  <c r="U79" i="7"/>
  <c r="U67" i="7"/>
  <c r="U91" i="7"/>
  <c r="U107" i="7"/>
  <c r="U112" i="7"/>
  <c r="U122" i="7"/>
  <c r="U69" i="7"/>
  <c r="U98" i="7"/>
  <c r="U13" i="7"/>
  <c r="U27" i="7"/>
  <c r="U62" i="7"/>
  <c r="U101" i="7"/>
  <c r="U42" i="7"/>
  <c r="U68" i="7"/>
  <c r="U35" i="7"/>
  <c r="U83" i="7"/>
  <c r="U63" i="7"/>
  <c r="U48" i="7"/>
  <c r="U65" i="7"/>
  <c r="U12" i="7"/>
  <c r="O14" i="12"/>
  <c r="O18" i="12"/>
  <c r="O5" i="12"/>
  <c r="O12" i="12"/>
  <c r="L17" i="12"/>
  <c r="O7" i="12"/>
  <c r="P17" i="12"/>
  <c r="O4" i="12"/>
  <c r="U76" i="7"/>
  <c r="U28" i="7"/>
  <c r="O20" i="12"/>
  <c r="O16" i="12"/>
  <c r="U18" i="7"/>
  <c r="U8" i="7"/>
  <c r="U37" i="7"/>
  <c r="U81" i="7"/>
  <c r="U95" i="7"/>
  <c r="U80" i="7"/>
  <c r="U4" i="7"/>
  <c r="U125" i="7"/>
  <c r="U40" i="7"/>
  <c r="U104" i="7"/>
  <c r="U14" i="7"/>
  <c r="U19" i="7"/>
  <c r="U29" i="7"/>
  <c r="O13" i="12"/>
  <c r="U57" i="7"/>
  <c r="U25" i="7"/>
  <c r="U88" i="7"/>
  <c r="U10" i="7"/>
  <c r="U128" i="7"/>
  <c r="U118" i="7"/>
  <c r="U78" i="7"/>
  <c r="U103" i="7"/>
  <c r="R35" i="12"/>
  <c r="N43" i="12"/>
  <c r="N57" i="12"/>
  <c r="U99" i="7"/>
  <c r="U54" i="7"/>
  <c r="U126" i="7"/>
  <c r="U116" i="7"/>
  <c r="F17" i="12"/>
  <c r="O9" i="12"/>
  <c r="B17" i="12"/>
  <c r="O11" i="12"/>
  <c r="C17" i="12"/>
  <c r="U120" i="7"/>
  <c r="U21" i="7"/>
  <c r="U106" i="7"/>
  <c r="U93" i="7"/>
  <c r="U23" i="7"/>
  <c r="U26" i="7"/>
  <c r="U16" i="7"/>
  <c r="U45" i="7"/>
  <c r="U39" i="7"/>
  <c r="U44" i="7"/>
  <c r="U94" i="7"/>
  <c r="U59" i="7"/>
  <c r="U3" i="7"/>
  <c r="U50" i="7"/>
  <c r="U72" i="7"/>
  <c r="U89" i="7"/>
  <c r="U119" i="7"/>
  <c r="U109" i="7"/>
  <c r="U56" i="7"/>
  <c r="U129" i="7"/>
  <c r="U66" i="7"/>
  <c r="U60" i="7"/>
  <c r="U77" i="7"/>
  <c r="O10" i="12"/>
  <c r="H17" i="12"/>
  <c r="K115" i="10"/>
  <c r="K121" i="10" s="1"/>
  <c r="O8" i="12"/>
  <c r="D17" i="12"/>
  <c r="K117" i="10"/>
  <c r="K17" i="12"/>
  <c r="K118" i="10"/>
  <c r="K116" i="10"/>
  <c r="U6" i="7"/>
  <c r="N35" i="12" l="1"/>
  <c r="J123" i="10"/>
  <c r="L124" i="10"/>
  <c r="J122" i="10"/>
  <c r="N87" i="10"/>
  <c r="M123" i="10"/>
  <c r="L122" i="10"/>
  <c r="A11" i="7"/>
  <c r="L125" i="10"/>
  <c r="W122" i="10"/>
  <c r="U122" i="10"/>
  <c r="V121" i="10"/>
  <c r="E39" i="12"/>
  <c r="E102" i="10" s="1"/>
  <c r="H39" i="12"/>
  <c r="H102" i="10" s="1"/>
  <c r="S39" i="12"/>
  <c r="R58" i="12"/>
  <c r="R45" i="12"/>
  <c r="R89" i="10" s="1"/>
  <c r="R51" i="12"/>
  <c r="R95" i="10" s="1"/>
  <c r="G39" i="12"/>
  <c r="R57" i="12"/>
  <c r="R42" i="12"/>
  <c r="R86" i="10" s="1"/>
  <c r="I39" i="12"/>
  <c r="I102" i="10" s="1"/>
  <c r="R46" i="12"/>
  <c r="R90" i="10" s="1"/>
  <c r="B39" i="12"/>
  <c r="B102" i="10" s="1"/>
  <c r="R59" i="12"/>
  <c r="C39" i="12"/>
  <c r="C102" i="10" s="1"/>
  <c r="R49" i="12"/>
  <c r="R93" i="10" s="1"/>
  <c r="D39" i="12"/>
  <c r="D102" i="10" s="1"/>
  <c r="R55" i="12"/>
  <c r="M39" i="12"/>
  <c r="M102" i="10" s="1"/>
  <c r="R50" i="12"/>
  <c r="R94" i="10" s="1"/>
  <c r="F39" i="12"/>
  <c r="F102" i="10" s="1"/>
  <c r="R43" i="12"/>
  <c r="R87" i="10" s="1"/>
  <c r="R52" i="12"/>
  <c r="R96" i="10" s="1"/>
  <c r="Q39" i="12"/>
  <c r="R44" i="12"/>
  <c r="R88" i="10" s="1"/>
  <c r="L39" i="12"/>
  <c r="L102" i="10" s="1"/>
  <c r="R54" i="12"/>
  <c r="R98" i="10" s="1"/>
  <c r="J39" i="12"/>
  <c r="J102" i="10" s="1"/>
  <c r="R47" i="12"/>
  <c r="R91" i="10" s="1"/>
  <c r="R48" i="12"/>
  <c r="R92" i="10" s="1"/>
  <c r="N39" i="12"/>
  <c r="O39" i="12"/>
  <c r="R56" i="12"/>
  <c r="R53" i="12"/>
  <c r="R97" i="10" s="1"/>
  <c r="K39" i="12"/>
  <c r="K102" i="10" s="1"/>
  <c r="P39" i="12"/>
  <c r="R39" i="12"/>
  <c r="D21" i="20"/>
  <c r="L123" i="10"/>
  <c r="G102" i="10"/>
  <c r="AA122" i="10"/>
  <c r="AB122" i="10"/>
  <c r="Z123" i="10"/>
  <c r="AC123" i="10"/>
  <c r="P47" i="12"/>
  <c r="P91" i="10" s="1"/>
  <c r="P57" i="12"/>
  <c r="P53" i="12"/>
  <c r="P97" i="10" s="1"/>
  <c r="O37" i="12"/>
  <c r="Q37" i="12"/>
  <c r="P56" i="12"/>
  <c r="P50" i="12"/>
  <c r="P94" i="10" s="1"/>
  <c r="P58" i="12"/>
  <c r="C37" i="12"/>
  <c r="C100" i="10" s="1"/>
  <c r="P51" i="12"/>
  <c r="P95" i="10" s="1"/>
  <c r="P44" i="12"/>
  <c r="P88" i="10" s="1"/>
  <c r="P54" i="12"/>
  <c r="R37" i="12"/>
  <c r="P42" i="12"/>
  <c r="P86" i="10" s="1"/>
  <c r="G37" i="12"/>
  <c r="G100" i="10" s="1"/>
  <c r="P48" i="12"/>
  <c r="P92" i="10" s="1"/>
  <c r="F37" i="12"/>
  <c r="F100" i="10" s="1"/>
  <c r="P59" i="12"/>
  <c r="P46" i="12"/>
  <c r="P90" i="10" s="1"/>
  <c r="E37" i="12"/>
  <c r="E100" i="10" s="1"/>
  <c r="I37" i="12"/>
  <c r="I100" i="10" s="1"/>
  <c r="K37" i="12"/>
  <c r="K100" i="10" s="1"/>
  <c r="S37" i="12"/>
  <c r="L37" i="12"/>
  <c r="L100" i="10" s="1"/>
  <c r="P55" i="12"/>
  <c r="N37" i="12"/>
  <c r="P52" i="12"/>
  <c r="P96" i="10" s="1"/>
  <c r="H37" i="12"/>
  <c r="H100" i="10" s="1"/>
  <c r="B37" i="12"/>
  <c r="B100" i="10" s="1"/>
  <c r="P37" i="12"/>
  <c r="P100" i="10" s="1"/>
  <c r="M37" i="12"/>
  <c r="M100" i="10" s="1"/>
  <c r="D37" i="12"/>
  <c r="D100" i="10" s="1"/>
  <c r="P45" i="12"/>
  <c r="P89" i="10" s="1"/>
  <c r="J37" i="12"/>
  <c r="J100" i="10" s="1"/>
  <c r="P43" i="12"/>
  <c r="P87" i="10" s="1"/>
  <c r="P49" i="12"/>
  <c r="P93" i="10" s="1"/>
  <c r="A121" i="7"/>
  <c r="D12" i="20"/>
  <c r="D5" i="20"/>
  <c r="D19" i="20"/>
  <c r="D11" i="20"/>
  <c r="D24" i="20"/>
  <c r="D6" i="20"/>
  <c r="A124" i="7"/>
  <c r="D14" i="20"/>
  <c r="D8" i="20"/>
  <c r="D20" i="20"/>
  <c r="D13" i="20"/>
  <c r="A122" i="7"/>
  <c r="D7" i="20"/>
  <c r="D22" i="20"/>
  <c r="D16" i="20"/>
  <c r="A115" i="7"/>
  <c r="D4" i="20"/>
  <c r="A3" i="7"/>
  <c r="D18" i="20"/>
  <c r="D15" i="20"/>
  <c r="A120" i="7"/>
  <c r="D10" i="20"/>
  <c r="D23" i="20"/>
  <c r="D17" i="20"/>
  <c r="D9" i="20"/>
  <c r="A123" i="7"/>
  <c r="J124" i="10"/>
  <c r="J125" i="10"/>
  <c r="A12" i="7"/>
  <c r="A16" i="7"/>
  <c r="A20" i="7"/>
  <c r="A24" i="7"/>
  <c r="A28" i="7"/>
  <c r="A32" i="7"/>
  <c r="A36" i="7"/>
  <c r="A40" i="7"/>
  <c r="A44" i="7"/>
  <c r="A48" i="7"/>
  <c r="A52" i="7"/>
  <c r="A56" i="7"/>
  <c r="A60" i="7"/>
  <c r="A64" i="7"/>
  <c r="A68" i="7"/>
  <c r="A72" i="7"/>
  <c r="A76" i="7"/>
  <c r="A80" i="7"/>
  <c r="A84" i="7"/>
  <c r="A88" i="7"/>
  <c r="A92" i="7"/>
  <c r="A96" i="7"/>
  <c r="A100" i="7"/>
  <c r="A104" i="7"/>
  <c r="A108" i="7"/>
  <c r="A112" i="7"/>
  <c r="A116" i="7"/>
  <c r="A128" i="7"/>
  <c r="A110" i="7"/>
  <c r="A130" i="7"/>
  <c r="A132" i="7"/>
  <c r="A9" i="7"/>
  <c r="A13" i="7"/>
  <c r="A17" i="7"/>
  <c r="A21" i="7"/>
  <c r="A25" i="7"/>
  <c r="A29" i="7"/>
  <c r="A33" i="7"/>
  <c r="A37" i="7"/>
  <c r="A41" i="7"/>
  <c r="A45" i="7"/>
  <c r="A49" i="7"/>
  <c r="A53" i="7"/>
  <c r="A57" i="7"/>
  <c r="A61" i="7"/>
  <c r="A65" i="7"/>
  <c r="A69" i="7"/>
  <c r="A73" i="7"/>
  <c r="A77" i="7"/>
  <c r="A81" i="7"/>
  <c r="A85" i="7"/>
  <c r="A89" i="7"/>
  <c r="A93" i="7"/>
  <c r="A97" i="7"/>
  <c r="A101" i="7"/>
  <c r="A105" i="7"/>
  <c r="A109" i="7"/>
  <c r="A113" i="7"/>
  <c r="A117" i="7"/>
  <c r="A125" i="7"/>
  <c r="A129" i="7"/>
  <c r="A131" i="7"/>
  <c r="A10" i="7"/>
  <c r="A14" i="7"/>
  <c r="A18" i="7"/>
  <c r="A22" i="7"/>
  <c r="A26" i="7"/>
  <c r="A30" i="7"/>
  <c r="A34" i="7"/>
  <c r="A38" i="7"/>
  <c r="A42" i="7"/>
  <c r="A46" i="7"/>
  <c r="A50" i="7"/>
  <c r="A54" i="7"/>
  <c r="A58" i="7"/>
  <c r="A62" i="7"/>
  <c r="A66" i="7"/>
  <c r="A70" i="7"/>
  <c r="A74" i="7"/>
  <c r="A78" i="7"/>
  <c r="A82" i="7"/>
  <c r="A86" i="7"/>
  <c r="A90" i="7"/>
  <c r="A94" i="7"/>
  <c r="A98" i="7"/>
  <c r="A102" i="7"/>
  <c r="A106" i="7"/>
  <c r="A114" i="7"/>
  <c r="A118" i="7"/>
  <c r="A126" i="7"/>
  <c r="A4" i="7"/>
  <c r="A15" i="7"/>
  <c r="A19" i="7"/>
  <c r="A23" i="7"/>
  <c r="A27" i="7"/>
  <c r="A31" i="7"/>
  <c r="A35" i="7"/>
  <c r="A39" i="7"/>
  <c r="A43" i="7"/>
  <c r="A47" i="7"/>
  <c r="A51" i="7"/>
  <c r="A55" i="7"/>
  <c r="A59" i="7"/>
  <c r="A63" i="7"/>
  <c r="A67" i="7"/>
  <c r="A71" i="7"/>
  <c r="A75" i="7"/>
  <c r="A79" i="7"/>
  <c r="A83" i="7"/>
  <c r="A87" i="7"/>
  <c r="A91" i="7"/>
  <c r="A95" i="7"/>
  <c r="A99" i="7"/>
  <c r="A103" i="7"/>
  <c r="A107" i="7"/>
  <c r="A111" i="7"/>
  <c r="A119" i="7"/>
  <c r="A127" i="7"/>
  <c r="A2" i="7"/>
  <c r="A6" i="7"/>
  <c r="A8" i="7"/>
  <c r="A7" i="7"/>
  <c r="A5" i="7"/>
  <c r="N49" i="12"/>
  <c r="N93" i="10" s="1"/>
  <c r="B35" i="12"/>
  <c r="B98" i="10" s="1"/>
  <c r="N42" i="12"/>
  <c r="N86" i="10" s="1"/>
  <c r="F35" i="12"/>
  <c r="F98" i="10" s="1"/>
  <c r="I35" i="12"/>
  <c r="I98" i="10" s="1"/>
  <c r="K122" i="10"/>
  <c r="K124" i="10"/>
  <c r="L35" i="12"/>
  <c r="L98" i="10" s="1"/>
  <c r="N45" i="12"/>
  <c r="N89" i="10" s="1"/>
  <c r="N52" i="12"/>
  <c r="N96" i="10" s="1"/>
  <c r="H35" i="12"/>
  <c r="H98" i="10" s="1"/>
  <c r="N58" i="12"/>
  <c r="N50" i="12"/>
  <c r="N94" i="10" s="1"/>
  <c r="E35" i="12"/>
  <c r="E98" i="10" s="1"/>
  <c r="Q35" i="12"/>
  <c r="K35" i="12"/>
  <c r="K98" i="10" s="1"/>
  <c r="D35" i="12"/>
  <c r="D98" i="10" s="1"/>
  <c r="N59" i="12"/>
  <c r="N48" i="12"/>
  <c r="N92" i="10" s="1"/>
  <c r="N51" i="12"/>
  <c r="N95" i="10" s="1"/>
  <c r="N55" i="12"/>
  <c r="N46" i="12"/>
  <c r="N90" i="10" s="1"/>
  <c r="N56" i="12"/>
  <c r="P35" i="12"/>
  <c r="P98" i="10" s="1"/>
  <c r="G35" i="12"/>
  <c r="G98" i="10" s="1"/>
  <c r="N53" i="12"/>
  <c r="N97" i="10" s="1"/>
  <c r="N54" i="12"/>
  <c r="N98" i="10" s="1"/>
  <c r="N44" i="12"/>
  <c r="N88" i="10" s="1"/>
  <c r="N47" i="12"/>
  <c r="N91" i="10" s="1"/>
  <c r="J35" i="12"/>
  <c r="J98" i="10" s="1"/>
  <c r="M35" i="12"/>
  <c r="M98" i="10" s="1"/>
  <c r="S35" i="12"/>
  <c r="O35" i="12"/>
  <c r="M125" i="10"/>
  <c r="K21" i="12"/>
  <c r="M21" i="12"/>
  <c r="O21" i="12"/>
  <c r="S10" i="12"/>
  <c r="AD115" i="10"/>
  <c r="AE116" i="10"/>
  <c r="AE115" i="10"/>
  <c r="Q42" i="12"/>
  <c r="Q86" i="10" s="1"/>
  <c r="Q43" i="12"/>
  <c r="Q87" i="10" s="1"/>
  <c r="Q45" i="12"/>
  <c r="Q89" i="10" s="1"/>
  <c r="Q47" i="12"/>
  <c r="Q91" i="10" s="1"/>
  <c r="Q49" i="12"/>
  <c r="Q93" i="10" s="1"/>
  <c r="Q51" i="12"/>
  <c r="Q95" i="10" s="1"/>
  <c r="Q53" i="12"/>
  <c r="Q97" i="10" s="1"/>
  <c r="Q55" i="12"/>
  <c r="Q44" i="12"/>
  <c r="Q88" i="10" s="1"/>
  <c r="Q46" i="12"/>
  <c r="Q90" i="10" s="1"/>
  <c r="Q48" i="12"/>
  <c r="Q92" i="10" s="1"/>
  <c r="Q50" i="12"/>
  <c r="Q94" i="10" s="1"/>
  <c r="Q52" i="12"/>
  <c r="Q96" i="10" s="1"/>
  <c r="Q54" i="12"/>
  <c r="F38" i="12"/>
  <c r="F101" i="10" s="1"/>
  <c r="J38" i="12"/>
  <c r="J101" i="10" s="1"/>
  <c r="N38" i="12"/>
  <c r="N101" i="10" s="1"/>
  <c r="O38" i="12"/>
  <c r="P38" i="12"/>
  <c r="Q57" i="12"/>
  <c r="Q58" i="12"/>
  <c r="Q102" i="10" s="1"/>
  <c r="Q56" i="12"/>
  <c r="Q100" i="10" s="1"/>
  <c r="I38" i="12"/>
  <c r="I101" i="10" s="1"/>
  <c r="B38" i="12"/>
  <c r="B101" i="10" s="1"/>
  <c r="E38" i="12"/>
  <c r="E101" i="10" s="1"/>
  <c r="M38" i="12"/>
  <c r="M101" i="10" s="1"/>
  <c r="D38" i="12"/>
  <c r="D101" i="10" s="1"/>
  <c r="H38" i="12"/>
  <c r="H101" i="10" s="1"/>
  <c r="L38" i="12"/>
  <c r="L101" i="10" s="1"/>
  <c r="C38" i="12"/>
  <c r="C101" i="10" s="1"/>
  <c r="G38" i="12"/>
  <c r="G101" i="10" s="1"/>
  <c r="K38" i="12"/>
  <c r="K101" i="10" s="1"/>
  <c r="Q38" i="12"/>
  <c r="R38" i="12"/>
  <c r="R101" i="10" s="1"/>
  <c r="S38" i="12"/>
  <c r="Q59" i="12"/>
  <c r="S19" i="12"/>
  <c r="M124" i="10"/>
  <c r="S17" i="12"/>
  <c r="S8" i="12"/>
  <c r="I21" i="12"/>
  <c r="S7" i="12"/>
  <c r="J21" i="12"/>
  <c r="S6" i="12"/>
  <c r="N21" i="12"/>
  <c r="G21" i="12"/>
  <c r="S5" i="12"/>
  <c r="R115" i="10"/>
  <c r="R121" i="10" s="1"/>
  <c r="K125" i="10"/>
  <c r="S12" i="12"/>
  <c r="S9" i="12"/>
  <c r="R119" i="10"/>
  <c r="K123" i="10"/>
  <c r="S16" i="12"/>
  <c r="S21" i="12"/>
  <c r="E21" i="12"/>
  <c r="L21" i="12"/>
  <c r="B21" i="12"/>
  <c r="H21" i="12"/>
  <c r="F21" i="12"/>
  <c r="C21" i="12"/>
  <c r="R118" i="10"/>
  <c r="R116" i="10"/>
  <c r="S11" i="12"/>
  <c r="P21" i="12"/>
  <c r="O42" i="12"/>
  <c r="O86" i="10" s="1"/>
  <c r="O44" i="12"/>
  <c r="O88" i="10" s="1"/>
  <c r="O46" i="12"/>
  <c r="O90" i="10" s="1"/>
  <c r="O48" i="12"/>
  <c r="O92" i="10" s="1"/>
  <c r="O50" i="12"/>
  <c r="O94" i="10" s="1"/>
  <c r="O52" i="12"/>
  <c r="O96" i="10" s="1"/>
  <c r="B36" i="12"/>
  <c r="B99" i="10" s="1"/>
  <c r="F36" i="12"/>
  <c r="F99" i="10" s="1"/>
  <c r="J36" i="12"/>
  <c r="J99" i="10" s="1"/>
  <c r="N36" i="12"/>
  <c r="O55" i="12"/>
  <c r="O56" i="12"/>
  <c r="O43" i="12"/>
  <c r="O87" i="10" s="1"/>
  <c r="O45" i="12"/>
  <c r="O89" i="10" s="1"/>
  <c r="O47" i="12"/>
  <c r="O91" i="10" s="1"/>
  <c r="O49" i="12"/>
  <c r="O93" i="10" s="1"/>
  <c r="O51" i="12"/>
  <c r="O95" i="10" s="1"/>
  <c r="O53" i="12"/>
  <c r="O97" i="10" s="1"/>
  <c r="D36" i="12"/>
  <c r="D99" i="10" s="1"/>
  <c r="H36" i="12"/>
  <c r="H99" i="10" s="1"/>
  <c r="L36" i="12"/>
  <c r="L99" i="10" s="1"/>
  <c r="O54" i="12"/>
  <c r="I36" i="12"/>
  <c r="I99" i="10" s="1"/>
  <c r="O58" i="12"/>
  <c r="O102" i="10" s="1"/>
  <c r="G36" i="12"/>
  <c r="G99" i="10" s="1"/>
  <c r="O36" i="12"/>
  <c r="Q36" i="12"/>
  <c r="O57" i="12"/>
  <c r="E36" i="12"/>
  <c r="E99" i="10" s="1"/>
  <c r="M36" i="12"/>
  <c r="M99" i="10" s="1"/>
  <c r="S36" i="12"/>
  <c r="O59" i="12"/>
  <c r="C36" i="12"/>
  <c r="C99" i="10" s="1"/>
  <c r="K36" i="12"/>
  <c r="K99" i="10" s="1"/>
  <c r="P36" i="12"/>
  <c r="R36" i="12"/>
  <c r="R99" i="10" s="1"/>
  <c r="M122" i="10"/>
  <c r="S20" i="12"/>
  <c r="D21" i="12"/>
  <c r="S15" i="12"/>
  <c r="Q21" i="12"/>
  <c r="S14" i="12"/>
  <c r="R21" i="12"/>
  <c r="S18" i="12"/>
  <c r="S13" i="12"/>
  <c r="S4" i="12"/>
  <c r="R117" i="10"/>
  <c r="Q98" i="10" l="1"/>
  <c r="R102" i="10"/>
  <c r="Q99" i="10"/>
  <c r="O100" i="10"/>
  <c r="N100" i="10"/>
  <c r="P101" i="10"/>
  <c r="N102" i="10"/>
  <c r="R100" i="10"/>
  <c r="AA123" i="10"/>
  <c r="AB123" i="10"/>
  <c r="AC124" i="10"/>
  <c r="Z124" i="10"/>
  <c r="P102" i="10"/>
  <c r="V122" i="10"/>
  <c r="U123" i="10"/>
  <c r="W123" i="10" s="1"/>
  <c r="P99" i="10"/>
  <c r="B16" i="20"/>
  <c r="B4" i="20"/>
  <c r="O98" i="10"/>
  <c r="N99" i="10"/>
  <c r="Q101" i="10"/>
  <c r="O99" i="10"/>
  <c r="AF115" i="10"/>
  <c r="AE117" i="10" s="1"/>
  <c r="R122" i="10"/>
  <c r="O101" i="10"/>
  <c r="R123" i="10"/>
  <c r="B10" i="20"/>
  <c r="B7" i="20"/>
  <c r="B18" i="20"/>
  <c r="B20" i="20"/>
  <c r="B8" i="20"/>
  <c r="R124" i="10"/>
  <c r="B12" i="20"/>
  <c r="B6" i="20"/>
  <c r="B13" i="20"/>
  <c r="B9" i="20"/>
  <c r="B24" i="20"/>
  <c r="B23" i="20"/>
  <c r="AF116" i="10"/>
  <c r="AG116" i="10"/>
  <c r="B17" i="20"/>
  <c r="B14" i="20"/>
  <c r="B22" i="20"/>
  <c r="B21" i="20"/>
  <c r="B5" i="20"/>
  <c r="S42" i="12"/>
  <c r="S86" i="10" s="1"/>
  <c r="S44" i="12"/>
  <c r="S88" i="10" s="1"/>
  <c r="S46" i="12"/>
  <c r="S90" i="10" s="1"/>
  <c r="S48" i="12"/>
  <c r="S92" i="10" s="1"/>
  <c r="S50" i="12"/>
  <c r="S94" i="10" s="1"/>
  <c r="S52" i="12"/>
  <c r="S96" i="10" s="1"/>
  <c r="S55" i="12"/>
  <c r="S99" i="10" s="1"/>
  <c r="S43" i="12"/>
  <c r="S87" i="10" s="1"/>
  <c r="S45" i="12"/>
  <c r="S89" i="10" s="1"/>
  <c r="S47" i="12"/>
  <c r="S91" i="10" s="1"/>
  <c r="S49" i="12"/>
  <c r="S93" i="10" s="1"/>
  <c r="S51" i="12"/>
  <c r="S95" i="10" s="1"/>
  <c r="S53" i="12"/>
  <c r="S97" i="10" s="1"/>
  <c r="S54" i="12"/>
  <c r="S98" i="10" s="1"/>
  <c r="S57" i="12"/>
  <c r="S101" i="10" s="1"/>
  <c r="D40" i="12"/>
  <c r="D103" i="10" s="1"/>
  <c r="H40" i="12"/>
  <c r="H103" i="10" s="1"/>
  <c r="L40" i="12"/>
  <c r="L103" i="10" s="1"/>
  <c r="C40" i="12"/>
  <c r="C103" i="10" s="1"/>
  <c r="K40" i="12"/>
  <c r="K103" i="10" s="1"/>
  <c r="E40" i="12"/>
  <c r="E103" i="10" s="1"/>
  <c r="G40" i="12"/>
  <c r="G103" i="10" s="1"/>
  <c r="S40" i="12"/>
  <c r="I40" i="12"/>
  <c r="I103" i="10" s="1"/>
  <c r="B40" i="12"/>
  <c r="B103" i="10" s="1"/>
  <c r="F40" i="12"/>
  <c r="F103" i="10" s="1"/>
  <c r="J40" i="12"/>
  <c r="J103" i="10" s="1"/>
  <c r="N40" i="12"/>
  <c r="N103" i="10" s="1"/>
  <c r="O40" i="12"/>
  <c r="O103" i="10" s="1"/>
  <c r="P40" i="12"/>
  <c r="P103" i="10" s="1"/>
  <c r="Q40" i="12"/>
  <c r="Q103" i="10" s="1"/>
  <c r="R40" i="12"/>
  <c r="R103" i="10" s="1"/>
  <c r="S59" i="12"/>
  <c r="S56" i="12"/>
  <c r="S100" i="10" s="1"/>
  <c r="S58" i="12"/>
  <c r="S102" i="10" s="1"/>
  <c r="M40" i="12"/>
  <c r="M103" i="10" s="1"/>
  <c r="B19" i="20"/>
  <c r="R125" i="10"/>
  <c r="B15" i="20"/>
  <c r="B11" i="20"/>
  <c r="AB124" i="10" l="1"/>
  <c r="Z125" i="10"/>
  <c r="AA124" i="10"/>
  <c r="V123" i="10"/>
  <c r="U124" i="10"/>
  <c r="W124" i="10"/>
  <c r="S103" i="10"/>
  <c r="AF117" i="10"/>
  <c r="AE118" i="10"/>
  <c r="AG117" i="10"/>
  <c r="V124" i="10" l="1"/>
  <c r="U125" i="10"/>
  <c r="W125" i="10"/>
  <c r="AB126" i="10"/>
  <c r="AB125" i="10"/>
  <c r="Z126" i="10"/>
  <c r="AC126" i="10"/>
  <c r="AA126" i="10"/>
  <c r="AA125" i="10"/>
  <c r="AC125" i="10"/>
  <c r="AE119" i="10"/>
  <c r="AG119" i="10" s="1"/>
  <c r="AF118" i="10"/>
  <c r="AG118" i="10"/>
  <c r="U126" i="10" l="1"/>
  <c r="W126" i="10"/>
  <c r="V126" i="10"/>
  <c r="V125" i="10"/>
  <c r="AF119" i="10"/>
  <c r="AE120" i="10"/>
  <c r="AE121" i="10" l="1"/>
  <c r="AG121" i="10" s="1"/>
  <c r="AF120" i="10"/>
  <c r="AG120" i="10"/>
  <c r="AF121" i="10" l="1"/>
  <c r="AE122" i="10"/>
  <c r="AG122" i="10" s="1"/>
  <c r="AE123" i="10" l="1"/>
  <c r="AG123" i="10" s="1"/>
  <c r="AF122" i="10"/>
  <c r="AF123" i="10" l="1"/>
  <c r="AE124" i="10"/>
  <c r="AG124" i="10" s="1"/>
  <c r="AE125" i="10" l="1"/>
  <c r="AG125" i="10" s="1"/>
  <c r="AF124" i="10"/>
  <c r="AF125" i="10" l="1"/>
  <c r="AE126" i="10"/>
  <c r="AG126" i="10" s="1"/>
  <c r="AF126" i="10"/>
</calcChain>
</file>

<file path=xl/sharedStrings.xml><?xml version="1.0" encoding="utf-8"?>
<sst xmlns="http://schemas.openxmlformats.org/spreadsheetml/2006/main" count="1582" uniqueCount="353">
  <si>
    <t>Vulnerabilidad</t>
  </si>
  <si>
    <t>x</t>
  </si>
  <si>
    <t>Población</t>
  </si>
  <si>
    <t>Estatus Socio-Económico</t>
  </si>
  <si>
    <t>Actividad Económica</t>
  </si>
  <si>
    <t>Medio Ambiente</t>
  </si>
  <si>
    <r>
      <t>Población</t>
    </r>
    <r>
      <rPr>
        <sz val="12"/>
        <color theme="1"/>
        <rFont val="Calibri"/>
        <family val="2"/>
        <scheme val="minor"/>
      </rPr>
      <t xml:space="preserve"> frente a </t>
    </r>
    <r>
      <rPr>
        <b/>
        <sz val="12"/>
        <color theme="1"/>
        <rFont val="Calibri"/>
        <family val="2"/>
        <scheme val="minor"/>
      </rPr>
      <t>Estatus Socio-económico</t>
    </r>
  </si>
  <si>
    <r>
      <t xml:space="preserve">Población </t>
    </r>
    <r>
      <rPr>
        <sz val="12"/>
        <color theme="1"/>
        <rFont val="Calibri"/>
        <family val="2"/>
        <scheme val="minor"/>
      </rPr>
      <t xml:space="preserve">frente a </t>
    </r>
    <r>
      <rPr>
        <b/>
        <sz val="12"/>
        <color theme="1"/>
        <rFont val="Calibri"/>
        <family val="2"/>
        <scheme val="minor"/>
      </rPr>
      <t>Actividad Económica</t>
    </r>
  </si>
  <si>
    <r>
      <t>Estatus Socio-económico</t>
    </r>
    <r>
      <rPr>
        <sz val="12"/>
        <color theme="1"/>
        <rFont val="Calibri"/>
        <family val="2"/>
        <scheme val="minor"/>
      </rPr>
      <t xml:space="preserve"> frente a </t>
    </r>
    <r>
      <rPr>
        <b/>
        <sz val="12"/>
        <color theme="1"/>
        <rFont val="Calibri"/>
        <family val="2"/>
        <scheme val="minor"/>
      </rPr>
      <t>Actividad Económica</t>
    </r>
  </si>
  <si>
    <t>Peso</t>
  </si>
  <si>
    <t>Wharton</t>
  </si>
  <si>
    <t>n</t>
  </si>
  <si>
    <t>Random Index (RI)</t>
  </si>
  <si>
    <t>Tasa Extranjeros</t>
  </si>
  <si>
    <t>Esperanza de Vida</t>
  </si>
  <si>
    <t>DISTRITO</t>
  </si>
  <si>
    <t>BARRIO</t>
  </si>
  <si>
    <t>01. Centro</t>
  </si>
  <si>
    <t xml:space="preserve">   011. Palacio</t>
  </si>
  <si>
    <t xml:space="preserve">   012. Embajadores</t>
  </si>
  <si>
    <t xml:space="preserve">   013. Cortes</t>
  </si>
  <si>
    <t xml:space="preserve">   014. Justicia</t>
  </si>
  <si>
    <t xml:space="preserve">   015. Universidad</t>
  </si>
  <si>
    <t xml:space="preserve">   016. Sol</t>
  </si>
  <si>
    <t>02. Arganzuela</t>
  </si>
  <si>
    <t xml:space="preserve">   021. Imperial</t>
  </si>
  <si>
    <t xml:space="preserve">   024. Legazpi</t>
  </si>
  <si>
    <t xml:space="preserve">   026. Palos de Moguer</t>
  </si>
  <si>
    <t xml:space="preserve">   027. Atocha</t>
  </si>
  <si>
    <t>03. Retiro</t>
  </si>
  <si>
    <t xml:space="preserve">   031. Pacífico</t>
  </si>
  <si>
    <t xml:space="preserve">   032. Adelfas</t>
  </si>
  <si>
    <t xml:space="preserve">   034. Ibiza</t>
  </si>
  <si>
    <t xml:space="preserve">   036. Niño Jesús</t>
  </si>
  <si>
    <t>04. Salamanca</t>
  </si>
  <si>
    <t xml:space="preserve">   041. Recoletos</t>
  </si>
  <si>
    <t xml:space="preserve">   042. Goya</t>
  </si>
  <si>
    <t xml:space="preserve">   043. Fuente del Berro</t>
  </si>
  <si>
    <t xml:space="preserve">   044. Guindalera</t>
  </si>
  <si>
    <t xml:space="preserve">   045. Lista</t>
  </si>
  <si>
    <t xml:space="preserve">   046. Castellana</t>
  </si>
  <si>
    <t>05. Chamartín</t>
  </si>
  <si>
    <t xml:space="preserve">   051. El Viso</t>
  </si>
  <si>
    <t xml:space="preserve">   052. Prosperidad</t>
  </si>
  <si>
    <t xml:space="preserve">   053. Ciudad Jardín</t>
  </si>
  <si>
    <t xml:space="preserve">   054. Hispanoamérica</t>
  </si>
  <si>
    <t xml:space="preserve">   055. Nueva España</t>
  </si>
  <si>
    <t xml:space="preserve">   056. Castilla</t>
  </si>
  <si>
    <t>06. Tetuán</t>
  </si>
  <si>
    <t xml:space="preserve">   061. Bellas Vistas</t>
  </si>
  <si>
    <t xml:space="preserve">   062. Cuatro Caminos</t>
  </si>
  <si>
    <t xml:space="preserve">   063. Castillejos</t>
  </si>
  <si>
    <t xml:space="preserve">   064. Almenara</t>
  </si>
  <si>
    <t xml:space="preserve">   065. Valdeacederas</t>
  </si>
  <si>
    <t xml:space="preserve">   066. Berruguete</t>
  </si>
  <si>
    <t>07. Chamberí</t>
  </si>
  <si>
    <t xml:space="preserve">   071. Gaztambide</t>
  </si>
  <si>
    <t xml:space="preserve">   072. Arapiles</t>
  </si>
  <si>
    <t xml:space="preserve">   073. Trafalgar</t>
  </si>
  <si>
    <t xml:space="preserve">   074. Almagro</t>
  </si>
  <si>
    <t xml:space="preserve">   075. Ríos Rosas</t>
  </si>
  <si>
    <t xml:space="preserve">   076. Vallehermoso</t>
  </si>
  <si>
    <t>08. Fuencarral-El Pardo</t>
  </si>
  <si>
    <t xml:space="preserve">   081. El Pardo</t>
  </si>
  <si>
    <t xml:space="preserve">   082. Fuentelarreina</t>
  </si>
  <si>
    <t xml:space="preserve">   083. Peñagrande</t>
  </si>
  <si>
    <t xml:space="preserve">   085. La Paz</t>
  </si>
  <si>
    <t xml:space="preserve">   086. Valverde</t>
  </si>
  <si>
    <t xml:space="preserve">   087. Mirasierra</t>
  </si>
  <si>
    <t xml:space="preserve">   088. El Goloso</t>
  </si>
  <si>
    <t>09. Moncloa-Aravaca</t>
  </si>
  <si>
    <t xml:space="preserve">   091. Casa de Campo</t>
  </si>
  <si>
    <t xml:space="preserve">   092. Argüelles</t>
  </si>
  <si>
    <t xml:space="preserve">   093. Ciudad Universitaria</t>
  </si>
  <si>
    <t xml:space="preserve">   094. Valdezarza</t>
  </si>
  <si>
    <t xml:space="preserve">   095. Valdemarín</t>
  </si>
  <si>
    <t xml:space="preserve">   096. El Plantío</t>
  </si>
  <si>
    <t xml:space="preserve">   097. Aravaca</t>
  </si>
  <si>
    <t>10. Latina</t>
  </si>
  <si>
    <t xml:space="preserve">   103. Lucero</t>
  </si>
  <si>
    <t xml:space="preserve">   104. Aluche</t>
  </si>
  <si>
    <t xml:space="preserve">   105. Campamento</t>
  </si>
  <si>
    <t xml:space="preserve">   106. Cuatro Vientos</t>
  </si>
  <si>
    <t xml:space="preserve">   107. Las Águilas</t>
  </si>
  <si>
    <t>11. Carabanchel</t>
  </si>
  <si>
    <t xml:space="preserve">   111. Comillas</t>
  </si>
  <si>
    <t xml:space="preserve">   112. Opañel</t>
  </si>
  <si>
    <t xml:space="preserve">   113. San Isidro</t>
  </si>
  <si>
    <t xml:space="preserve">   114. Vista Alegre</t>
  </si>
  <si>
    <t xml:space="preserve">   115. Puerta Bonita</t>
  </si>
  <si>
    <t xml:space="preserve">   116. Buenavista</t>
  </si>
  <si>
    <t xml:space="preserve">   117. Abrantes</t>
  </si>
  <si>
    <t>12. Usera</t>
  </si>
  <si>
    <t xml:space="preserve">   121. Orcasitas</t>
  </si>
  <si>
    <t xml:space="preserve">   122. Orcasur</t>
  </si>
  <si>
    <t xml:space="preserve">   123. San Fermín</t>
  </si>
  <si>
    <t xml:space="preserve">   124. Almendrales</t>
  </si>
  <si>
    <t xml:space="preserve">   125. Moscardó</t>
  </si>
  <si>
    <t xml:space="preserve">   127. Pradolongo</t>
  </si>
  <si>
    <t>13. Puente de Vallecas</t>
  </si>
  <si>
    <t xml:space="preserve">   131. Entrevías</t>
  </si>
  <si>
    <t xml:space="preserve">   132. San Diego</t>
  </si>
  <si>
    <t xml:space="preserve">   133. Palomeras Bajas</t>
  </si>
  <si>
    <t xml:space="preserve">   134. Palomeras Sureste</t>
  </si>
  <si>
    <t xml:space="preserve">   135. Portazgo</t>
  </si>
  <si>
    <t xml:space="preserve">   136. Numancia</t>
  </si>
  <si>
    <t>14. Moratalaz</t>
  </si>
  <si>
    <t xml:space="preserve">   141. Pavones</t>
  </si>
  <si>
    <t xml:space="preserve">   142. Horcajo</t>
  </si>
  <si>
    <t xml:space="preserve">   143. Marroquina</t>
  </si>
  <si>
    <t xml:space="preserve">   144. Media Legua</t>
  </si>
  <si>
    <t xml:space="preserve">   145. Fontarrón</t>
  </si>
  <si>
    <t xml:space="preserve">   146. Vinateros</t>
  </si>
  <si>
    <t>15. Ciudad Lineal</t>
  </si>
  <si>
    <t xml:space="preserve">   151. Ventas</t>
  </si>
  <si>
    <t xml:space="preserve">   152. Pueblo Nuevo</t>
  </si>
  <si>
    <t xml:space="preserve">   153. Quintana</t>
  </si>
  <si>
    <t xml:space="preserve">   155. San Pascual</t>
  </si>
  <si>
    <t xml:space="preserve">   156. San Juan Bautista</t>
  </si>
  <si>
    <t xml:space="preserve">   157. Colina</t>
  </si>
  <si>
    <t xml:space="preserve">   158. Atalaya</t>
  </si>
  <si>
    <t xml:space="preserve">   159. Costillares</t>
  </si>
  <si>
    <t>16. Hortaleza</t>
  </si>
  <si>
    <t xml:space="preserve">   161. Palomas</t>
  </si>
  <si>
    <t xml:space="preserve">   162. Piovera</t>
  </si>
  <si>
    <t xml:space="preserve">   163. Canillas</t>
  </si>
  <si>
    <t xml:space="preserve">   164. Pinar del Rey</t>
  </si>
  <si>
    <t xml:space="preserve">   165. Apóstol Santiago</t>
  </si>
  <si>
    <t xml:space="preserve">   166. Valdefuentes</t>
  </si>
  <si>
    <t>17. Villaverde</t>
  </si>
  <si>
    <t xml:space="preserve">   172. San Cristóbal</t>
  </si>
  <si>
    <t xml:space="preserve">   173. Butarque</t>
  </si>
  <si>
    <t xml:space="preserve">   174. Los Rosales</t>
  </si>
  <si>
    <t xml:space="preserve">   175. Los Ángeles</t>
  </si>
  <si>
    <t>18. Villa de Vallecas</t>
  </si>
  <si>
    <t xml:space="preserve">   181. Casco Histórico de Vallecas</t>
  </si>
  <si>
    <t xml:space="preserve">   182. Santa Eugenia</t>
  </si>
  <si>
    <t>19. Vicálvaro</t>
  </si>
  <si>
    <t xml:space="preserve">   191. Casco Histórico de Vicálvaro</t>
  </si>
  <si>
    <t>20. San Blas</t>
  </si>
  <si>
    <t xml:space="preserve">   201. Simancas</t>
  </si>
  <si>
    <t xml:space="preserve">   202. Hellín</t>
  </si>
  <si>
    <t xml:space="preserve">   203. Amposta</t>
  </si>
  <si>
    <t xml:space="preserve">   204. Arcos</t>
  </si>
  <si>
    <t xml:space="preserve">   205. Rosas</t>
  </si>
  <si>
    <t xml:space="preserve">   206. Rejas</t>
  </si>
  <si>
    <t xml:space="preserve">   207. Canillejas</t>
  </si>
  <si>
    <t>21. Barajas</t>
  </si>
  <si>
    <t xml:space="preserve">   211. Alameda de Osuna</t>
  </si>
  <si>
    <t xml:space="preserve">   212. Aeropuerto</t>
  </si>
  <si>
    <t xml:space="preserve">   213. Casco Histórico de Barajas</t>
  </si>
  <si>
    <t xml:space="preserve">   214. Timón</t>
  </si>
  <si>
    <t xml:space="preserve">   215. Corralejos</t>
  </si>
  <si>
    <t>Tasa Paro Absoluto</t>
  </si>
  <si>
    <t>Número de Parados Juveniles</t>
  </si>
  <si>
    <t>Número de Parados Sin Prestación</t>
  </si>
  <si>
    <t>Índice DUS</t>
  </si>
  <si>
    <t>Renta Bruta per cápita</t>
  </si>
  <si>
    <t>Tasa de Paro</t>
  </si>
  <si>
    <t>NORMALIZADO</t>
  </si>
  <si>
    <t>Esperanza de Vida Corregida</t>
  </si>
  <si>
    <t>Ranking Vulnerabilidad</t>
  </si>
  <si>
    <t>Importancia Relativa</t>
  </si>
  <si>
    <t>IGUAL</t>
  </si>
  <si>
    <t>Mucho</t>
  </si>
  <si>
    <t>Bastante</t>
  </si>
  <si>
    <t>Algo</t>
  </si>
  <si>
    <t>Extrema</t>
  </si>
  <si>
    <t>Igual</t>
  </si>
  <si>
    <t>MAYOR</t>
  </si>
  <si>
    <t>MENOR</t>
  </si>
  <si>
    <t>Consistencia Saaty</t>
  </si>
  <si>
    <t>Modelo de Índice de Vulnerabilidad aplicando el Proceso Analítico Jerárquico</t>
  </si>
  <si>
    <t>Para obtener un ranking basado en la vulnerabilidad, deben darse valores a la importancia relativa entre las variables de decisión.</t>
  </si>
  <si>
    <t>Por ejemplo:</t>
  </si>
  <si>
    <t>A</t>
  </si>
  <si>
    <r>
      <t>B</t>
    </r>
    <r>
      <rPr>
        <sz val="12"/>
        <color theme="1"/>
        <rFont val="Calibri"/>
        <family val="2"/>
        <scheme val="minor"/>
      </rPr>
      <t xml:space="preserve"> frente a </t>
    </r>
    <r>
      <rPr>
        <b/>
        <sz val="12"/>
        <color theme="1"/>
        <rFont val="Calibri"/>
        <family val="2"/>
        <scheme val="minor"/>
      </rPr>
      <t>C</t>
    </r>
  </si>
  <si>
    <t>B</t>
  </si>
  <si>
    <t>C</t>
  </si>
  <si>
    <t>Los pesos significan que para calcular A tendremos que hacer: A = 0,25*B + 0,75*C</t>
  </si>
  <si>
    <t>Es decir, C es el índice que más va a pesar para el cálculo de A.</t>
  </si>
  <si>
    <r>
      <t>El rango de importancia relativa entre dos variables de decisión se encuentra entre el valor más bajo "</t>
    </r>
    <r>
      <rPr>
        <i/>
        <sz val="14"/>
        <color theme="1"/>
        <rFont val="Calibri"/>
        <family val="2"/>
        <scheme val="minor"/>
      </rPr>
      <t>extremadamente menos importante</t>
    </r>
    <r>
      <rPr>
        <sz val="14"/>
        <color theme="1"/>
        <rFont val="Calibri"/>
        <family val="2"/>
        <scheme val="minor"/>
      </rPr>
      <t>" hasta el mayor "</t>
    </r>
    <r>
      <rPr>
        <i/>
        <sz val="14"/>
        <color theme="1"/>
        <rFont val="Calibri"/>
        <family val="2"/>
        <scheme val="minor"/>
      </rPr>
      <t>extremadamente más importante</t>
    </r>
    <r>
      <rPr>
        <sz val="14"/>
        <color theme="1"/>
        <rFont val="Calibri"/>
        <family val="2"/>
        <scheme val="minor"/>
      </rPr>
      <t>".</t>
    </r>
  </si>
  <si>
    <r>
      <t>En este ejemplo, B es "</t>
    </r>
    <r>
      <rPr>
        <i/>
        <sz val="14"/>
        <color theme="1"/>
        <rFont val="Calibri"/>
        <family val="2"/>
        <scheme val="minor"/>
      </rPr>
      <t>Algo menos Importante</t>
    </r>
    <r>
      <rPr>
        <sz val="14"/>
        <color theme="1"/>
        <rFont val="Calibri"/>
        <family val="2"/>
        <scheme val="minor"/>
      </rPr>
      <t>" que C, en el contexto de sus valores son requeridos para el cálculo de A.</t>
    </r>
  </si>
  <si>
    <r>
      <t>Se pueden para valores intermedios entre los rangos, por ejemplo, estar entre "</t>
    </r>
    <r>
      <rPr>
        <i/>
        <sz val="14"/>
        <color theme="1"/>
        <rFont val="Calibri"/>
        <family val="2"/>
        <scheme val="minor"/>
      </rPr>
      <t>bastante menos importante</t>
    </r>
    <r>
      <rPr>
        <sz val="14"/>
        <color theme="1"/>
        <rFont val="Calibri"/>
        <family val="2"/>
        <scheme val="minor"/>
      </rPr>
      <t>" y "</t>
    </r>
    <r>
      <rPr>
        <i/>
        <sz val="14"/>
        <color theme="1"/>
        <rFont val="Calibri"/>
        <family val="2"/>
        <scheme val="minor"/>
      </rPr>
      <t>algo menos importante</t>
    </r>
    <r>
      <rPr>
        <sz val="14"/>
        <color theme="1"/>
        <rFont val="Calibri"/>
        <family val="2"/>
        <scheme val="minor"/>
      </rPr>
      <t>". Basta con marcar con "x" en la celda intermedia.</t>
    </r>
  </si>
  <si>
    <t>La importancia se indica marcando una "x" en el rango de importancia relativa en la hoja "Modelo AHP". En esta hoja, sólo pueden modificarse las celdas que determinan la importancia relativa.</t>
  </si>
  <si>
    <t>Sólo debe marcarse una "x" por fila, en caso contrario aparecerá un mensaje de error en la celda a la izquierda de las variables que se están comparando.</t>
  </si>
  <si>
    <t>Se pueden ordenar los valores por cualquier columna y se ha utilizado un código de color para expresar la posición relativa.</t>
  </si>
  <si>
    <t>Goepel, Klaus D., Implementing the analytic hierarchy process as a standard method for multi-criteria decision making in corporate enterprises – a new AHP excel template with multiple inputs.</t>
  </si>
  <si>
    <t>Proceedings of the international symposium on the analytic hierarchy process, Kuala Lumpur, Malaysia, 2013</t>
  </si>
  <si>
    <t>Ishizaka A., Labib A. Review of the main developments in the analytic hierarchy process, Expert Systems with Applications, 38(11), 14336-14345, 2011</t>
  </si>
  <si>
    <t>Grupo de Ingeligencia Artificial Aplicada</t>
  </si>
  <si>
    <t>www.giaa.inf.uc3m.es</t>
  </si>
  <si>
    <t>Se calcula un índice de coherencia de los juicios realizados llamado "Coherencia Saaty".  Se aplica a comparaciones en las que están involucradas mas de dos variables.</t>
  </si>
  <si>
    <t>El rango de color toma para el amarillo el valor medio, el rojo intenso para el peor valor (en este contexto, el valor mayor) y el verde intenso para el mejor valor (en este contexto será el valor menor).</t>
  </si>
  <si>
    <t xml:space="preserve">Saaty, T. L. (2008). Relative Measurement and its Generalization in Decision Making: Why Pairwise Comparisons are Central in Mathematics for the Measurement of Intangible Factors -- The Analytic Hierarchy/Network </t>
  </si>
  <si>
    <t xml:space="preserve">Process. Revista de la Real Academia de Ciencias Exactas, Físicas y Naturales. Serie A: Matemáticas (RACSAM), 102, 251--318. </t>
  </si>
  <si>
    <t>Autores</t>
  </si>
  <si>
    <t>Jose Manuel Molina</t>
  </si>
  <si>
    <t>Antonio Berlanga</t>
  </si>
  <si>
    <t>Miguel Ángel Patricio</t>
  </si>
  <si>
    <t>Los cálculos de las variables se presentan en la hoja "Índices y Ranking Barrio". Se muestran las variables con los valores de entrada (color azul) las intermedias (amarillo) y finálmente el valor de "Vulnerabilidad"</t>
  </si>
  <si>
    <t>Presupuesto</t>
  </si>
  <si>
    <t>Histograma Presupuesto</t>
  </si>
  <si>
    <t>Histograma Vulnerabilidad sin corte</t>
  </si>
  <si>
    <t>Modelo AHP</t>
  </si>
  <si>
    <t>Índices y Ranking Barrio</t>
  </si>
  <si>
    <t>Los valores calculados se obtienen normalizados a 1. Por tanto, si un barrio tiene un valor para una variable calculada que es el doble que otro, significa que en comparación, es el doble peor.</t>
  </si>
  <si>
    <t>Tasa demanda Dependientes</t>
  </si>
  <si>
    <t>Estatus Socio-económico</t>
  </si>
  <si>
    <t>Familas perceptoras renta mínima</t>
  </si>
  <si>
    <t>Renta media hogar</t>
  </si>
  <si>
    <t>Renta media hogar Corregida</t>
  </si>
  <si>
    <t>Esperanza de vida</t>
  </si>
  <si>
    <t>Tasa paro Absoluto</t>
  </si>
  <si>
    <t>Número Parados sin prestación</t>
  </si>
  <si>
    <t>Leyenda Vulnerabilidad</t>
  </si>
  <si>
    <t>Tasa Superficie Vulnerable</t>
  </si>
  <si>
    <t>Desarrollo Urbano</t>
  </si>
  <si>
    <r>
      <t xml:space="preserve">Estatus Socio-económico </t>
    </r>
    <r>
      <rPr>
        <sz val="12"/>
        <color theme="1"/>
        <rFont val="Calibri"/>
        <family val="2"/>
        <scheme val="minor"/>
      </rPr>
      <t xml:space="preserve">frente a </t>
    </r>
    <r>
      <rPr>
        <b/>
        <sz val="12"/>
        <color theme="1"/>
        <rFont val="Calibri"/>
        <family val="2"/>
        <scheme val="minor"/>
      </rPr>
      <t>Desarrollo Urbano</t>
    </r>
  </si>
  <si>
    <r>
      <t>Actividad Económica</t>
    </r>
    <r>
      <rPr>
        <sz val="12"/>
        <color theme="1"/>
        <rFont val="Calibri"/>
        <family val="2"/>
        <scheme val="minor"/>
      </rPr>
      <t xml:space="preserve"> frente a </t>
    </r>
    <r>
      <rPr>
        <b/>
        <sz val="12"/>
        <color theme="1"/>
        <rFont val="Calibri"/>
        <family val="2"/>
        <scheme val="minor"/>
      </rPr>
      <t>Desarrollo Urbano</t>
    </r>
  </si>
  <si>
    <t>Necesidades Asistenciales</t>
  </si>
  <si>
    <r>
      <t>Población</t>
    </r>
    <r>
      <rPr>
        <sz val="12"/>
        <color theme="1"/>
        <rFont val="Calibri"/>
        <family val="2"/>
        <scheme val="minor"/>
      </rPr>
      <t xml:space="preserve"> frente a </t>
    </r>
    <r>
      <rPr>
        <b/>
        <sz val="12"/>
        <color theme="1"/>
        <rFont val="Calibri"/>
        <family val="2"/>
        <scheme val="minor"/>
      </rPr>
      <t>Necesidades Asistenciales</t>
    </r>
  </si>
  <si>
    <r>
      <t>Estatus Socio-económico</t>
    </r>
    <r>
      <rPr>
        <sz val="12"/>
        <color theme="1"/>
        <rFont val="Calibri"/>
        <family val="2"/>
        <scheme val="minor"/>
      </rPr>
      <t xml:space="preserve"> frente a</t>
    </r>
    <r>
      <rPr>
        <b/>
        <sz val="12"/>
        <color theme="1"/>
        <rFont val="Calibri"/>
        <family val="2"/>
        <scheme val="minor"/>
      </rPr>
      <t xml:space="preserve"> Necesidades Asistenciales</t>
    </r>
  </si>
  <si>
    <r>
      <t>Actividad Económica</t>
    </r>
    <r>
      <rPr>
        <sz val="12"/>
        <color theme="1"/>
        <rFont val="Calibri"/>
        <family val="2"/>
        <scheme val="minor"/>
      </rPr>
      <t xml:space="preserve"> frente a </t>
    </r>
    <r>
      <rPr>
        <b/>
        <sz val="12"/>
        <color theme="1"/>
        <rFont val="Calibri"/>
        <family val="2"/>
        <scheme val="minor"/>
      </rPr>
      <t>Necesidades Asistenciales</t>
    </r>
  </si>
  <si>
    <r>
      <t>Desarrollo Urbano</t>
    </r>
    <r>
      <rPr>
        <sz val="12"/>
        <color theme="1"/>
        <rFont val="Calibri"/>
        <family val="2"/>
        <scheme val="minor"/>
      </rPr>
      <t xml:space="preserve"> frente a </t>
    </r>
    <r>
      <rPr>
        <b/>
        <sz val="12"/>
        <color theme="1"/>
        <rFont val="Calibri"/>
        <family val="2"/>
        <scheme val="minor"/>
      </rPr>
      <t>Necesidades Asistenciales</t>
    </r>
  </si>
  <si>
    <t>(valores por debajo de 10% se consideran consistentes)</t>
  </si>
  <si>
    <t>Tasa SAD Dependencia</t>
  </si>
  <si>
    <t>Tasa Teleasistencia Dependencia</t>
  </si>
  <si>
    <t>Tasa Paro 45-60</t>
  </si>
  <si>
    <t>Tasa Demanda Dependientes</t>
  </si>
  <si>
    <r>
      <t>Tasa Demanda Dependientes</t>
    </r>
    <r>
      <rPr>
        <sz val="12"/>
        <color theme="1"/>
        <rFont val="Calibri"/>
        <family val="2"/>
        <scheme val="minor"/>
      </rPr>
      <t xml:space="preserve"> frente a </t>
    </r>
    <r>
      <rPr>
        <b/>
        <sz val="12"/>
        <color theme="1"/>
        <rFont val="Calibri"/>
        <family val="2"/>
        <scheme val="minor"/>
      </rPr>
      <t>Familas perceptoras renta mínima</t>
    </r>
  </si>
  <si>
    <r>
      <t xml:space="preserve">Tasa Demanda Dependientes </t>
    </r>
    <r>
      <rPr>
        <sz val="12"/>
        <color theme="1"/>
        <rFont val="Calibri"/>
        <family val="2"/>
        <scheme val="minor"/>
      </rPr>
      <t xml:space="preserve">frente a </t>
    </r>
    <r>
      <rPr>
        <b/>
        <sz val="12"/>
        <color theme="1"/>
        <rFont val="Calibri"/>
        <family val="2"/>
        <scheme val="minor"/>
      </rPr>
      <t>Tasa SAD Dependencia</t>
    </r>
  </si>
  <si>
    <r>
      <t xml:space="preserve">Tasa Demanda Dependientes </t>
    </r>
    <r>
      <rPr>
        <sz val="12"/>
        <color theme="1"/>
        <rFont val="Calibri"/>
        <family val="2"/>
        <scheme val="minor"/>
      </rPr>
      <t xml:space="preserve">frente a </t>
    </r>
    <r>
      <rPr>
        <b/>
        <sz val="12"/>
        <color theme="1"/>
        <rFont val="Calibri"/>
        <family val="2"/>
        <scheme val="minor"/>
      </rPr>
      <t>Tasa Teleasistencia Dependencia</t>
    </r>
  </si>
  <si>
    <r>
      <t xml:space="preserve">Familas perceptoras renta mínima </t>
    </r>
    <r>
      <rPr>
        <sz val="12"/>
        <color theme="1"/>
        <rFont val="Calibri"/>
        <family val="2"/>
        <scheme val="minor"/>
      </rPr>
      <t xml:space="preserve">frente a </t>
    </r>
    <r>
      <rPr>
        <b/>
        <sz val="12"/>
        <color theme="1"/>
        <rFont val="Calibri"/>
        <family val="2"/>
        <scheme val="minor"/>
      </rPr>
      <t>Tasa Teleasistencia Dependencia</t>
    </r>
  </si>
  <si>
    <r>
      <t xml:space="preserve">Familas perceptoras renta mínima </t>
    </r>
    <r>
      <rPr>
        <sz val="12"/>
        <color theme="1"/>
        <rFont val="Calibri"/>
        <family val="2"/>
        <scheme val="minor"/>
      </rPr>
      <t xml:space="preserve">frente a </t>
    </r>
    <r>
      <rPr>
        <b/>
        <sz val="12"/>
        <color theme="1"/>
        <rFont val="Calibri"/>
        <family val="2"/>
        <scheme val="minor"/>
      </rPr>
      <t>Tasa SAD Dependencia</t>
    </r>
  </si>
  <si>
    <r>
      <t xml:space="preserve">Tasa SAD Dependencia </t>
    </r>
    <r>
      <rPr>
        <sz val="12"/>
        <color theme="1"/>
        <rFont val="Calibri"/>
        <family val="2"/>
        <scheme val="minor"/>
      </rPr>
      <t xml:space="preserve">frente a </t>
    </r>
    <r>
      <rPr>
        <b/>
        <sz val="12"/>
        <color theme="1"/>
        <rFont val="Calibri"/>
        <family val="2"/>
        <scheme val="minor"/>
      </rPr>
      <t>Tasa Teleasistencia Dependencia</t>
    </r>
  </si>
  <si>
    <t>Leyenda para gráfico</t>
  </si>
  <si>
    <t>Distrito</t>
  </si>
  <si>
    <t>Sin Estudios o Primarios</t>
  </si>
  <si>
    <t>Tasa de Parados Sin Prestación</t>
  </si>
  <si>
    <r>
      <t>Esperanza de vida</t>
    </r>
    <r>
      <rPr>
        <sz val="12"/>
        <color theme="1"/>
        <rFont val="Calibri"/>
        <family val="2"/>
        <scheme val="minor"/>
      </rPr>
      <t xml:space="preserve"> frente a </t>
    </r>
    <r>
      <rPr>
        <b/>
        <sz val="12"/>
        <color theme="1"/>
        <rFont val="Calibri"/>
        <family val="2"/>
        <scheme val="minor"/>
      </rPr>
      <t>Sin Estudios o Primarios</t>
    </r>
  </si>
  <si>
    <r>
      <t xml:space="preserve">Tasa de Paro </t>
    </r>
    <r>
      <rPr>
        <sz val="12"/>
        <color theme="1"/>
        <rFont val="Calibri"/>
        <family val="2"/>
        <scheme val="minor"/>
      </rPr>
      <t xml:space="preserve">frente a </t>
    </r>
    <r>
      <rPr>
        <b/>
        <sz val="12"/>
        <color theme="1"/>
        <rFont val="Calibri"/>
        <family val="2"/>
        <scheme val="minor"/>
      </rPr>
      <t>Tasa de Parados sin Prestación</t>
    </r>
  </si>
  <si>
    <t>Tasa Parados sin Prestación</t>
  </si>
  <si>
    <t>Tasa de Parados sin Prestación</t>
  </si>
  <si>
    <t>Presupuesto Escenario1</t>
  </si>
  <si>
    <t>Leyenda presupuesto escenario 1</t>
  </si>
  <si>
    <t>Leyenda escenario 1</t>
  </si>
  <si>
    <t>Conteo escenario 1</t>
  </si>
  <si>
    <t>Presupuesto Escenario Agresivo</t>
  </si>
  <si>
    <t>Presupuesto Escenario 1</t>
  </si>
  <si>
    <t>orden por presupuesto 1</t>
  </si>
  <si>
    <t>Tasa Inmigrantes</t>
  </si>
  <si>
    <r>
      <t>Tasa Inmigrantes</t>
    </r>
    <r>
      <rPr>
        <sz val="12"/>
        <color theme="1"/>
        <rFont val="Calibri"/>
        <family val="2"/>
        <scheme val="minor"/>
      </rPr>
      <t xml:space="preserve"> frente a </t>
    </r>
    <r>
      <rPr>
        <b/>
        <sz val="12"/>
        <color theme="1"/>
        <rFont val="Calibri"/>
        <family val="2"/>
        <scheme val="minor"/>
      </rPr>
      <t>Esperanza de Vida</t>
    </r>
  </si>
  <si>
    <r>
      <t>Tasa Inmigrantes</t>
    </r>
    <r>
      <rPr>
        <sz val="12"/>
        <color theme="1"/>
        <rFont val="Calibri"/>
        <family val="2"/>
        <scheme val="minor"/>
      </rPr>
      <t xml:space="preserve"> frente a </t>
    </r>
    <r>
      <rPr>
        <b/>
        <sz val="12"/>
        <color theme="1"/>
        <rFont val="Calibri"/>
        <family val="2"/>
        <scheme val="minor"/>
      </rPr>
      <t>Sin Estudios o Primarios</t>
    </r>
  </si>
  <si>
    <t>Tasa Paro mayores 45</t>
  </si>
  <si>
    <r>
      <t>Tasa de Paro</t>
    </r>
    <r>
      <rPr>
        <sz val="12"/>
        <color theme="1"/>
        <rFont val="Calibri"/>
        <family val="2"/>
        <scheme val="minor"/>
      </rPr>
      <t xml:space="preserve"> frente a </t>
    </r>
    <r>
      <rPr>
        <b/>
        <sz val="12"/>
        <color theme="1"/>
        <rFont val="Calibri"/>
        <family val="2"/>
        <scheme val="minor"/>
      </rPr>
      <t>Tasa Paro mayores 45</t>
    </r>
  </si>
  <si>
    <r>
      <t>Tasa Paro mayores 45</t>
    </r>
    <r>
      <rPr>
        <sz val="12"/>
        <color theme="1"/>
        <rFont val="Calibri"/>
        <family val="2"/>
        <scheme val="minor"/>
      </rPr>
      <t xml:space="preserve"> frente a </t>
    </r>
    <r>
      <rPr>
        <b/>
        <sz val="12"/>
        <color theme="1"/>
        <rFont val="Calibri"/>
        <family val="2"/>
        <scheme val="minor"/>
      </rPr>
      <t>Tasa Parados sin Prestación</t>
    </r>
  </si>
  <si>
    <t>Valor Catastral</t>
  </si>
  <si>
    <t>Valor Catastral Corregido</t>
  </si>
  <si>
    <t>Matriz de correlación</t>
  </si>
  <si>
    <t>Proporción de inmigrantes (Extranjeros menos UE y resto países de OCDE/Población total)</t>
  </si>
  <si>
    <t>Fuente</t>
  </si>
  <si>
    <t>Nombre Indicador</t>
  </si>
  <si>
    <t>Descripción</t>
  </si>
  <si>
    <t>Fecha</t>
  </si>
  <si>
    <t>Ayuntamiento de Madrid. Subdirección General de Estadística</t>
  </si>
  <si>
    <t>Auxiliar</t>
  </si>
  <si>
    <t xml:space="preserve">Padrón Municipal de Habitantes </t>
  </si>
  <si>
    <t>Fuentes de datos</t>
  </si>
  <si>
    <t>Se muestran los datos de los indicadores que se han utilizado para realizar los cálculos, así como la procedencia de los mismos.</t>
  </si>
  <si>
    <t>control</t>
  </si>
  <si>
    <t>Índices</t>
  </si>
  <si>
    <t>aux</t>
  </si>
  <si>
    <t>Leyenda escenario reequilibrio</t>
  </si>
  <si>
    <t>Leyenda presupuesto escenario reequilibrio</t>
  </si>
  <si>
    <t>Conteo escenario reequilibrio</t>
  </si>
  <si>
    <t>orden por presupuesto reequilibrio</t>
  </si>
  <si>
    <t>Presupuesto Escenario reequilibrio</t>
  </si>
  <si>
    <t>escenario reequilibrio</t>
  </si>
  <si>
    <t>escenario 1</t>
  </si>
  <si>
    <t>Conteo Presupuesto 2016</t>
  </si>
  <si>
    <t>orden por vulnerabilidad</t>
  </si>
  <si>
    <t>Reequilibrio</t>
  </si>
  <si>
    <t>orden por 2016</t>
  </si>
  <si>
    <t>Jesús Gutiérrez Villalta</t>
  </si>
  <si>
    <t>Ester García Sánchez</t>
  </si>
  <si>
    <t>Roberto Losada Maestre</t>
  </si>
  <si>
    <t>Rubén Sánchez Medero</t>
  </si>
  <si>
    <t>Un resultado aceptable para el valor de coherencia Saaty es cuando es menor de 10%.</t>
  </si>
  <si>
    <t>Desarrollo Urbanístico</t>
  </si>
  <si>
    <t>Gema Sánchez Medero</t>
  </si>
  <si>
    <t>Dpto. de Ciencia Política y de la Administración II (UCM)</t>
  </si>
  <si>
    <t>Dpto. Ciencias Sociales (UC3M)</t>
  </si>
  <si>
    <t>Dpto. Informática (UC3M)</t>
  </si>
  <si>
    <r>
      <t>Población</t>
    </r>
    <r>
      <rPr>
        <sz val="12"/>
        <color theme="1"/>
        <rFont val="Calibri"/>
        <family val="2"/>
        <scheme val="minor"/>
      </rPr>
      <t xml:space="preserve"> frente a </t>
    </r>
    <r>
      <rPr>
        <b/>
        <sz val="12"/>
        <color theme="1"/>
        <rFont val="Calibri"/>
        <family val="2"/>
        <scheme val="minor"/>
      </rPr>
      <t>Desarrollo Urbanístico</t>
    </r>
  </si>
  <si>
    <t>Porcentaje de personas sin estudios o con primarios/Población de 25 y más años</t>
  </si>
  <si>
    <t>Renta neta media de los hogares (Urban audit)</t>
  </si>
  <si>
    <t>Porcentaje de parados/Población activa</t>
  </si>
  <si>
    <t>Porcentaje de parados mayores de 45 años/Población activa</t>
  </si>
  <si>
    <t>Valor medio de los bienes inmuebles (personas físicas)</t>
  </si>
  <si>
    <t>Número de habitantes</t>
  </si>
  <si>
    <t>Urban Audit - INE. Elaboración: Ayuntamiento de Madrid. Subdirección General de Estadística</t>
  </si>
  <si>
    <t>Servicio Público de Empleo Estatal. Elaboración: Ayuntamiento de Madrid. Subdirección General de Estadística.</t>
  </si>
  <si>
    <t>Ayuntamiento de Madrid. Agencia Tributaria. Elaboración: Subdirección General de Estadística.</t>
  </si>
  <si>
    <t>Tasa inmigrantes</t>
  </si>
  <si>
    <t>Sin estudios o primarios</t>
  </si>
  <si>
    <t>Tasa paro absoluto</t>
  </si>
  <si>
    <t>Tasa paro mayores 45</t>
  </si>
  <si>
    <t>Tasa de parados sin prestación</t>
  </si>
  <si>
    <t>Valor catastral bienes inmuebles</t>
  </si>
  <si>
    <t>Ayuntamiento de Madrid. Madrid Salud</t>
  </si>
  <si>
    <t>Solicitudes de dependencia por distrito</t>
  </si>
  <si>
    <t>Familias perceptoras de RMI por distrito</t>
  </si>
  <si>
    <t>Beneficiarios del Ayto de Madrid del Servicio de Ayuda a Domicilio por dependencia (dato por distrito)</t>
  </si>
  <si>
    <t>Beneficiarios del Ayto de Madrid del Servicio de Teleasistencia por dependencia (dato por distrito)</t>
  </si>
  <si>
    <t>Ayuntamiento de Madrid. Dirección General de Personas Mayores y Servicios Sociales</t>
  </si>
  <si>
    <t xml:space="preserve">   022. Las Acacias</t>
  </si>
  <si>
    <t xml:space="preserve">   023. La Chopera</t>
  </si>
  <si>
    <t xml:space="preserve">   025. Las Delicias</t>
  </si>
  <si>
    <t xml:space="preserve">   033. La Estrella</t>
  </si>
  <si>
    <t xml:space="preserve">   035. Los Jerónimos</t>
  </si>
  <si>
    <t xml:space="preserve">   084. Del Pilar</t>
  </si>
  <si>
    <t xml:space="preserve">   101. Los Cármenes</t>
  </si>
  <si>
    <t xml:space="preserve">   102. Puerta del Ángel</t>
  </si>
  <si>
    <t xml:space="preserve">   126. Zofío</t>
  </si>
  <si>
    <t xml:space="preserve">   154. La Concepción</t>
  </si>
  <si>
    <t xml:space="preserve">   171. Villaverde Alto, C.H. Villaverde</t>
  </si>
  <si>
    <t xml:space="preserve">   183. Ensanche de Vallecas</t>
  </si>
  <si>
    <t xml:space="preserve">   192. Valdebernardo</t>
  </si>
  <si>
    <t xml:space="preserve">   193. Valderrivas</t>
  </si>
  <si>
    <t xml:space="preserve">   194. El Cañaveral</t>
  </si>
  <si>
    <t xml:space="preserve">   208. El Salvador</t>
  </si>
  <si>
    <t>Esperanza de vida al nacer. 2009 - 2012</t>
  </si>
  <si>
    <t>1 de enero de 2018</t>
  </si>
  <si>
    <t>Agosto 2018</t>
  </si>
  <si>
    <t>1 de agosto de 2018</t>
  </si>
  <si>
    <t>Ranking Vulnerabilidad 2019</t>
  </si>
  <si>
    <t>Parados sin prestación (por distrito) /Población activa (16-64 años)</t>
  </si>
  <si>
    <t>De la matriz de datos se puede obtener los pesos que tendrá cada variable. Siguiendo con el ejemplo: La importancia relativa se traduce en un número en una matriz de datos.</t>
  </si>
  <si>
    <t>Índices y Ranking Distrito</t>
  </si>
  <si>
    <t>En esta tabla mostramos los valores del indicador de vulnerabilidad  2018 por los distritos de la Ciudad, que se extraen del computo medio de cada uno de los barrios que los conforman.</t>
  </si>
  <si>
    <t>Aux</t>
  </si>
  <si>
    <t>En la hoja denominada aux se encuentran tablas de datos y formulación complementaria para ejecutar los Indices y el Ranking de Barrio. Es la tabla de elaboración.</t>
  </si>
  <si>
    <t>Bibliografía seleccionada</t>
  </si>
  <si>
    <t>Coordinación del informe</t>
  </si>
  <si>
    <t>Luis Miguel Palomares Martin. Jefe de Servicio de Estudios y Evaluación Territorial. Dirección General de Descentralización y Acción Territorial. Área de Coordinación Territorial y Cooperación Público-Social. Ayuntamiento de Madrid</t>
  </si>
  <si>
    <t>Mercedes Esteban y Peña. Jefa de Departamento de Estudios Territoriales. Dirección General de Descentralización y Acción Territorial. Área de Coordinación Territorial y Cooperación Público-Social. Ayuntamiento de Madrid</t>
  </si>
  <si>
    <t>Elena Fernandez Velasco. Técnico Superior. Socióloga. Servicio de Estudios y Evaluación Territorial. Dirección General de Descentralización y Acción Territorial. Área de Coordinación Territorial y Cooperación Público-Social. Ayuntamiento de Madrid</t>
  </si>
  <si>
    <t xml:space="preserve">Diseño y maquetación </t>
  </si>
  <si>
    <t xml:space="preserve">Javier Ubeda Diaz. Administración. Servicio de Estudios y Evaluación Territorial. </t>
  </si>
  <si>
    <r>
      <rPr>
        <b/>
        <sz val="18"/>
        <color theme="1"/>
        <rFont val="Calibri"/>
        <family val="2"/>
        <scheme val="minor"/>
      </rPr>
      <t>Informe detallado de la metodologia disponible en</t>
    </r>
    <r>
      <rPr>
        <sz val="18"/>
        <color theme="1"/>
        <rFont val="Calibri"/>
        <family val="2"/>
        <scheme val="minor"/>
      </rPr>
      <t xml:space="preserve">: </t>
    </r>
    <r>
      <rPr>
        <sz val="12"/>
        <color theme="1"/>
        <rFont val="Calibri"/>
        <family val="2"/>
        <scheme val="minor"/>
      </rPr>
      <t xml:space="preserve">https: </t>
    </r>
    <r>
      <rPr>
        <i/>
        <sz val="12"/>
        <color theme="1"/>
        <rFont val="Calibri"/>
        <family val="2"/>
        <scheme val="minor"/>
      </rPr>
      <t>IndiceVulnerabilidad (IV-R). Pdf</t>
    </r>
  </si>
  <si>
    <t xml:space="preserve">  </t>
  </si>
  <si>
    <t>Área Delegada de Coordinación Territorial, Transparencia y Participación Ciudadana                  D.G. de Coordinación Territorial y Desconcentración                                                                  Servicio de Estudios y Evaluación Territorial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</si>
</sst>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 #,##0.00\ &quot;€&quot;_-;\-* #,##0.00\ &quot;€&quot;_-;_-* &quot;-&quot;??\ &quot;€&quot;_-;_-@_-"/>
    <numFmt numFmtId="164" formatCode="_-* #,##0.00\ _€_-;\-* #,##0.00\ _€_-;_-* &quot;-&quot;??\ _€_-;_-@_-"/>
    <numFmt numFmtId="165" formatCode="0.0000"/>
    <numFmt numFmtId="166" formatCode="0.00000"/>
    <numFmt numFmtId="167" formatCode="0.0%"/>
    <numFmt numFmtId="168" formatCode="0.0"/>
    <numFmt numFmtId="169" formatCode="_-* #,##0\ &quot;€&quot;_-;\-* #,##0\ &quot;€&quot;_-;_-* &quot;-&quot;??\ &quot;€&quot;_-;_-@_-"/>
    <numFmt numFmtId="170" formatCode="0.0&quot;%&quot;"/>
    <numFmt numFmtId="171" formatCode="0.000"/>
    <numFmt numFmtId="172" formatCode="0.000000"/>
    <numFmt numFmtId="173" formatCode="#,##0\ &quot;€&quot;"/>
    <numFmt numFmtId="174" formatCode="_-* #,##0\ _€_-;\-* #,##0\ _€_-;_-* &quot;-&quot;??\ _€_-;_-@_-"/>
  </numFmts>
  <fonts count="46">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12"/>
      <color theme="0"/>
      <name val="Calibri"/>
      <family val="2"/>
      <scheme val="minor"/>
    </font>
    <font>
      <b/>
      <sz val="18"/>
      <color theme="1"/>
      <name val="Calibri"/>
      <family val="2"/>
      <scheme val="minor"/>
    </font>
    <font>
      <b/>
      <i/>
      <sz val="12"/>
      <color theme="1"/>
      <name val="Calibri"/>
      <family val="2"/>
      <scheme val="minor"/>
    </font>
    <font>
      <sz val="18"/>
      <color theme="1"/>
      <name val="Calibri"/>
      <family val="2"/>
      <scheme val="minor"/>
    </font>
    <font>
      <b/>
      <sz val="20"/>
      <color theme="1"/>
      <name val="Calibri"/>
      <family val="2"/>
      <scheme val="minor"/>
    </font>
    <font>
      <i/>
      <sz val="12"/>
      <color theme="1"/>
      <name val="Calibri"/>
      <family val="2"/>
      <scheme val="minor"/>
    </font>
    <font>
      <sz val="12"/>
      <name val="Calibri"/>
      <family val="2"/>
      <scheme val="minor"/>
    </font>
    <font>
      <b/>
      <sz val="12"/>
      <color theme="4" tint="-0.499984740745262"/>
      <name val="Calibri"/>
      <family val="2"/>
      <scheme val="minor"/>
    </font>
    <font>
      <b/>
      <sz val="12"/>
      <color theme="3"/>
      <name val="Calibri"/>
      <family val="2"/>
      <scheme val="minor"/>
    </font>
    <font>
      <sz val="11"/>
      <color theme="1"/>
      <name val="Calibri"/>
      <family val="2"/>
      <scheme val="minor"/>
    </font>
    <font>
      <sz val="14"/>
      <color theme="1"/>
      <name val="Calibri"/>
      <family val="2"/>
      <scheme val="minor"/>
    </font>
    <font>
      <sz val="36"/>
      <color theme="1"/>
      <name val="Calibri"/>
      <family val="2"/>
      <scheme val="minor"/>
    </font>
    <font>
      <i/>
      <sz val="10"/>
      <color theme="1"/>
      <name val="Calibri"/>
      <family val="2"/>
      <scheme val="minor"/>
    </font>
    <font>
      <b/>
      <i/>
      <sz val="11"/>
      <color theme="1"/>
      <name val="Calibri"/>
      <family val="2"/>
      <scheme val="minor"/>
    </font>
    <font>
      <sz val="10"/>
      <color theme="1"/>
      <name val="Calibri"/>
      <family val="2"/>
      <scheme val="minor"/>
    </font>
    <font>
      <i/>
      <sz val="14"/>
      <color theme="1"/>
      <name val="Calibri"/>
      <family val="2"/>
      <scheme val="minor"/>
    </font>
    <font>
      <u/>
      <sz val="12"/>
      <color theme="10"/>
      <name val="Calibri"/>
      <family val="2"/>
      <scheme val="minor"/>
    </font>
    <font>
      <u/>
      <sz val="11"/>
      <color theme="10"/>
      <name val="Calibri"/>
      <family val="2"/>
      <scheme val="minor"/>
    </font>
    <font>
      <b/>
      <sz val="14"/>
      <color theme="1"/>
      <name val="Calibri"/>
      <family val="2"/>
      <scheme val="minor"/>
    </font>
    <font>
      <b/>
      <sz val="11"/>
      <color theme="4" tint="-0.499984740745262"/>
      <name val="Calibri"/>
      <family val="2"/>
      <scheme val="minor"/>
    </font>
    <font>
      <sz val="8"/>
      <color theme="4" tint="-0.499984740745262"/>
      <name val="Calibri"/>
      <family val="2"/>
      <scheme val="minor"/>
    </font>
    <font>
      <b/>
      <sz val="10"/>
      <color theme="4" tint="-0.499984740745262"/>
      <name val="Calibri"/>
      <family val="2"/>
      <scheme val="minor"/>
    </font>
    <font>
      <b/>
      <sz val="12"/>
      <color theme="4" tint="-0.499984740745262"/>
      <name val="Calibri (Cuerpo)"/>
    </font>
    <font>
      <b/>
      <sz val="10"/>
      <color theme="3"/>
      <name val="Calibri"/>
      <family val="2"/>
      <scheme val="minor"/>
    </font>
    <font>
      <u/>
      <sz val="12"/>
      <color theme="11"/>
      <name val="Calibri"/>
      <family val="2"/>
      <scheme val="minor"/>
    </font>
    <font>
      <sz val="24"/>
      <color theme="1"/>
      <name val="Calibri"/>
      <family val="2"/>
      <scheme val="minor"/>
    </font>
    <font>
      <sz val="11"/>
      <name val="Calibri"/>
      <family val="2"/>
      <scheme val="minor"/>
    </font>
    <font>
      <b/>
      <sz val="11"/>
      <color theme="1"/>
      <name val="Calibri"/>
      <family val="2"/>
      <scheme val="minor"/>
    </font>
    <font>
      <sz val="9"/>
      <color theme="4" tint="-0.499984740745262"/>
      <name val="Calibri"/>
      <family val="2"/>
      <scheme val="minor"/>
    </font>
    <font>
      <sz val="18"/>
      <name val="Calibri"/>
      <family val="2"/>
      <scheme val="minor"/>
    </font>
    <font>
      <sz val="10"/>
      <name val="Calibri"/>
      <family val="2"/>
      <scheme val="minor"/>
    </font>
    <font>
      <sz val="10"/>
      <color theme="4" tint="-0.499984740745262"/>
      <name val="Calibri"/>
      <family val="2"/>
      <scheme val="minor"/>
    </font>
    <font>
      <b/>
      <sz val="24"/>
      <color theme="2" tint="-0.499984740745262"/>
      <name val="Calibri"/>
      <family val="2"/>
      <scheme val="minor"/>
    </font>
    <font>
      <sz val="12"/>
      <color theme="1"/>
      <name val="Times New Roman"/>
      <family val="1"/>
    </font>
    <font>
      <sz val="9"/>
      <color rgb="FF0081C4"/>
      <name val="Times New Roman"/>
      <family val="1"/>
    </font>
    <font>
      <i/>
      <sz val="9"/>
      <color theme="1"/>
      <name val="Gill Sans MT"/>
      <family val="2"/>
    </font>
    <font>
      <b/>
      <sz val="18"/>
      <color theme="2" tint="-0.499984740745262"/>
      <name val="Calibri"/>
      <family val="2"/>
      <scheme val="minor"/>
    </font>
    <font>
      <u/>
      <sz val="18"/>
      <color theme="10"/>
      <name val="Calibri"/>
      <family val="2"/>
      <scheme val="minor"/>
    </font>
    <font>
      <b/>
      <i/>
      <sz val="24"/>
      <color theme="8" tint="-0.249977111117893"/>
      <name val="Gill Sans MT"/>
      <family val="2"/>
    </font>
  </fonts>
  <fills count="17">
    <fill>
      <patternFill patternType="none"/>
    </fill>
    <fill>
      <patternFill patternType="gray125"/>
    </fill>
    <fill>
      <patternFill patternType="solid">
        <fgColor theme="9"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8BEB5"/>
        <bgColor indexed="64"/>
      </patternFill>
    </fill>
    <fill>
      <patternFill patternType="solid">
        <fgColor rgb="FFFCF4F0"/>
        <bgColor indexed="64"/>
      </patternFill>
    </fill>
    <fill>
      <patternFill patternType="solid">
        <fgColor rgb="FFFFFCF3"/>
        <bgColor indexed="64"/>
      </patternFill>
    </fill>
    <fill>
      <patternFill patternType="solid">
        <fgColor rgb="FFF8FFF3"/>
        <bgColor indexed="64"/>
      </patternFill>
    </fill>
    <fill>
      <patternFill patternType="solid">
        <fgColor rgb="FFF08A53"/>
        <bgColor indexed="64"/>
      </patternFill>
    </fill>
    <fill>
      <patternFill patternType="solid">
        <fgColor rgb="FFFFC742"/>
        <bgColor indexed="64"/>
      </patternFill>
    </fill>
    <fill>
      <patternFill patternType="solid">
        <fgColor rgb="FFFFFF00"/>
        <bgColor indexed="64"/>
      </patternFill>
    </fill>
    <fill>
      <patternFill patternType="solid">
        <fgColor rgb="FFFFBEA9"/>
        <bgColor indexed="64"/>
      </patternFill>
    </fill>
  </fills>
  <borders count="66">
    <border>
      <left/>
      <right/>
      <top/>
      <bottom/>
      <diagonal/>
    </border>
    <border>
      <left/>
      <right/>
      <top style="thin">
        <color auto="1"/>
      </top>
      <bottom style="thin">
        <color auto="1"/>
      </bottom>
      <diagonal/>
    </border>
    <border>
      <left/>
      <right/>
      <top style="thin">
        <color auto="1"/>
      </top>
      <bottom style="double">
        <color auto="1"/>
      </bottom>
      <diagonal/>
    </border>
    <border>
      <left/>
      <right/>
      <top/>
      <bottom style="thin">
        <color auto="1"/>
      </bottom>
      <diagonal/>
    </border>
    <border>
      <left style="thin">
        <color auto="1"/>
      </left>
      <right/>
      <top/>
      <bottom/>
      <diagonal/>
    </border>
    <border>
      <left/>
      <right/>
      <top style="thin">
        <color auto="1"/>
      </top>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auto="1"/>
      </top>
      <bottom style="double">
        <color auto="1"/>
      </bottom>
      <diagonal/>
    </border>
    <border>
      <left style="thin">
        <color theme="0"/>
      </left>
      <right style="thin">
        <color theme="0"/>
      </right>
      <top style="thin">
        <color auto="1"/>
      </top>
      <bottom style="double">
        <color auto="1"/>
      </bottom>
      <diagonal/>
    </border>
    <border>
      <left style="thin">
        <color theme="0"/>
      </left>
      <right/>
      <top style="thin">
        <color auto="1"/>
      </top>
      <bottom style="double">
        <color auto="1"/>
      </bottom>
      <diagonal/>
    </border>
    <border>
      <left style="thin">
        <color theme="0"/>
      </left>
      <right style="thin">
        <color theme="0"/>
      </right>
      <top style="thin">
        <color theme="0"/>
      </top>
      <bottom/>
      <diagonal/>
    </border>
    <border>
      <left style="thin">
        <color theme="0"/>
      </left>
      <right/>
      <top style="thin">
        <color theme="0"/>
      </top>
      <bottom/>
      <diagonal/>
    </border>
    <border>
      <left/>
      <right style="thin">
        <color theme="0"/>
      </right>
      <top style="thin">
        <color theme="0"/>
      </top>
      <bottom/>
      <diagonal/>
    </border>
    <border>
      <left style="thin">
        <color theme="0"/>
      </left>
      <right style="thin">
        <color theme="0"/>
      </right>
      <top style="double">
        <color auto="1"/>
      </top>
      <bottom style="thin">
        <color theme="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double">
        <color auto="1"/>
      </bottom>
      <diagonal/>
    </border>
    <border>
      <left/>
      <right style="thin">
        <color auto="1"/>
      </right>
      <top style="thin">
        <color auto="1"/>
      </top>
      <bottom style="double">
        <color auto="1"/>
      </bottom>
      <diagonal/>
    </border>
    <border>
      <left style="thin">
        <color auto="1"/>
      </left>
      <right/>
      <top/>
      <bottom style="thin">
        <color auto="1"/>
      </bottom>
      <diagonal/>
    </border>
    <border>
      <left/>
      <right style="thin">
        <color auto="1"/>
      </right>
      <top/>
      <bottom style="thin">
        <color auto="1"/>
      </bottom>
      <diagonal/>
    </border>
    <border>
      <left style="thick">
        <color auto="1"/>
      </left>
      <right/>
      <top/>
      <bottom/>
      <diagonal/>
    </border>
    <border>
      <left/>
      <right style="thick">
        <color auto="1"/>
      </right>
      <top/>
      <bottom/>
      <diagonal/>
    </border>
    <border>
      <left style="thick">
        <color theme="0"/>
      </left>
      <right style="thick">
        <color theme="0"/>
      </right>
      <top style="thick">
        <color theme="0"/>
      </top>
      <bottom style="thick">
        <color theme="0"/>
      </bottom>
      <diagonal/>
    </border>
    <border>
      <left style="thick">
        <color theme="0"/>
      </left>
      <right/>
      <top style="thick">
        <color theme="0"/>
      </top>
      <bottom/>
      <diagonal/>
    </border>
    <border>
      <left/>
      <right/>
      <top style="thick">
        <color theme="0"/>
      </top>
      <bottom/>
      <diagonal/>
    </border>
    <border>
      <left style="thick">
        <color theme="0"/>
      </left>
      <right style="thin">
        <color theme="0"/>
      </right>
      <top style="thin">
        <color theme="0"/>
      </top>
      <bottom style="thin">
        <color theme="0"/>
      </bottom>
      <diagonal/>
    </border>
    <border>
      <left style="thin">
        <color theme="0"/>
      </left>
      <right style="thick">
        <color theme="0"/>
      </right>
      <top style="thin">
        <color theme="0"/>
      </top>
      <bottom style="thin">
        <color theme="0"/>
      </bottom>
      <diagonal/>
    </border>
    <border>
      <left style="thick">
        <color theme="0"/>
      </left>
      <right style="thin">
        <color theme="0"/>
      </right>
      <top style="thin">
        <color theme="0"/>
      </top>
      <bottom style="thick">
        <color theme="0"/>
      </bottom>
      <diagonal/>
    </border>
    <border>
      <left style="thin">
        <color theme="0"/>
      </left>
      <right style="thin">
        <color theme="0"/>
      </right>
      <top style="thin">
        <color theme="0"/>
      </top>
      <bottom style="thick">
        <color theme="0"/>
      </bottom>
      <diagonal/>
    </border>
    <border>
      <left style="thick">
        <color theme="0"/>
      </left>
      <right style="thick">
        <color theme="0"/>
      </right>
      <top style="thick">
        <color theme="0"/>
      </top>
      <bottom/>
      <diagonal/>
    </border>
    <border>
      <left style="thick">
        <color theme="0"/>
      </left>
      <right style="thick">
        <color theme="0"/>
      </right>
      <top style="thin">
        <color theme="0"/>
      </top>
      <bottom style="thin">
        <color theme="0"/>
      </bottom>
      <diagonal/>
    </border>
    <border>
      <left style="thick">
        <color theme="0"/>
      </left>
      <right style="thin">
        <color theme="0"/>
      </right>
      <top/>
      <bottom style="thin">
        <color theme="0"/>
      </bottom>
      <diagonal/>
    </border>
    <border>
      <left style="thin">
        <color theme="0"/>
      </left>
      <right style="thin">
        <color theme="0"/>
      </right>
      <top/>
      <bottom style="thin">
        <color theme="0"/>
      </bottom>
      <diagonal/>
    </border>
    <border>
      <left style="thin">
        <color theme="0"/>
      </left>
      <right style="thick">
        <color theme="0"/>
      </right>
      <top/>
      <bottom style="thin">
        <color theme="0"/>
      </bottom>
      <diagonal/>
    </border>
    <border>
      <left style="thick">
        <color theme="0"/>
      </left>
      <right style="thin">
        <color theme="0"/>
      </right>
      <top style="thick">
        <color theme="0"/>
      </top>
      <bottom style="thick">
        <color theme="0"/>
      </bottom>
      <diagonal/>
    </border>
    <border>
      <left style="thin">
        <color theme="0"/>
      </left>
      <right style="thin">
        <color theme="0"/>
      </right>
      <top style="thick">
        <color theme="0"/>
      </top>
      <bottom style="thick">
        <color theme="0"/>
      </bottom>
      <diagonal/>
    </border>
    <border>
      <left style="thin">
        <color theme="0"/>
      </left>
      <right style="thick">
        <color theme="0"/>
      </right>
      <top style="thick">
        <color theme="0"/>
      </top>
      <bottom style="thick">
        <color theme="0"/>
      </bottom>
      <diagonal/>
    </border>
    <border>
      <left style="thick">
        <color theme="0"/>
      </left>
      <right style="thick">
        <color theme="0"/>
      </right>
      <top style="thick">
        <color theme="0"/>
      </top>
      <bottom style="thin">
        <color theme="0"/>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thick">
        <color theme="0"/>
      </left>
      <right style="thick">
        <color auto="1"/>
      </right>
      <top style="thick">
        <color theme="0"/>
      </top>
      <bottom style="thick">
        <color theme="0"/>
      </bottom>
      <diagonal/>
    </border>
    <border>
      <left style="thick">
        <color theme="0"/>
      </left>
      <right/>
      <top/>
      <bottom style="thick">
        <color theme="0"/>
      </bottom>
      <diagonal/>
    </border>
    <border>
      <left/>
      <right/>
      <top style="thick">
        <color theme="0"/>
      </top>
      <bottom style="thick">
        <color theme="0"/>
      </bottom>
      <diagonal/>
    </border>
    <border>
      <left style="thin">
        <color theme="0"/>
      </left>
      <right style="thick">
        <color theme="0"/>
      </right>
      <top style="thick">
        <color theme="0"/>
      </top>
      <bottom style="thin">
        <color theme="0"/>
      </bottom>
      <diagonal/>
    </border>
    <border>
      <left style="thin">
        <color theme="0"/>
      </left>
      <right style="thin">
        <color theme="0"/>
      </right>
      <top/>
      <bottom style="double">
        <color auto="1"/>
      </bottom>
      <diagonal/>
    </border>
    <border>
      <left/>
      <right style="thick">
        <color theme="0"/>
      </right>
      <top style="thin">
        <color theme="0"/>
      </top>
      <bottom style="thin">
        <color theme="0"/>
      </bottom>
      <diagonal/>
    </border>
    <border>
      <left/>
      <right/>
      <top/>
      <bottom style="thick">
        <color theme="0"/>
      </bottom>
      <diagonal/>
    </border>
    <border>
      <left/>
      <right style="thick">
        <color theme="0"/>
      </right>
      <top style="thick">
        <color theme="0"/>
      </top>
      <bottom style="thin">
        <color theme="0"/>
      </bottom>
      <diagonal/>
    </border>
    <border>
      <left style="thin">
        <color theme="0"/>
      </left>
      <right style="thin">
        <color theme="0"/>
      </right>
      <top style="thick">
        <color theme="0"/>
      </top>
      <bottom style="thin">
        <color theme="0"/>
      </bottom>
      <diagonal/>
    </border>
    <border>
      <left/>
      <right/>
      <top/>
      <bottom style="medium">
        <color auto="1"/>
      </bottom>
      <diagonal/>
    </border>
    <border>
      <left/>
      <right/>
      <top style="medium">
        <color auto="1"/>
      </top>
      <bottom style="thin">
        <color auto="1"/>
      </bottom>
      <diagonal/>
    </border>
    <border>
      <left style="thick">
        <color theme="0"/>
      </left>
      <right/>
      <top style="thin">
        <color theme="0"/>
      </top>
      <bottom style="thin">
        <color theme="0"/>
      </bottom>
      <diagonal/>
    </border>
    <border>
      <left style="thin">
        <color theme="0"/>
      </left>
      <right/>
      <top/>
      <bottom style="thin">
        <color theme="0"/>
      </bottom>
      <diagonal/>
    </border>
    <border>
      <left style="thin">
        <color theme="1"/>
      </left>
      <right style="thin">
        <color theme="1"/>
      </right>
      <top/>
      <bottom style="thick">
        <color theme="0"/>
      </bottom>
      <diagonal/>
    </border>
    <border>
      <left style="thin">
        <color theme="1"/>
      </left>
      <right/>
      <top/>
      <bottom style="thick">
        <color theme="0"/>
      </bottom>
      <diagonal/>
    </border>
    <border>
      <left/>
      <right style="thick">
        <color theme="0"/>
      </right>
      <top style="thin">
        <color theme="1"/>
      </top>
      <bottom style="thin">
        <color theme="1"/>
      </bottom>
      <diagonal/>
    </border>
    <border>
      <left/>
      <right style="thick">
        <color theme="0"/>
      </right>
      <top style="thin">
        <color theme="1"/>
      </top>
      <bottom/>
      <diagonal/>
    </border>
    <border>
      <left style="medium">
        <color auto="1"/>
      </left>
      <right style="medium">
        <color auto="1"/>
      </right>
      <top style="medium">
        <color auto="1"/>
      </top>
      <bottom style="medium">
        <color auto="1"/>
      </bottom>
      <diagonal/>
    </border>
    <border>
      <left/>
      <right/>
      <top/>
      <bottom style="thin">
        <color theme="1"/>
      </bottom>
      <diagonal/>
    </border>
    <border>
      <left/>
      <right style="thin">
        <color theme="1"/>
      </right>
      <top/>
      <bottom/>
      <diagonal/>
    </border>
    <border>
      <left style="thick">
        <color theme="0"/>
      </left>
      <right/>
      <top/>
      <bottom style="thin">
        <color theme="0"/>
      </bottom>
      <diagonal/>
    </border>
    <border>
      <left/>
      <right style="thin">
        <color theme="0"/>
      </right>
      <top style="thick">
        <color theme="0"/>
      </top>
      <bottom/>
      <diagonal/>
    </border>
    <border>
      <left style="thin">
        <color theme="0"/>
      </left>
      <right/>
      <top/>
      <bottom style="thick">
        <color theme="0"/>
      </bottom>
      <diagonal/>
    </border>
    <border>
      <left/>
      <right style="thick">
        <color theme="0"/>
      </right>
      <top style="thin">
        <color theme="0"/>
      </top>
      <bottom/>
      <diagonal/>
    </border>
  </borders>
  <cellStyleXfs count="27">
    <xf numFmtId="0" fontId="0" fillId="0" borderId="0"/>
    <xf numFmtId="9" fontId="5" fillId="0" borderId="0" applyFont="0" applyFill="0" applyBorder="0" applyAlignment="0" applyProtection="0"/>
    <xf numFmtId="0" fontId="23" fillId="0" borderId="0" applyNumberFormat="0" applyFill="0" applyBorder="0" applyAlignment="0" applyProtection="0"/>
    <xf numFmtId="44" fontId="4" fillId="0" borderId="0" applyFon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164" fontId="3" fillId="0" borderId="0" applyFont="0" applyFill="0" applyBorder="0" applyAlignment="0" applyProtection="0"/>
    <xf numFmtId="9" fontId="3" fillId="0" borderId="0" applyFont="0" applyFill="0" applyBorder="0" applyAlignment="0" applyProtection="0"/>
    <xf numFmtId="44" fontId="3" fillId="0" borderId="0" applyFont="0" applyFill="0" applyBorder="0" applyAlignment="0" applyProtection="0"/>
  </cellStyleXfs>
  <cellXfs count="335">
    <xf numFmtId="0" fontId="0" fillId="0" borderId="0" xfId="0"/>
    <xf numFmtId="0" fontId="0" fillId="0" borderId="0" xfId="0" applyAlignment="1">
      <alignment horizontal="center"/>
    </xf>
    <xf numFmtId="0" fontId="6" fillId="0" borderId="1" xfId="0" applyFont="1" applyBorder="1" applyAlignment="1">
      <alignment vertical="center" wrapText="1"/>
    </xf>
    <xf numFmtId="0" fontId="6" fillId="0" borderId="3" xfId="0" applyFont="1" applyBorder="1" applyAlignment="1">
      <alignment vertical="center" wrapText="1"/>
    </xf>
    <xf numFmtId="0" fontId="0" fillId="0" borderId="1" xfId="0" applyBorder="1"/>
    <xf numFmtId="12" fontId="10" fillId="0" borderId="0" xfId="0" applyNumberFormat="1" applyFont="1" applyAlignment="1">
      <alignment horizontal="center" vertical="center"/>
    </xf>
    <xf numFmtId="167" fontId="0" fillId="0" borderId="0" xfId="1" applyNumberFormat="1" applyFont="1" applyAlignment="1">
      <alignment horizontal="right" vertical="center"/>
    </xf>
    <xf numFmtId="0" fontId="0" fillId="0" borderId="0" xfId="0" applyBorder="1"/>
    <xf numFmtId="0" fontId="7" fillId="0" borderId="0" xfId="0" applyFont="1"/>
    <xf numFmtId="0" fontId="6" fillId="0" borderId="0" xfId="0" applyFont="1" applyAlignment="1">
      <alignment horizontal="right"/>
    </xf>
    <xf numFmtId="0" fontId="6" fillId="0" borderId="0" xfId="0" applyFont="1" applyBorder="1" applyAlignment="1">
      <alignment vertical="center" wrapText="1"/>
    </xf>
    <xf numFmtId="0" fontId="11" fillId="0" borderId="0" xfId="0" applyFont="1" applyBorder="1" applyAlignment="1">
      <alignment horizontal="center" vertical="center"/>
    </xf>
    <xf numFmtId="0" fontId="11" fillId="0" borderId="0" xfId="0" applyFont="1" applyFill="1" applyBorder="1" applyAlignment="1">
      <alignment horizontal="center" vertical="center"/>
    </xf>
    <xf numFmtId="0" fontId="13" fillId="0" borderId="0" xfId="0" applyFont="1"/>
    <xf numFmtId="49" fontId="12" fillId="0" borderId="3" xfId="0" applyNumberFormat="1" applyFont="1" applyFill="1" applyBorder="1" applyAlignment="1">
      <alignment horizontal="right" wrapText="1"/>
    </xf>
    <xf numFmtId="0" fontId="0" fillId="0" borderId="0" xfId="0" applyAlignment="1">
      <alignment vertical="top"/>
    </xf>
    <xf numFmtId="0" fontId="0" fillId="5" borderId="6" xfId="0" applyFont="1" applyFill="1" applyBorder="1"/>
    <xf numFmtId="0" fontId="0" fillId="2" borderId="7" xfId="0" applyFont="1" applyFill="1" applyBorder="1"/>
    <xf numFmtId="168" fontId="0" fillId="4" borderId="7" xfId="0" applyNumberFormat="1" applyFont="1" applyFill="1" applyBorder="1" applyAlignment="1">
      <alignment horizontal="center"/>
    </xf>
    <xf numFmtId="168" fontId="0" fillId="4" borderId="12" xfId="0" applyNumberFormat="1" applyFont="1" applyFill="1" applyBorder="1" applyAlignment="1">
      <alignment horizontal="center"/>
    </xf>
    <xf numFmtId="0" fontId="0" fillId="5" borderId="14" xfId="0" applyFont="1" applyFill="1" applyBorder="1"/>
    <xf numFmtId="0" fontId="0" fillId="2" borderId="12" xfId="0" applyFont="1" applyFill="1" applyBorder="1"/>
    <xf numFmtId="168" fontId="0" fillId="0" borderId="0" xfId="0" applyNumberFormat="1"/>
    <xf numFmtId="166" fontId="0" fillId="0" borderId="0" xfId="0" applyNumberFormat="1" applyAlignment="1">
      <alignment horizontal="center"/>
    </xf>
    <xf numFmtId="166" fontId="0" fillId="6" borderId="15" xfId="0" applyNumberFormat="1" applyFill="1" applyBorder="1" applyAlignment="1">
      <alignment horizontal="center"/>
    </xf>
    <xf numFmtId="166" fontId="0" fillId="7" borderId="15" xfId="0" applyNumberFormat="1" applyFill="1" applyBorder="1" applyAlignment="1">
      <alignment horizontal="center"/>
    </xf>
    <xf numFmtId="165" fontId="0" fillId="8" borderId="15" xfId="0" applyNumberFormat="1" applyFill="1" applyBorder="1" applyAlignment="1">
      <alignment horizontal="center"/>
    </xf>
    <xf numFmtId="166" fontId="0" fillId="6" borderId="7" xfId="0" applyNumberFormat="1" applyFill="1" applyBorder="1" applyAlignment="1">
      <alignment horizontal="center"/>
    </xf>
    <xf numFmtId="166" fontId="0" fillId="7" borderId="7" xfId="0" applyNumberFormat="1" applyFill="1" applyBorder="1" applyAlignment="1">
      <alignment horizontal="center"/>
    </xf>
    <xf numFmtId="165" fontId="0" fillId="8" borderId="7" xfId="0" applyNumberFormat="1" applyFill="1" applyBorder="1" applyAlignment="1">
      <alignment horizontal="center"/>
    </xf>
    <xf numFmtId="0" fontId="0" fillId="0" borderId="5" xfId="0" applyBorder="1"/>
    <xf numFmtId="49" fontId="12" fillId="10" borderId="18" xfId="0" applyNumberFormat="1" applyFont="1" applyFill="1" applyBorder="1" applyAlignment="1">
      <alignment horizontal="center" vertical="center" wrapText="1"/>
    </xf>
    <xf numFmtId="49" fontId="12" fillId="10" borderId="2" xfId="0" applyNumberFormat="1" applyFont="1" applyFill="1" applyBorder="1" applyAlignment="1">
      <alignment horizontal="center" vertical="center" wrapText="1"/>
    </xf>
    <xf numFmtId="49" fontId="12" fillId="10" borderId="19" xfId="0" applyNumberFormat="1" applyFont="1" applyFill="1" applyBorder="1" applyAlignment="1">
      <alignment horizontal="center" vertical="center" wrapText="1"/>
    </xf>
    <xf numFmtId="0" fontId="11" fillId="10" borderId="20" xfId="0" applyFont="1" applyFill="1" applyBorder="1" applyAlignment="1" applyProtection="1">
      <alignment horizontal="center" vertical="center"/>
      <protection locked="0"/>
    </xf>
    <xf numFmtId="0" fontId="11" fillId="10" borderId="3" xfId="0" applyFont="1" applyFill="1" applyBorder="1" applyAlignment="1" applyProtection="1">
      <alignment horizontal="center" vertical="center"/>
      <protection locked="0"/>
    </xf>
    <xf numFmtId="0" fontId="11" fillId="10" borderId="21" xfId="0" applyFont="1" applyFill="1" applyBorder="1" applyAlignment="1" applyProtection="1">
      <alignment horizontal="center" vertical="center"/>
      <protection locked="0"/>
    </xf>
    <xf numFmtId="0" fontId="11" fillId="10" borderId="16" xfId="0" applyFont="1" applyFill="1" applyBorder="1" applyAlignment="1" applyProtection="1">
      <alignment horizontal="center" vertical="center"/>
      <protection locked="0"/>
    </xf>
    <xf numFmtId="0" fontId="11" fillId="10" borderId="1" xfId="0" applyFont="1" applyFill="1" applyBorder="1" applyAlignment="1" applyProtection="1">
      <alignment horizontal="center" vertical="center"/>
      <protection locked="0"/>
    </xf>
    <xf numFmtId="0" fontId="11" fillId="10" borderId="17" xfId="0" applyFont="1" applyFill="1" applyBorder="1" applyAlignment="1" applyProtection="1">
      <alignment horizontal="center" vertical="center"/>
      <protection locked="0"/>
    </xf>
    <xf numFmtId="0" fontId="9" fillId="11" borderId="5" xfId="0" applyFont="1" applyFill="1" applyBorder="1" applyAlignment="1">
      <alignment horizontal="center"/>
    </xf>
    <xf numFmtId="49" fontId="12" fillId="11" borderId="2" xfId="0" applyNumberFormat="1" applyFont="1" applyFill="1" applyBorder="1" applyAlignment="1">
      <alignment horizontal="center" vertical="center" wrapText="1"/>
    </xf>
    <xf numFmtId="0" fontId="11" fillId="11" borderId="3" xfId="0" applyFont="1" applyFill="1" applyBorder="1" applyAlignment="1" applyProtection="1">
      <alignment horizontal="center" vertical="center"/>
      <protection locked="0"/>
    </xf>
    <xf numFmtId="0" fontId="11" fillId="11" borderId="1" xfId="0" applyFont="1" applyFill="1" applyBorder="1" applyAlignment="1" applyProtection="1">
      <alignment horizontal="center" vertical="center"/>
      <protection locked="0"/>
    </xf>
    <xf numFmtId="49" fontId="12" fillId="12" borderId="18" xfId="0" applyNumberFormat="1" applyFont="1" applyFill="1" applyBorder="1" applyAlignment="1">
      <alignment horizontal="center" vertical="center" wrapText="1"/>
    </xf>
    <xf numFmtId="49" fontId="12" fillId="12" borderId="2" xfId="0" applyNumberFormat="1" applyFont="1" applyFill="1" applyBorder="1" applyAlignment="1">
      <alignment horizontal="center" vertical="center" wrapText="1"/>
    </xf>
    <xf numFmtId="49" fontId="12" fillId="12" borderId="19" xfId="0" applyNumberFormat="1" applyFont="1" applyFill="1" applyBorder="1" applyAlignment="1">
      <alignment horizontal="center" vertical="center" wrapText="1"/>
    </xf>
    <xf numFmtId="0" fontId="11" fillId="12" borderId="20" xfId="0" applyFont="1" applyFill="1" applyBorder="1" applyAlignment="1" applyProtection="1">
      <alignment horizontal="center" vertical="center"/>
      <protection locked="0"/>
    </xf>
    <xf numFmtId="0" fontId="11" fillId="12" borderId="3" xfId="0" applyFont="1" applyFill="1" applyBorder="1" applyAlignment="1" applyProtection="1">
      <alignment horizontal="center" vertical="center"/>
      <protection locked="0"/>
    </xf>
    <xf numFmtId="0" fontId="11" fillId="12" borderId="21" xfId="0" applyFont="1" applyFill="1" applyBorder="1" applyAlignment="1" applyProtection="1">
      <alignment horizontal="center" vertical="center"/>
      <protection locked="0"/>
    </xf>
    <xf numFmtId="0" fontId="11" fillId="12" borderId="16" xfId="0" applyFont="1" applyFill="1" applyBorder="1" applyAlignment="1" applyProtection="1">
      <alignment horizontal="center" vertical="center"/>
      <protection locked="0"/>
    </xf>
    <xf numFmtId="0" fontId="11" fillId="12" borderId="1" xfId="0" applyFont="1" applyFill="1" applyBorder="1" applyAlignment="1" applyProtection="1">
      <alignment horizontal="center" vertical="center"/>
      <protection locked="0"/>
    </xf>
    <xf numFmtId="0" fontId="11" fillId="12" borderId="17" xfId="0" applyFont="1" applyFill="1" applyBorder="1" applyAlignment="1" applyProtection="1">
      <alignment horizontal="center" vertical="center"/>
      <protection locked="0"/>
    </xf>
    <xf numFmtId="0" fontId="8" fillId="14" borderId="2" xfId="0" applyFont="1" applyFill="1" applyBorder="1" applyAlignment="1">
      <alignment horizontal="center" vertical="center"/>
    </xf>
    <xf numFmtId="0" fontId="0" fillId="0" borderId="0" xfId="0" applyFont="1"/>
    <xf numFmtId="0" fontId="0" fillId="0" borderId="0" xfId="0" applyFont="1" applyAlignment="1">
      <alignment horizontal="center" vertical="center"/>
    </xf>
    <xf numFmtId="165" fontId="0" fillId="0" borderId="0" xfId="0" applyNumberFormat="1" applyFont="1"/>
    <xf numFmtId="0" fontId="0" fillId="0" borderId="0" xfId="0" applyFont="1" applyFill="1" applyBorder="1" applyAlignment="1">
      <alignment horizontal="left"/>
    </xf>
    <xf numFmtId="0" fontId="0" fillId="0" borderId="0" xfId="0" applyFont="1" applyAlignment="1">
      <alignment vertical="top"/>
    </xf>
    <xf numFmtId="0" fontId="6" fillId="14" borderId="0" xfId="0" applyFont="1" applyFill="1" applyAlignment="1">
      <alignment horizontal="center" vertical="center"/>
    </xf>
    <xf numFmtId="0" fontId="0" fillId="0" borderId="0" xfId="0" applyFont="1" applyBorder="1" applyAlignment="1">
      <alignment horizontal="center" vertical="center" wrapText="1"/>
    </xf>
    <xf numFmtId="0" fontId="0" fillId="0" borderId="0" xfId="0" applyFont="1" applyAlignment="1">
      <alignment horizontal="center" vertical="center" wrapText="1"/>
    </xf>
    <xf numFmtId="0" fontId="0" fillId="0" borderId="0" xfId="0" applyFont="1" applyBorder="1"/>
    <xf numFmtId="0" fontId="16" fillId="4" borderId="0" xfId="0" applyFont="1" applyFill="1" applyBorder="1" applyAlignment="1">
      <alignment horizontal="center" vertical="center" wrapText="1"/>
    </xf>
    <xf numFmtId="0" fontId="0" fillId="0" borderId="0" xfId="0" applyFont="1" applyAlignment="1">
      <alignment vertical="center"/>
    </xf>
    <xf numFmtId="167" fontId="6" fillId="0" borderId="0" xfId="1" applyNumberFormat="1" applyFont="1" applyAlignment="1">
      <alignment horizontal="left"/>
    </xf>
    <xf numFmtId="0" fontId="17" fillId="0" borderId="0" xfId="0" applyFont="1"/>
    <xf numFmtId="0" fontId="18" fillId="0" borderId="0" xfId="0" applyFont="1"/>
    <xf numFmtId="0" fontId="6" fillId="13" borderId="2" xfId="0" applyFont="1" applyFill="1" applyBorder="1" applyAlignment="1">
      <alignment horizontal="center" vertical="center"/>
    </xf>
    <xf numFmtId="49" fontId="19" fillId="10" borderId="18" xfId="0" applyNumberFormat="1" applyFont="1" applyFill="1" applyBorder="1" applyAlignment="1">
      <alignment horizontal="center" vertical="center" wrapText="1"/>
    </xf>
    <xf numFmtId="49" fontId="19" fillId="10" borderId="2" xfId="0" applyNumberFormat="1" applyFont="1" applyFill="1" applyBorder="1" applyAlignment="1">
      <alignment horizontal="center" vertical="center" wrapText="1"/>
    </xf>
    <xf numFmtId="49" fontId="19" fillId="10" borderId="19" xfId="0" applyNumberFormat="1" applyFont="1" applyFill="1" applyBorder="1" applyAlignment="1">
      <alignment horizontal="center" vertical="center" wrapText="1"/>
    </xf>
    <xf numFmtId="49" fontId="19" fillId="11" borderId="2" xfId="0" applyNumberFormat="1" applyFont="1" applyFill="1" applyBorder="1" applyAlignment="1">
      <alignment horizontal="center" vertical="center" wrapText="1"/>
    </xf>
    <xf numFmtId="49" fontId="19" fillId="12" borderId="18" xfId="0" applyNumberFormat="1" applyFont="1" applyFill="1" applyBorder="1" applyAlignment="1">
      <alignment horizontal="center" vertical="center" wrapText="1"/>
    </xf>
    <xf numFmtId="49" fontId="19" fillId="12" borderId="2" xfId="0" applyNumberFormat="1" applyFont="1" applyFill="1" applyBorder="1" applyAlignment="1">
      <alignment horizontal="center" vertical="center" wrapText="1"/>
    </xf>
    <xf numFmtId="49" fontId="19" fillId="12" borderId="19" xfId="0" applyNumberFormat="1" applyFont="1" applyFill="1" applyBorder="1" applyAlignment="1">
      <alignment horizontal="center" vertical="center" wrapText="1"/>
    </xf>
    <xf numFmtId="0" fontId="20" fillId="11" borderId="5" xfId="0" applyFont="1" applyFill="1" applyBorder="1" applyAlignment="1">
      <alignment horizontal="center"/>
    </xf>
    <xf numFmtId="12" fontId="0" fillId="0" borderId="0" xfId="0" applyNumberFormat="1" applyFont="1" applyAlignment="1">
      <alignment horizontal="center" vertical="center"/>
    </xf>
    <xf numFmtId="0" fontId="0" fillId="4" borderId="0" xfId="0" applyFont="1" applyFill="1" applyAlignment="1">
      <alignment horizontal="center" vertical="center" wrapText="1"/>
    </xf>
    <xf numFmtId="0" fontId="0" fillId="4" borderId="4" xfId="0" applyFont="1" applyFill="1" applyBorder="1" applyAlignment="1">
      <alignment horizontal="center" vertical="center" wrapText="1"/>
    </xf>
    <xf numFmtId="0" fontId="0" fillId="4" borderId="3" xfId="0" applyFont="1" applyFill="1" applyBorder="1" applyAlignment="1">
      <alignment horizontal="center" vertical="center" wrapText="1"/>
    </xf>
    <xf numFmtId="0" fontId="0" fillId="4" borderId="0" xfId="0" applyFont="1" applyFill="1" applyBorder="1" applyAlignment="1">
      <alignment horizontal="center" vertical="center" wrapText="1"/>
    </xf>
    <xf numFmtId="0" fontId="24" fillId="0" borderId="0" xfId="2" applyFont="1" applyAlignment="1">
      <alignment horizontal="center"/>
    </xf>
    <xf numFmtId="0" fontId="12" fillId="0" borderId="0" xfId="0" applyFont="1"/>
    <xf numFmtId="0" fontId="0" fillId="0" borderId="0" xfId="0" applyFill="1"/>
    <xf numFmtId="0" fontId="7" fillId="0" borderId="0" xfId="0" applyFont="1" applyBorder="1"/>
    <xf numFmtId="0" fontId="7" fillId="0" borderId="0" xfId="0" applyFont="1" applyFill="1" applyBorder="1"/>
    <xf numFmtId="12" fontId="10" fillId="0" borderId="22" xfId="0" applyNumberFormat="1" applyFont="1" applyBorder="1" applyAlignment="1">
      <alignment horizontal="center" vertical="center"/>
    </xf>
    <xf numFmtId="12" fontId="10" fillId="0" borderId="23" xfId="0" applyNumberFormat="1" applyFont="1" applyBorder="1" applyAlignment="1">
      <alignment horizontal="center" vertical="center"/>
    </xf>
    <xf numFmtId="0" fontId="8" fillId="0" borderId="3" xfId="0" applyFont="1" applyBorder="1"/>
    <xf numFmtId="0" fontId="0" fillId="0" borderId="3" xfId="0" applyBorder="1"/>
    <xf numFmtId="9" fontId="0" fillId="0" borderId="0" xfId="1" applyFont="1"/>
    <xf numFmtId="165" fontId="0" fillId="0" borderId="0" xfId="0" applyNumberFormat="1" applyFont="1" applyAlignment="1">
      <alignment vertical="center"/>
    </xf>
    <xf numFmtId="0" fontId="0" fillId="0" borderId="1" xfId="0" applyFont="1" applyBorder="1"/>
    <xf numFmtId="0" fontId="0" fillId="0" borderId="5" xfId="0" applyFont="1" applyBorder="1"/>
    <xf numFmtId="0" fontId="25" fillId="0" borderId="0" xfId="0" applyFont="1" applyAlignment="1">
      <alignment horizontal="center" vertical="center" wrapText="1"/>
    </xf>
    <xf numFmtId="0" fontId="8" fillId="14" borderId="2" xfId="0" applyFont="1" applyFill="1" applyBorder="1" applyAlignment="1">
      <alignment horizontal="center" vertical="center" wrapText="1"/>
    </xf>
    <xf numFmtId="172" fontId="0" fillId="0" borderId="0" xfId="0" applyNumberFormat="1" applyAlignment="1">
      <alignment horizontal="center"/>
    </xf>
    <xf numFmtId="170" fontId="0" fillId="4" borderId="27" xfId="0" applyNumberFormat="1" applyFont="1" applyFill="1" applyBorder="1" applyAlignment="1" applyProtection="1">
      <alignment horizontal="right" indent="2"/>
    </xf>
    <xf numFmtId="170" fontId="0" fillId="4" borderId="33" xfId="0" applyNumberFormat="1" applyFont="1" applyFill="1" applyBorder="1" applyAlignment="1" applyProtection="1">
      <alignment horizontal="right" indent="2"/>
    </xf>
    <xf numFmtId="0" fontId="14" fillId="5" borderId="24" xfId="0" applyFont="1" applyFill="1" applyBorder="1" applyAlignment="1" applyProtection="1">
      <alignment horizontal="center" vertical="center" wrapText="1"/>
    </xf>
    <xf numFmtId="0" fontId="14" fillId="2" borderId="24" xfId="0" applyFont="1" applyFill="1" applyBorder="1" applyAlignment="1" applyProtection="1">
      <alignment horizontal="center" vertical="center" wrapText="1"/>
    </xf>
    <xf numFmtId="0" fontId="15" fillId="6" borderId="24" xfId="0" applyFont="1" applyFill="1" applyBorder="1" applyAlignment="1" applyProtection="1">
      <alignment horizontal="center" vertical="center" wrapText="1"/>
    </xf>
    <xf numFmtId="0" fontId="0" fillId="5" borderId="39" xfId="0" applyFont="1" applyFill="1" applyBorder="1" applyProtection="1"/>
    <xf numFmtId="0" fontId="0" fillId="5" borderId="32" xfId="0" applyFont="1" applyFill="1" applyBorder="1" applyProtection="1"/>
    <xf numFmtId="0" fontId="0" fillId="2" borderId="39" xfId="0" applyFont="1" applyFill="1" applyBorder="1" applyProtection="1"/>
    <xf numFmtId="0" fontId="0" fillId="2" borderId="32" xfId="0" applyFont="1" applyFill="1" applyBorder="1" applyProtection="1"/>
    <xf numFmtId="165" fontId="0" fillId="6" borderId="39" xfId="0" applyNumberFormat="1" applyFill="1" applyBorder="1" applyAlignment="1" applyProtection="1">
      <alignment horizontal="center"/>
    </xf>
    <xf numFmtId="165" fontId="0" fillId="6" borderId="32" xfId="0" applyNumberFormat="1" applyFill="1" applyBorder="1" applyAlignment="1" applyProtection="1">
      <alignment horizontal="center"/>
    </xf>
    <xf numFmtId="166" fontId="0" fillId="7" borderId="39" xfId="0" applyNumberFormat="1" applyFill="1" applyBorder="1" applyAlignment="1" applyProtection="1">
      <alignment horizontal="center"/>
    </xf>
    <xf numFmtId="166" fontId="0" fillId="7" borderId="32" xfId="0" applyNumberFormat="1" applyFill="1" applyBorder="1" applyAlignment="1" applyProtection="1">
      <alignment horizontal="center"/>
    </xf>
    <xf numFmtId="165" fontId="0" fillId="7" borderId="39" xfId="0" applyNumberFormat="1" applyFill="1" applyBorder="1" applyAlignment="1" applyProtection="1">
      <alignment horizontal="center"/>
    </xf>
    <xf numFmtId="165" fontId="0" fillId="7" borderId="32" xfId="0" applyNumberFormat="1" applyFill="1" applyBorder="1" applyAlignment="1" applyProtection="1">
      <alignment horizontal="center"/>
    </xf>
    <xf numFmtId="0" fontId="16" fillId="14" borderId="24" xfId="0" applyFont="1" applyFill="1" applyBorder="1" applyAlignment="1">
      <alignment horizontal="center" vertical="center" wrapText="1"/>
    </xf>
    <xf numFmtId="0" fontId="16" fillId="14" borderId="42" xfId="0" applyFont="1" applyFill="1" applyBorder="1" applyAlignment="1">
      <alignment horizontal="center" vertical="center" wrapText="1"/>
    </xf>
    <xf numFmtId="49" fontId="12" fillId="0" borderId="0" xfId="0" applyNumberFormat="1" applyFont="1" applyFill="1" applyBorder="1" applyAlignment="1">
      <alignment horizontal="right" wrapText="1"/>
    </xf>
    <xf numFmtId="0" fontId="6" fillId="14" borderId="40" xfId="0" applyFont="1" applyFill="1" applyBorder="1" applyAlignment="1">
      <alignment horizontal="center" vertical="center"/>
    </xf>
    <xf numFmtId="0" fontId="16" fillId="4" borderId="40" xfId="0" applyFont="1" applyFill="1" applyBorder="1" applyAlignment="1">
      <alignment horizontal="center" vertical="center" wrapText="1"/>
    </xf>
    <xf numFmtId="0" fontId="16" fillId="4" borderId="24" xfId="0" applyFont="1" applyFill="1" applyBorder="1" applyAlignment="1">
      <alignment horizontal="center" vertical="center" wrapText="1"/>
    </xf>
    <xf numFmtId="0" fontId="16" fillId="4" borderId="43" xfId="0" applyFont="1" applyFill="1" applyBorder="1" applyAlignment="1">
      <alignment horizontal="center" vertical="center" wrapText="1"/>
    </xf>
    <xf numFmtId="0" fontId="6" fillId="14" borderId="24" xfId="0" applyFont="1" applyFill="1" applyBorder="1" applyAlignment="1">
      <alignment horizontal="center" vertical="center" wrapText="1"/>
    </xf>
    <xf numFmtId="0" fontId="27" fillId="6" borderId="41" xfId="0" applyFont="1" applyFill="1" applyBorder="1" applyAlignment="1">
      <alignment vertical="center" wrapText="1"/>
    </xf>
    <xf numFmtId="0" fontId="27" fillId="6" borderId="40" xfId="0" applyFont="1" applyFill="1" applyBorder="1" applyAlignment="1">
      <alignment vertical="center" wrapText="1"/>
    </xf>
    <xf numFmtId="0" fontId="21" fillId="0" borderId="0" xfId="0" applyFont="1" applyAlignment="1">
      <alignment vertical="center"/>
    </xf>
    <xf numFmtId="0" fontId="14" fillId="16" borderId="24" xfId="0" applyFont="1" applyFill="1" applyBorder="1" applyAlignment="1" applyProtection="1">
      <alignment horizontal="center" vertical="center" wrapText="1"/>
    </xf>
    <xf numFmtId="165" fontId="6" fillId="16" borderId="39" xfId="0" applyNumberFormat="1" applyFont="1" applyFill="1" applyBorder="1" applyAlignment="1" applyProtection="1">
      <alignment horizontal="center" vertical="center"/>
    </xf>
    <xf numFmtId="165" fontId="6" fillId="16" borderId="32" xfId="0" applyNumberFormat="1" applyFont="1" applyFill="1" applyBorder="1" applyAlignment="1" applyProtection="1">
      <alignment horizontal="center" vertical="center"/>
    </xf>
    <xf numFmtId="0" fontId="8" fillId="16" borderId="2" xfId="0" applyFont="1" applyFill="1" applyBorder="1" applyAlignment="1">
      <alignment horizontal="center" vertical="center"/>
    </xf>
    <xf numFmtId="0" fontId="6" fillId="16" borderId="41" xfId="0" applyFont="1" applyFill="1" applyBorder="1" applyAlignment="1">
      <alignment horizontal="center" vertical="center"/>
    </xf>
    <xf numFmtId="0" fontId="7" fillId="0" borderId="0" xfId="0" applyFont="1" applyAlignment="1">
      <alignment horizontal="center" vertical="center"/>
    </xf>
    <xf numFmtId="171" fontId="7" fillId="0" borderId="0" xfId="0" applyNumberFormat="1" applyFont="1" applyAlignment="1">
      <alignment horizontal="center"/>
    </xf>
    <xf numFmtId="165" fontId="7" fillId="0" borderId="0" xfId="0" applyNumberFormat="1" applyFont="1"/>
    <xf numFmtId="165" fontId="7" fillId="0" borderId="0" xfId="0" applyNumberFormat="1" applyFont="1" applyAlignment="1">
      <alignment vertical="center"/>
    </xf>
    <xf numFmtId="0" fontId="7" fillId="0" borderId="0" xfId="0" applyFont="1" applyAlignment="1">
      <alignment horizontal="center" vertical="center" wrapText="1"/>
    </xf>
    <xf numFmtId="0" fontId="7" fillId="0" borderId="0" xfId="0" applyNumberFormat="1" applyFont="1"/>
    <xf numFmtId="9" fontId="7" fillId="0" borderId="0" xfId="0" applyNumberFormat="1" applyFont="1"/>
    <xf numFmtId="0" fontId="14" fillId="3" borderId="41" xfId="0" applyFont="1" applyFill="1" applyBorder="1" applyAlignment="1" applyProtection="1">
      <alignment horizontal="center" vertical="center" wrapText="1"/>
    </xf>
    <xf numFmtId="169" fontId="0" fillId="3" borderId="49" xfId="3" applyNumberFormat="1" applyFont="1" applyFill="1" applyBorder="1" applyAlignment="1" applyProtection="1">
      <alignment horizontal="left"/>
    </xf>
    <xf numFmtId="169" fontId="0" fillId="3" borderId="47" xfId="3" applyNumberFormat="1" applyFont="1" applyFill="1" applyBorder="1" applyAlignment="1" applyProtection="1">
      <alignment horizontal="left"/>
    </xf>
    <xf numFmtId="168" fontId="0" fillId="4" borderId="35" xfId="0" applyNumberFormat="1" applyFont="1" applyFill="1" applyBorder="1" applyAlignment="1" applyProtection="1">
      <alignment horizontal="center"/>
    </xf>
    <xf numFmtId="168" fontId="0" fillId="4" borderId="28" xfId="0" applyNumberFormat="1" applyFont="1" applyFill="1" applyBorder="1" applyAlignment="1" applyProtection="1">
      <alignment horizontal="center"/>
    </xf>
    <xf numFmtId="0" fontId="14" fillId="4" borderId="36" xfId="0" applyFont="1" applyFill="1" applyBorder="1" applyAlignment="1" applyProtection="1">
      <alignment horizontal="center" vertical="center" wrapText="1"/>
    </xf>
    <xf numFmtId="0" fontId="14" fillId="4" borderId="38" xfId="0" applyFont="1" applyFill="1" applyBorder="1" applyAlignment="1" applyProtection="1">
      <alignment horizontal="center" vertical="center" wrapText="1"/>
    </xf>
    <xf numFmtId="167" fontId="0" fillId="4" borderId="7" xfId="1" applyNumberFormat="1" applyFont="1" applyFill="1" applyBorder="1" applyAlignment="1">
      <alignment horizontal="center"/>
    </xf>
    <xf numFmtId="0" fontId="14" fillId="6" borderId="24" xfId="0" applyFont="1" applyFill="1" applyBorder="1" applyAlignment="1" applyProtection="1">
      <alignment horizontal="center" vertical="center" wrapText="1"/>
    </xf>
    <xf numFmtId="0" fontId="29" fillId="16" borderId="24" xfId="0" applyFont="1" applyFill="1" applyBorder="1" applyAlignment="1" applyProtection="1">
      <alignment horizontal="center" vertical="center" wrapText="1"/>
    </xf>
    <xf numFmtId="170" fontId="0" fillId="4" borderId="7" xfId="0" applyNumberFormat="1" applyFont="1" applyFill="1" applyBorder="1" applyAlignment="1">
      <alignment horizontal="center"/>
    </xf>
    <xf numFmtId="170" fontId="0" fillId="4" borderId="12" xfId="0" applyNumberFormat="1" applyFont="1" applyFill="1" applyBorder="1" applyAlignment="1">
      <alignment horizontal="center"/>
    </xf>
    <xf numFmtId="167" fontId="0" fillId="4" borderId="12" xfId="1" applyNumberFormat="1" applyFont="1" applyFill="1" applyBorder="1" applyAlignment="1">
      <alignment horizontal="center"/>
    </xf>
    <xf numFmtId="0" fontId="26" fillId="16" borderId="24" xfId="0" applyFont="1" applyFill="1" applyBorder="1" applyAlignment="1">
      <alignment horizontal="center" vertical="center" wrapText="1"/>
    </xf>
    <xf numFmtId="9" fontId="7" fillId="0" borderId="0" xfId="0" applyNumberFormat="1" applyFont="1" applyAlignment="1">
      <alignment horizontal="left"/>
    </xf>
    <xf numFmtId="9" fontId="7" fillId="0" borderId="0" xfId="0" applyNumberFormat="1" applyFont="1" applyAlignment="1">
      <alignment horizontal="left" vertical="top"/>
    </xf>
    <xf numFmtId="0" fontId="6" fillId="16" borderId="31" xfId="0" applyFont="1" applyFill="1" applyBorder="1" applyAlignment="1" applyProtection="1">
      <alignment horizontal="right" indent="4"/>
    </xf>
    <xf numFmtId="1" fontId="0" fillId="0" borderId="0" xfId="0" applyNumberFormat="1"/>
    <xf numFmtId="0" fontId="14" fillId="4" borderId="41" xfId="0" applyFont="1" applyFill="1" applyBorder="1" applyAlignment="1" applyProtection="1">
      <alignment horizontal="center" vertical="center" wrapText="1"/>
    </xf>
    <xf numFmtId="167" fontId="0" fillId="4" borderId="33" xfId="1" applyNumberFormat="1" applyFont="1" applyFill="1" applyBorder="1" applyAlignment="1" applyProtection="1">
      <alignment horizontal="right" indent="2"/>
    </xf>
    <xf numFmtId="167" fontId="0" fillId="4" borderId="27" xfId="1" applyNumberFormat="1" applyFont="1" applyFill="1" applyBorder="1" applyAlignment="1" applyProtection="1">
      <alignment horizontal="right" indent="2"/>
    </xf>
    <xf numFmtId="167" fontId="0" fillId="4" borderId="35" xfId="1" applyNumberFormat="1" applyFont="1" applyFill="1" applyBorder="1" applyAlignment="1" applyProtection="1">
      <alignment horizontal="right" indent="3"/>
    </xf>
    <xf numFmtId="167" fontId="0" fillId="4" borderId="28" xfId="1" applyNumberFormat="1" applyFont="1" applyFill="1" applyBorder="1" applyAlignment="1" applyProtection="1">
      <alignment horizontal="right" indent="3"/>
    </xf>
    <xf numFmtId="169" fontId="0" fillId="3" borderId="7" xfId="3" applyNumberFormat="1" applyFont="1" applyFill="1" applyBorder="1" applyAlignment="1">
      <alignment horizontal="center"/>
    </xf>
    <xf numFmtId="169" fontId="0" fillId="3" borderId="12" xfId="3" applyNumberFormat="1" applyFont="1" applyFill="1" applyBorder="1" applyAlignment="1">
      <alignment horizontal="center"/>
    </xf>
    <xf numFmtId="169" fontId="0" fillId="3" borderId="8" xfId="3" applyNumberFormat="1" applyFont="1" applyFill="1" applyBorder="1" applyAlignment="1">
      <alignment horizontal="center"/>
    </xf>
    <xf numFmtId="169" fontId="0" fillId="3" borderId="13" xfId="3" applyNumberFormat="1" applyFont="1" applyFill="1" applyBorder="1" applyAlignment="1">
      <alignment horizontal="center"/>
    </xf>
    <xf numFmtId="0" fontId="14" fillId="3" borderId="24" xfId="0" applyFont="1" applyFill="1" applyBorder="1" applyAlignment="1" applyProtection="1">
      <alignment horizontal="center" vertical="center" wrapText="1"/>
    </xf>
    <xf numFmtId="169" fontId="0" fillId="3" borderId="39" xfId="3" applyNumberFormat="1" applyFont="1" applyFill="1" applyBorder="1" applyAlignment="1" applyProtection="1">
      <alignment horizontal="right" indent="3"/>
    </xf>
    <xf numFmtId="169" fontId="0" fillId="3" borderId="32" xfId="3" applyNumberFormat="1" applyFont="1" applyFill="1" applyBorder="1" applyAlignment="1" applyProtection="1">
      <alignment horizontal="right" indent="3"/>
    </xf>
    <xf numFmtId="170" fontId="0" fillId="4" borderId="34" xfId="1" applyNumberFormat="1" applyFont="1" applyFill="1" applyBorder="1" applyAlignment="1" applyProtection="1">
      <alignment horizontal="right" indent="2"/>
    </xf>
    <xf numFmtId="170" fontId="0" fillId="4" borderId="7" xfId="1" applyNumberFormat="1" applyFont="1" applyFill="1" applyBorder="1" applyAlignment="1" applyProtection="1">
      <alignment horizontal="right" indent="2"/>
    </xf>
    <xf numFmtId="0" fontId="0" fillId="0" borderId="0" xfId="0" applyFill="1" applyBorder="1" applyAlignment="1"/>
    <xf numFmtId="0" fontId="0" fillId="0" borderId="51" xfId="0" applyFill="1" applyBorder="1" applyAlignment="1"/>
    <xf numFmtId="49" fontId="12" fillId="0" borderId="52" xfId="0" applyNumberFormat="1" applyFont="1" applyFill="1" applyBorder="1" applyAlignment="1">
      <alignment horizontal="center" wrapText="1"/>
    </xf>
    <xf numFmtId="0" fontId="0" fillId="7" borderId="0" xfId="0" applyFill="1" applyBorder="1" applyAlignment="1"/>
    <xf numFmtId="0" fontId="0" fillId="5" borderId="47" xfId="0" applyFont="1" applyFill="1" applyBorder="1" applyProtection="1"/>
    <xf numFmtId="0" fontId="0" fillId="2" borderId="53" xfId="0" applyFont="1" applyFill="1" applyBorder="1" applyProtection="1"/>
    <xf numFmtId="169" fontId="0" fillId="3" borderId="28" xfId="3" applyNumberFormat="1" applyFont="1" applyFill="1" applyBorder="1" applyAlignment="1" applyProtection="1">
      <alignment horizontal="left"/>
    </xf>
    <xf numFmtId="169" fontId="0" fillId="3" borderId="32" xfId="3" applyNumberFormat="1" applyFont="1" applyFill="1" applyBorder="1" applyAlignment="1" applyProtection="1">
      <alignment horizontal="right"/>
    </xf>
    <xf numFmtId="0" fontId="32" fillId="0" borderId="0" xfId="0" applyFont="1"/>
    <xf numFmtId="0" fontId="0" fillId="0" borderId="0" xfId="0" applyAlignment="1">
      <alignment horizontal="center" vertical="center"/>
    </xf>
    <xf numFmtId="0" fontId="26" fillId="6" borderId="40" xfId="0" applyFont="1" applyFill="1" applyBorder="1" applyAlignment="1">
      <alignment vertical="center" wrapText="1"/>
    </xf>
    <xf numFmtId="0" fontId="26" fillId="6" borderId="31" xfId="0" applyFont="1" applyFill="1" applyBorder="1" applyAlignment="1">
      <alignment horizontal="center" vertical="center" wrapText="1"/>
    </xf>
    <xf numFmtId="0" fontId="26" fillId="2" borderId="40" xfId="0" applyFont="1" applyFill="1" applyBorder="1" applyAlignment="1" applyProtection="1">
      <alignment horizontal="center" vertical="center" wrapText="1"/>
    </xf>
    <xf numFmtId="0" fontId="34" fillId="7" borderId="24" xfId="0" applyFont="1" applyFill="1" applyBorder="1" applyAlignment="1">
      <alignment horizontal="center" vertical="center"/>
    </xf>
    <xf numFmtId="0" fontId="26" fillId="3" borderId="24" xfId="0" applyFont="1" applyFill="1" applyBorder="1" applyAlignment="1" applyProtection="1">
      <alignment horizontal="center" vertical="center" wrapText="1"/>
    </xf>
    <xf numFmtId="0" fontId="26" fillId="4" borderId="36" xfId="0" applyFont="1" applyFill="1" applyBorder="1" applyAlignment="1" applyProtection="1">
      <alignment horizontal="center" vertical="center" wrapText="1"/>
    </xf>
    <xf numFmtId="0" fontId="26" fillId="4" borderId="41" xfId="0" applyFont="1" applyFill="1" applyBorder="1" applyAlignment="1" applyProtection="1">
      <alignment horizontal="center" vertical="center" wrapText="1"/>
    </xf>
    <xf numFmtId="0" fontId="26" fillId="3" borderId="41" xfId="0" applyFont="1" applyFill="1" applyBorder="1" applyAlignment="1" applyProtection="1">
      <alignment horizontal="center" vertical="center" wrapText="1"/>
    </xf>
    <xf numFmtId="0" fontId="26" fillId="4" borderId="37" xfId="0" applyFont="1" applyFill="1" applyBorder="1" applyAlignment="1" applyProtection="1">
      <alignment horizontal="center" vertical="center" wrapText="1"/>
    </xf>
    <xf numFmtId="0" fontId="26" fillId="4" borderId="38" xfId="0" applyFont="1" applyFill="1" applyBorder="1" applyAlignment="1" applyProtection="1">
      <alignment horizontal="center" vertical="center" wrapText="1"/>
    </xf>
    <xf numFmtId="0" fontId="35" fillId="4" borderId="36" xfId="0" applyFont="1" applyFill="1" applyBorder="1" applyAlignment="1" applyProtection="1">
      <alignment horizontal="left" vertical="center" wrapText="1"/>
    </xf>
    <xf numFmtId="0" fontId="35" fillId="4" borderId="37" xfId="0" applyFont="1" applyFill="1" applyBorder="1" applyAlignment="1" applyProtection="1">
      <alignment horizontal="left" vertical="center" wrapText="1"/>
    </xf>
    <xf numFmtId="0" fontId="35" fillId="4" borderId="41" xfId="0" applyFont="1" applyFill="1" applyBorder="1" applyAlignment="1" applyProtection="1">
      <alignment horizontal="left" vertical="center" wrapText="1"/>
    </xf>
    <xf numFmtId="0" fontId="7" fillId="0" borderId="0" xfId="0" applyFont="1" applyFill="1" applyBorder="1" applyAlignment="1">
      <alignment horizontal="center"/>
    </xf>
    <xf numFmtId="0" fontId="7" fillId="0" borderId="0" xfId="0" applyFont="1" applyBorder="1" applyAlignment="1">
      <alignment horizontal="center"/>
    </xf>
    <xf numFmtId="167" fontId="0" fillId="4" borderId="33" xfId="0" applyNumberFormat="1" applyFont="1" applyFill="1" applyBorder="1" applyAlignment="1" applyProtection="1">
      <alignment horizontal="right" indent="2"/>
    </xf>
    <xf numFmtId="167" fontId="0" fillId="4" borderId="27" xfId="0" applyNumberFormat="1" applyFont="1" applyFill="1" applyBorder="1" applyAlignment="1" applyProtection="1">
      <alignment horizontal="right" indent="2"/>
    </xf>
    <xf numFmtId="167" fontId="0" fillId="0" borderId="0" xfId="0" applyNumberFormat="1" applyAlignment="1">
      <alignment horizontal="center" vertical="center"/>
    </xf>
    <xf numFmtId="169" fontId="13" fillId="0" borderId="0" xfId="3" applyNumberFormat="1" applyFont="1"/>
    <xf numFmtId="0" fontId="13" fillId="0" borderId="0" xfId="0" applyFont="1" applyBorder="1"/>
    <xf numFmtId="169" fontId="13" fillId="0" borderId="0" xfId="3" applyNumberFormat="1" applyFont="1" applyBorder="1"/>
    <xf numFmtId="0" fontId="13" fillId="0" borderId="0" xfId="0" applyFont="1" applyBorder="1" applyAlignment="1">
      <alignment horizontal="center"/>
    </xf>
    <xf numFmtId="0" fontId="13" fillId="0" borderId="0" xfId="0" applyFont="1" applyFill="1" applyBorder="1"/>
    <xf numFmtId="0" fontId="13" fillId="0" borderId="0" xfId="0" applyFont="1" applyFill="1" applyBorder="1" applyAlignment="1">
      <alignment horizontal="center"/>
    </xf>
    <xf numFmtId="0" fontId="36" fillId="0" borderId="0" xfId="0" applyFont="1" applyBorder="1"/>
    <xf numFmtId="0" fontId="37" fillId="0" borderId="0" xfId="0" applyFont="1" applyBorder="1" applyAlignment="1">
      <alignment horizontal="center" wrapText="1"/>
    </xf>
    <xf numFmtId="0" fontId="37" fillId="4" borderId="61" xfId="0" applyFont="1" applyFill="1" applyBorder="1" applyAlignment="1">
      <alignment horizontal="center" wrapText="1"/>
    </xf>
    <xf numFmtId="0" fontId="37" fillId="4" borderId="55" xfId="0" applyFont="1" applyFill="1" applyBorder="1" applyAlignment="1">
      <alignment horizontal="center" wrapText="1"/>
    </xf>
    <xf numFmtId="0" fontId="37" fillId="14" borderId="55" xfId="0" applyFont="1" applyFill="1" applyBorder="1" applyAlignment="1">
      <alignment horizontal="center" wrapText="1"/>
    </xf>
    <xf numFmtId="0" fontId="37" fillId="16" borderId="56" xfId="0" applyFont="1" applyFill="1" applyBorder="1" applyAlignment="1">
      <alignment horizontal="center" wrapText="1"/>
    </xf>
    <xf numFmtId="0" fontId="37" fillId="0" borderId="0" xfId="0" applyFont="1" applyFill="1" applyBorder="1" applyAlignment="1">
      <alignment horizontal="center" wrapText="1"/>
    </xf>
    <xf numFmtId="0" fontId="37" fillId="4" borderId="60" xfId="0" applyFont="1" applyFill="1" applyBorder="1" applyAlignment="1">
      <alignment horizontal="right" vertical="center" wrapText="1"/>
    </xf>
    <xf numFmtId="2" fontId="13" fillId="0" borderId="59" xfId="0" applyNumberFormat="1" applyFont="1" applyBorder="1" applyAlignment="1">
      <alignment horizontal="center" vertical="center"/>
    </xf>
    <xf numFmtId="2" fontId="13" fillId="0" borderId="63" xfId="0" applyNumberFormat="1" applyFont="1" applyBorder="1" applyAlignment="1">
      <alignment horizontal="center" vertical="center"/>
    </xf>
    <xf numFmtId="2" fontId="13" fillId="0" borderId="50" xfId="0" applyNumberFormat="1" applyFont="1" applyBorder="1" applyAlignment="1">
      <alignment horizontal="center" vertical="center"/>
    </xf>
    <xf numFmtId="2" fontId="13" fillId="0" borderId="45" xfId="0" applyNumberFormat="1" applyFont="1" applyBorder="1" applyAlignment="1">
      <alignment horizontal="center" vertical="center"/>
    </xf>
    <xf numFmtId="0" fontId="13" fillId="0" borderId="0" xfId="0" applyFont="1" applyFill="1" applyBorder="1" applyAlignment="1">
      <alignment horizontal="center" vertical="center"/>
    </xf>
    <xf numFmtId="0" fontId="13" fillId="0" borderId="0" xfId="0" applyFont="1" applyBorder="1" applyAlignment="1">
      <alignment horizontal="center" vertical="center"/>
    </xf>
    <xf numFmtId="0" fontId="13" fillId="0" borderId="0" xfId="0" applyFont="1" applyBorder="1" applyAlignment="1">
      <alignment vertical="center"/>
    </xf>
    <xf numFmtId="0" fontId="37" fillId="4" borderId="57" xfId="0" applyFont="1" applyFill="1" applyBorder="1" applyAlignment="1">
      <alignment horizontal="right" vertical="center" wrapText="1"/>
    </xf>
    <xf numFmtId="2" fontId="13" fillId="0" borderId="62" xfId="0" applyNumberFormat="1" applyFont="1" applyBorder="1" applyAlignment="1">
      <alignment horizontal="center" vertical="center"/>
    </xf>
    <xf numFmtId="2" fontId="13" fillId="0" borderId="14" xfId="0" applyNumberFormat="1" applyFont="1" applyBorder="1" applyAlignment="1">
      <alignment horizontal="center" vertical="center"/>
    </xf>
    <xf numFmtId="2" fontId="13" fillId="0" borderId="7" xfId="0" applyNumberFormat="1" applyFont="1" applyBorder="1" applyAlignment="1">
      <alignment horizontal="center" vertical="center"/>
    </xf>
    <xf numFmtId="2" fontId="13" fillId="0" borderId="28" xfId="0" applyNumberFormat="1" applyFont="1" applyBorder="1" applyAlignment="1">
      <alignment horizontal="center" vertical="center"/>
    </xf>
    <xf numFmtId="2" fontId="13" fillId="0" borderId="27" xfId="0" applyNumberFormat="1" applyFont="1" applyBorder="1" applyAlignment="1">
      <alignment horizontal="center" vertical="center"/>
    </xf>
    <xf numFmtId="2" fontId="13" fillId="0" borderId="54" xfId="0" applyNumberFormat="1" applyFont="1" applyBorder="1" applyAlignment="1">
      <alignment horizontal="center" vertical="center"/>
    </xf>
    <xf numFmtId="0" fontId="37" fillId="14" borderId="57" xfId="0" applyFont="1" applyFill="1" applyBorder="1" applyAlignment="1">
      <alignment horizontal="right" vertical="center" wrapText="1"/>
    </xf>
    <xf numFmtId="2" fontId="13" fillId="0" borderId="65" xfId="0" applyNumberFormat="1" applyFont="1" applyBorder="1" applyAlignment="1">
      <alignment horizontal="center" vertical="center"/>
    </xf>
    <xf numFmtId="0" fontId="37" fillId="16" borderId="58" xfId="0" applyFont="1" applyFill="1" applyBorder="1" applyAlignment="1">
      <alignment horizontal="right" vertical="center" wrapText="1"/>
    </xf>
    <xf numFmtId="2" fontId="13" fillId="0" borderId="29" xfId="0" applyNumberFormat="1" applyFont="1" applyBorder="1" applyAlignment="1">
      <alignment horizontal="center" vertical="center"/>
    </xf>
    <xf numFmtId="2" fontId="13" fillId="0" borderId="30" xfId="0" applyNumberFormat="1" applyFont="1" applyBorder="1" applyAlignment="1">
      <alignment horizontal="center" vertical="center"/>
    </xf>
    <xf numFmtId="2" fontId="13" fillId="0" borderId="64" xfId="0" applyNumberFormat="1" applyFont="1" applyBorder="1" applyAlignment="1">
      <alignment horizontal="center" vertical="center"/>
    </xf>
    <xf numFmtId="0" fontId="13" fillId="0" borderId="0" xfId="0" applyFont="1" applyBorder="1" applyAlignment="1">
      <alignment horizontal="center" wrapText="1"/>
    </xf>
    <xf numFmtId="0" fontId="13" fillId="0" borderId="0" xfId="0" applyFont="1" applyFill="1" applyBorder="1" applyAlignment="1">
      <alignment horizontal="center" wrapText="1"/>
    </xf>
    <xf numFmtId="168" fontId="13" fillId="0" borderId="0" xfId="0" applyNumberFormat="1" applyFont="1" applyBorder="1" applyAlignment="1">
      <alignment horizontal="center"/>
    </xf>
    <xf numFmtId="1" fontId="13" fillId="0" borderId="0" xfId="0" applyNumberFormat="1" applyFont="1" applyBorder="1" applyAlignment="1">
      <alignment horizontal="center"/>
    </xf>
    <xf numFmtId="9" fontId="13" fillId="0" borderId="0" xfId="1" applyFont="1" applyBorder="1" applyAlignment="1">
      <alignment horizontal="center"/>
    </xf>
    <xf numFmtId="171" fontId="13" fillId="0" borderId="0" xfId="0" applyNumberFormat="1" applyFont="1" applyBorder="1" applyAlignment="1">
      <alignment horizontal="center"/>
    </xf>
    <xf numFmtId="165" fontId="13" fillId="0" borderId="0" xfId="0" applyNumberFormat="1" applyFont="1" applyBorder="1" applyAlignment="1">
      <alignment horizontal="center"/>
    </xf>
    <xf numFmtId="169" fontId="13" fillId="0" borderId="0" xfId="3" applyNumberFormat="1" applyFont="1" applyBorder="1" applyAlignment="1">
      <alignment horizontal="center"/>
    </xf>
    <xf numFmtId="173" fontId="13" fillId="0" borderId="0" xfId="0" applyNumberFormat="1" applyFont="1" applyBorder="1"/>
    <xf numFmtId="165" fontId="13" fillId="0" borderId="0" xfId="0" applyNumberFormat="1" applyFont="1" applyBorder="1"/>
    <xf numFmtId="165" fontId="13" fillId="0" borderId="0" xfId="3" applyNumberFormat="1" applyFont="1" applyBorder="1"/>
    <xf numFmtId="0" fontId="13" fillId="0" borderId="0" xfId="3" applyNumberFormat="1" applyFont="1" applyBorder="1"/>
    <xf numFmtId="173" fontId="13" fillId="0" borderId="0" xfId="3" applyNumberFormat="1" applyFont="1" applyBorder="1"/>
    <xf numFmtId="1" fontId="13" fillId="0" borderId="0" xfId="0" applyNumberFormat="1" applyFont="1" applyBorder="1"/>
    <xf numFmtId="168" fontId="13" fillId="0" borderId="0" xfId="0" applyNumberFormat="1" applyFont="1" applyBorder="1"/>
    <xf numFmtId="0" fontId="0" fillId="5" borderId="39" xfId="0" applyFont="1" applyFill="1" applyBorder="1"/>
    <xf numFmtId="0" fontId="0" fillId="5" borderId="32" xfId="0" applyFont="1" applyFill="1" applyBorder="1"/>
    <xf numFmtId="0" fontId="26" fillId="5" borderId="40" xfId="0" applyFont="1" applyFill="1" applyBorder="1" applyAlignment="1">
      <alignment horizontal="center" wrapText="1"/>
    </xf>
    <xf numFmtId="1" fontId="0" fillId="6" borderId="32" xfId="26" applyNumberFormat="1" applyFont="1" applyFill="1" applyBorder="1" applyAlignment="1">
      <alignment horizontal="center"/>
    </xf>
    <xf numFmtId="165" fontId="0" fillId="6" borderId="32" xfId="26" applyNumberFormat="1" applyFont="1" applyFill="1" applyBorder="1" applyAlignment="1">
      <alignment horizontal="center"/>
    </xf>
    <xf numFmtId="0" fontId="14" fillId="4" borderId="37" xfId="0" applyFont="1" applyFill="1" applyBorder="1" applyAlignment="1" applyProtection="1">
      <alignment horizontal="center" vertical="center" wrapText="1"/>
    </xf>
    <xf numFmtId="0" fontId="28" fillId="9" borderId="9" xfId="0" applyFont="1" applyFill="1" applyBorder="1" applyAlignment="1">
      <alignment horizontal="center" vertical="center" wrapText="1"/>
    </xf>
    <xf numFmtId="0" fontId="28" fillId="5" borderId="9" xfId="0" applyFont="1" applyFill="1" applyBorder="1" applyAlignment="1">
      <alignment horizontal="center" vertical="center" wrapText="1"/>
    </xf>
    <xf numFmtId="0" fontId="28" fillId="2" borderId="10" xfId="0" applyFont="1" applyFill="1" applyBorder="1" applyAlignment="1">
      <alignment horizontal="center" vertical="center" wrapText="1"/>
    </xf>
    <xf numFmtId="0" fontId="28" fillId="4" borderId="10" xfId="0" applyFont="1" applyFill="1" applyBorder="1" applyAlignment="1">
      <alignment horizontal="center" vertical="center" wrapText="1"/>
    </xf>
    <xf numFmtId="0" fontId="28" fillId="3" borderId="10" xfId="0" applyFont="1" applyFill="1" applyBorder="1" applyAlignment="1">
      <alignment horizontal="center" vertical="center" wrapText="1"/>
    </xf>
    <xf numFmtId="0" fontId="28" fillId="3" borderId="11" xfId="0" applyFont="1" applyFill="1" applyBorder="1" applyAlignment="1">
      <alignment horizontal="center" vertical="center" wrapText="1"/>
    </xf>
    <xf numFmtId="0" fontId="28" fillId="4" borderId="46" xfId="0" applyFont="1" applyFill="1" applyBorder="1" applyAlignment="1">
      <alignment horizontal="center" vertical="center" wrapText="1"/>
    </xf>
    <xf numFmtId="0" fontId="30" fillId="6" borderId="9" xfId="0" applyFont="1" applyFill="1" applyBorder="1" applyAlignment="1">
      <alignment horizontal="center" vertical="center" wrapText="1"/>
    </xf>
    <xf numFmtId="0" fontId="28" fillId="7" borderId="10" xfId="0" applyFont="1" applyFill="1" applyBorder="1" applyAlignment="1">
      <alignment horizontal="center" vertical="center" wrapText="1"/>
    </xf>
    <xf numFmtId="0" fontId="28" fillId="6" borderId="10" xfId="0" applyFont="1" applyFill="1" applyBorder="1" applyAlignment="1">
      <alignment horizontal="center" vertical="center" wrapText="1"/>
    </xf>
    <xf numFmtId="0" fontId="28" fillId="8" borderId="10" xfId="0" applyFont="1" applyFill="1" applyBorder="1" applyAlignment="1">
      <alignment horizontal="center" vertical="center" wrapText="1"/>
    </xf>
    <xf numFmtId="167" fontId="0" fillId="0" borderId="0" xfId="1" applyNumberFormat="1" applyFont="1" applyAlignment="1">
      <alignment horizontal="right" indent="2"/>
    </xf>
    <xf numFmtId="174" fontId="0" fillId="0" borderId="0" xfId="24" applyNumberFormat="1" applyFont="1"/>
    <xf numFmtId="0" fontId="2" fillId="0" borderId="0" xfId="0" applyFont="1" applyAlignment="1">
      <alignment vertical="center"/>
    </xf>
    <xf numFmtId="1" fontId="0" fillId="4" borderId="12" xfId="0" applyNumberFormat="1" applyFont="1" applyFill="1" applyBorder="1" applyAlignment="1">
      <alignment horizontal="center"/>
    </xf>
    <xf numFmtId="168" fontId="33" fillId="0" borderId="0" xfId="0" applyNumberFormat="1" applyFont="1" applyAlignment="1">
      <alignment horizontal="right" indent="2"/>
    </xf>
    <xf numFmtId="0" fontId="38" fillId="4" borderId="36" xfId="0" applyFont="1" applyFill="1" applyBorder="1" applyAlignment="1" applyProtection="1">
      <alignment horizontal="left" vertical="center" wrapText="1"/>
    </xf>
    <xf numFmtId="0" fontId="38" fillId="4" borderId="41" xfId="0" applyFont="1" applyFill="1" applyBorder="1" applyAlignment="1" applyProtection="1">
      <alignment horizontal="left" vertical="center" wrapText="1"/>
    </xf>
    <xf numFmtId="0" fontId="38" fillId="3" borderId="41" xfId="0" applyFont="1" applyFill="1" applyBorder="1" applyAlignment="1" applyProtection="1">
      <alignment horizontal="left" vertical="center" wrapText="1"/>
    </xf>
    <xf numFmtId="0" fontId="38" fillId="4" borderId="37" xfId="0" applyFont="1" applyFill="1" applyBorder="1" applyAlignment="1" applyProtection="1">
      <alignment horizontal="left" vertical="center" wrapText="1"/>
    </xf>
    <xf numFmtId="0" fontId="38" fillId="4" borderId="38" xfId="0" applyFont="1" applyFill="1" applyBorder="1" applyAlignment="1" applyProtection="1">
      <alignment horizontal="left" vertical="center" wrapText="1"/>
    </xf>
    <xf numFmtId="0" fontId="38" fillId="2" borderId="24" xfId="0" applyFont="1" applyFill="1" applyBorder="1" applyAlignment="1">
      <alignment horizontal="left" vertical="center" wrapText="1"/>
    </xf>
    <xf numFmtId="49" fontId="38" fillId="4" borderId="37" xfId="0" applyNumberFormat="1" applyFont="1" applyFill="1" applyBorder="1" applyAlignment="1" applyProtection="1">
      <alignment horizontal="left" vertical="center" wrapText="1"/>
    </xf>
    <xf numFmtId="0" fontId="38" fillId="3" borderId="24" xfId="0" applyFont="1" applyFill="1" applyBorder="1" applyAlignment="1" applyProtection="1">
      <alignment horizontal="left" vertical="center" wrapText="1"/>
    </xf>
    <xf numFmtId="0" fontId="38" fillId="4" borderId="36" xfId="0" applyFont="1" applyFill="1" applyBorder="1" applyAlignment="1" applyProtection="1">
      <alignment horizontal="left" vertical="top" wrapText="1"/>
    </xf>
    <xf numFmtId="0" fontId="38" fillId="2" borderId="24" xfId="0" quotePrefix="1" applyFont="1" applyFill="1" applyBorder="1" applyAlignment="1">
      <alignment horizontal="left" vertical="center" wrapText="1"/>
    </xf>
    <xf numFmtId="0" fontId="1" fillId="5" borderId="39" xfId="0" applyFont="1" applyFill="1" applyBorder="1"/>
    <xf numFmtId="0" fontId="1" fillId="2" borderId="39" xfId="0" applyFont="1" applyFill="1" applyBorder="1"/>
    <xf numFmtId="167" fontId="1" fillId="0" borderId="0" xfId="0" applyNumberFormat="1" applyFont="1" applyAlignment="1">
      <alignment horizontal="right" indent="3"/>
    </xf>
    <xf numFmtId="167" fontId="1" fillId="0" borderId="0" xfId="1" applyNumberFormat="1" applyFont="1" applyAlignment="1">
      <alignment horizontal="right" indent="2"/>
    </xf>
    <xf numFmtId="169" fontId="1" fillId="0" borderId="0" xfId="3" applyNumberFormat="1" applyFont="1"/>
    <xf numFmtId="170" fontId="1" fillId="0" borderId="0" xfId="0" applyNumberFormat="1" applyFont="1" applyAlignment="1">
      <alignment horizontal="right" indent="2"/>
    </xf>
    <xf numFmtId="174" fontId="1" fillId="0" borderId="0" xfId="24" applyNumberFormat="1" applyFont="1"/>
    <xf numFmtId="0" fontId="1" fillId="5" borderId="32" xfId="0" applyFont="1" applyFill="1" applyBorder="1"/>
    <xf numFmtId="0" fontId="1" fillId="2" borderId="32" xfId="0" applyFont="1" applyFill="1" applyBorder="1"/>
    <xf numFmtId="0" fontId="1" fillId="5" borderId="28" xfId="0" applyFont="1" applyFill="1" applyBorder="1"/>
    <xf numFmtId="0" fontId="1" fillId="2" borderId="27" xfId="0" applyFont="1" applyFill="1" applyBorder="1"/>
    <xf numFmtId="0" fontId="39" fillId="0" borderId="0" xfId="0" applyFont="1"/>
    <xf numFmtId="167" fontId="21" fillId="0" borderId="0" xfId="25" applyNumberFormat="1" applyFont="1" applyAlignment="1">
      <alignment horizontal="right" vertical="center"/>
    </xf>
    <xf numFmtId="0" fontId="17" fillId="0" borderId="0" xfId="0" applyFont="1" applyBorder="1"/>
    <xf numFmtId="0" fontId="8" fillId="0" borderId="0" xfId="0" applyFont="1" applyBorder="1"/>
    <xf numFmtId="44" fontId="12" fillId="0" borderId="0" xfId="26" applyFont="1"/>
    <xf numFmtId="44" fontId="0" fillId="0" borderId="0" xfId="26" applyFont="1"/>
    <xf numFmtId="0" fontId="10" fillId="0" borderId="3" xfId="0" applyFont="1" applyBorder="1"/>
    <xf numFmtId="0" fontId="41" fillId="0" borderId="0" xfId="0" applyFont="1" applyAlignment="1">
      <alignment vertical="center"/>
    </xf>
    <xf numFmtId="0" fontId="42" fillId="0" borderId="0" xfId="0" applyFont="1" applyAlignment="1">
      <alignment vertical="center" wrapText="1"/>
    </xf>
    <xf numFmtId="0" fontId="41" fillId="0" borderId="0" xfId="0" applyFont="1" applyAlignment="1">
      <alignment vertical="top" wrapText="1"/>
    </xf>
    <xf numFmtId="0" fontId="40" fillId="0" borderId="0" xfId="0" applyFont="1" applyAlignment="1">
      <alignment vertical="center"/>
    </xf>
    <xf numFmtId="0" fontId="43" fillId="0" borderId="0" xfId="0" applyFont="1" applyAlignment="1"/>
    <xf numFmtId="0" fontId="10" fillId="0" borderId="0" xfId="0" applyFont="1"/>
    <xf numFmtId="0" fontId="44" fillId="0" borderId="0" xfId="2" applyFont="1" applyAlignment="1">
      <alignment horizontal="center"/>
    </xf>
    <xf numFmtId="0" fontId="45" fillId="0" borderId="0" xfId="0" applyFont="1" applyAlignment="1">
      <alignment horizontal="center" vertical="top" wrapText="1"/>
    </xf>
    <xf numFmtId="0" fontId="9" fillId="0" borderId="1" xfId="0" applyFont="1" applyBorder="1" applyAlignment="1">
      <alignment horizontal="center"/>
    </xf>
    <xf numFmtId="0" fontId="20" fillId="10" borderId="16" xfId="0" applyFont="1" applyFill="1" applyBorder="1" applyAlignment="1">
      <alignment horizontal="center"/>
    </xf>
    <xf numFmtId="0" fontId="20" fillId="10" borderId="1" xfId="0" applyFont="1" applyFill="1" applyBorder="1" applyAlignment="1">
      <alignment horizontal="center"/>
    </xf>
    <xf numFmtId="0" fontId="20" fillId="10" borderId="17" xfId="0" applyFont="1" applyFill="1" applyBorder="1" applyAlignment="1">
      <alignment horizontal="center"/>
    </xf>
    <xf numFmtId="0" fontId="20" fillId="12" borderId="16" xfId="0" applyFont="1" applyFill="1" applyBorder="1" applyAlignment="1">
      <alignment horizontal="center"/>
    </xf>
    <xf numFmtId="0" fontId="20" fillId="12" borderId="1" xfId="0" applyFont="1" applyFill="1" applyBorder="1" applyAlignment="1">
      <alignment horizontal="center"/>
    </xf>
    <xf numFmtId="0" fontId="20" fillId="12" borderId="17" xfId="0" applyFont="1" applyFill="1" applyBorder="1" applyAlignment="1">
      <alignment horizontal="center"/>
    </xf>
    <xf numFmtId="0" fontId="8" fillId="0" borderId="0" xfId="0" applyFont="1" applyBorder="1" applyAlignment="1">
      <alignment vertical="center" wrapText="1"/>
    </xf>
    <xf numFmtId="0" fontId="0" fillId="0" borderId="0" xfId="0" applyAlignment="1">
      <alignment vertical="center" wrapText="1"/>
    </xf>
    <xf numFmtId="0" fontId="0" fillId="0" borderId="0" xfId="0" applyFont="1" applyFill="1" applyBorder="1" applyAlignment="1">
      <alignment horizontal="left" vertical="top" wrapText="1"/>
    </xf>
    <xf numFmtId="0" fontId="9" fillId="10" borderId="16" xfId="0" applyFont="1" applyFill="1" applyBorder="1" applyAlignment="1">
      <alignment horizontal="center"/>
    </xf>
    <xf numFmtId="0" fontId="9" fillId="10" borderId="1" xfId="0" applyFont="1" applyFill="1" applyBorder="1" applyAlignment="1">
      <alignment horizontal="center"/>
    </xf>
    <xf numFmtId="0" fontId="9" fillId="10" borderId="17" xfId="0" applyFont="1" applyFill="1" applyBorder="1" applyAlignment="1">
      <alignment horizontal="center"/>
    </xf>
    <xf numFmtId="0" fontId="9" fillId="12" borderId="16" xfId="0" applyFont="1" applyFill="1" applyBorder="1" applyAlignment="1">
      <alignment horizontal="center"/>
    </xf>
    <xf numFmtId="0" fontId="9" fillId="12" borderId="1" xfId="0" applyFont="1" applyFill="1" applyBorder="1" applyAlignment="1">
      <alignment horizontal="center"/>
    </xf>
    <xf numFmtId="0" fontId="9" fillId="12" borderId="17" xfId="0" applyFont="1" applyFill="1" applyBorder="1" applyAlignment="1">
      <alignment horizontal="center"/>
    </xf>
    <xf numFmtId="0" fontId="27" fillId="6" borderId="40" xfId="0" applyFont="1" applyFill="1" applyBorder="1" applyAlignment="1">
      <alignment horizontal="center" vertical="center" wrapText="1"/>
    </xf>
    <xf numFmtId="0" fontId="27" fillId="6" borderId="44" xfId="0" applyFont="1" applyFill="1" applyBorder="1" applyAlignment="1">
      <alignment horizontal="center" vertical="center" wrapText="1"/>
    </xf>
    <xf numFmtId="0" fontId="27" fillId="6" borderId="41" xfId="0" applyFont="1" applyFill="1" applyBorder="1" applyAlignment="1">
      <alignment horizontal="center" vertical="center" wrapText="1"/>
    </xf>
    <xf numFmtId="0" fontId="6" fillId="15" borderId="43" xfId="0" applyFont="1" applyFill="1" applyBorder="1" applyAlignment="1">
      <alignment horizontal="center"/>
    </xf>
    <xf numFmtId="0" fontId="6" fillId="15" borderId="48" xfId="0" applyFont="1" applyFill="1" applyBorder="1" applyAlignment="1">
      <alignment horizontal="center"/>
    </xf>
    <xf numFmtId="0" fontId="7" fillId="0" borderId="0" xfId="0" applyFont="1" applyFill="1" applyBorder="1" applyAlignment="1">
      <alignment horizontal="center"/>
    </xf>
    <xf numFmtId="0" fontId="7" fillId="0" borderId="0" xfId="0" applyFont="1" applyBorder="1" applyAlignment="1">
      <alignment horizontal="center"/>
    </xf>
    <xf numFmtId="0" fontId="13" fillId="0" borderId="0" xfId="0" applyFont="1" applyFill="1" applyBorder="1" applyAlignment="1">
      <alignment horizontal="center" wrapText="1"/>
    </xf>
    <xf numFmtId="0" fontId="13" fillId="0" borderId="0" xfId="0" applyFont="1" applyBorder="1" applyAlignment="1">
      <alignment horizontal="center" wrapText="1"/>
    </xf>
    <xf numFmtId="0" fontId="26" fillId="6" borderId="40" xfId="0" applyFont="1" applyFill="1" applyBorder="1" applyAlignment="1">
      <alignment horizontal="center" vertical="center" wrapText="1"/>
    </xf>
    <xf numFmtId="0" fontId="26" fillId="6" borderId="44" xfId="0" applyFont="1" applyFill="1" applyBorder="1" applyAlignment="1">
      <alignment horizontal="center" vertical="center" wrapText="1"/>
    </xf>
    <xf numFmtId="0" fontId="26" fillId="6" borderId="41" xfId="0" applyFont="1" applyFill="1" applyBorder="1" applyAlignment="1">
      <alignment horizontal="center" vertical="center" wrapText="1"/>
    </xf>
    <xf numFmtId="0" fontId="26" fillId="6" borderId="25" xfId="0" applyFont="1" applyFill="1" applyBorder="1" applyAlignment="1">
      <alignment horizontal="center" vertical="center" wrapText="1"/>
    </xf>
    <xf numFmtId="0" fontId="26" fillId="6" borderId="26" xfId="0" applyFont="1" applyFill="1" applyBorder="1" applyAlignment="1">
      <alignment horizontal="center" vertical="center" wrapText="1"/>
    </xf>
    <xf numFmtId="0" fontId="26" fillId="6" borderId="43" xfId="0" applyFont="1" applyFill="1" applyBorder="1" applyAlignment="1">
      <alignment horizontal="center" vertical="center" wrapText="1"/>
    </xf>
    <xf numFmtId="0" fontId="26" fillId="6" borderId="48" xfId="0" applyFont="1" applyFill="1" applyBorder="1" applyAlignment="1">
      <alignment horizontal="center" vertical="center" wrapText="1"/>
    </xf>
  </cellXfs>
  <cellStyles count="27">
    <cellStyle name="Comma" xfId="24" builtinId="3"/>
    <cellStyle name="Currency" xfId="3" builtinId="4"/>
    <cellStyle name="Currency 2" xfId="22" xr:uid="{00000000-0005-0000-0000-000000000000}"/>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Hyperlink" xfId="2" builtinId="8"/>
    <cellStyle name="Moneda 2" xfId="26" xr:uid="{00000000-0005-0000-0000-000016000000}"/>
    <cellStyle name="Normal" xfId="0" builtinId="0"/>
    <cellStyle name="Percent" xfId="1" builtinId="5"/>
    <cellStyle name="Percent 2" xfId="23" xr:uid="{00000000-0005-0000-0000-000018000000}"/>
    <cellStyle name="Porcentaje 2" xfId="25" xr:uid="{00000000-0005-0000-0000-00001A000000}"/>
  </cellStyles>
  <dxfs count="29">
    <dxf>
      <font>
        <color rgb="FF9C0006"/>
      </font>
    </dxf>
    <dxf>
      <font>
        <color rgb="FF9C0006"/>
      </font>
    </dxf>
    <dxf>
      <font>
        <color rgb="FF9C0006"/>
      </font>
    </dxf>
    <dxf>
      <font>
        <color rgb="FF9C0006"/>
      </font>
    </dxf>
    <dxf>
      <font>
        <strike val="0"/>
        <outline val="0"/>
        <shadow val="0"/>
        <u val="none"/>
        <vertAlign val="baseline"/>
        <sz val="12"/>
        <color theme="1"/>
        <name val="Calibri"/>
        <scheme val="minor"/>
      </font>
      <numFmt numFmtId="165" formatCode="0.0000"/>
      <fill>
        <patternFill patternType="solid">
          <fgColor indexed="64"/>
          <bgColor rgb="FFFFBEA9"/>
        </patternFill>
      </fill>
      <alignment horizontal="center" vertical="center" textRotation="0" wrapText="0" indent="0" justifyLastLine="0" shrinkToFit="0" readingOrder="0"/>
      <border diagonalUp="0" diagonalDown="0" outline="0">
        <left style="thick">
          <color theme="0"/>
        </left>
        <right style="thick">
          <color theme="0"/>
        </right>
        <top style="thin">
          <color theme="0"/>
        </top>
        <bottom style="thin">
          <color theme="0"/>
        </bottom>
      </border>
      <protection locked="1" hidden="0"/>
    </dxf>
    <dxf>
      <numFmt numFmtId="165" formatCode="0.0000"/>
      <fill>
        <patternFill patternType="solid">
          <fgColor indexed="64"/>
          <bgColor theme="7" tint="0.79998168889431442"/>
        </patternFill>
      </fill>
      <alignment horizontal="center" vertical="bottom" textRotation="0" wrapText="0" indent="0" justifyLastLine="0" shrinkToFit="0" readingOrder="0"/>
      <border diagonalUp="0" diagonalDown="0" outline="0">
        <left style="thick">
          <color theme="0"/>
        </left>
        <right style="thick">
          <color theme="0"/>
        </right>
        <top style="thin">
          <color theme="0"/>
        </top>
        <bottom style="thin">
          <color theme="0"/>
        </bottom>
      </border>
      <protection locked="1" hidden="0"/>
    </dxf>
    <dxf>
      <numFmt numFmtId="166" formatCode="0.00000"/>
      <fill>
        <patternFill patternType="solid">
          <fgColor indexed="64"/>
          <bgColor theme="7" tint="0.79998168889431442"/>
        </patternFill>
      </fill>
      <alignment horizontal="center" vertical="bottom" textRotation="0" wrapText="0" indent="0" justifyLastLine="0" shrinkToFit="0" readingOrder="0"/>
      <border diagonalUp="0" diagonalDown="0" outline="0">
        <left style="thick">
          <color theme="0"/>
        </left>
        <right style="thick">
          <color theme="0"/>
        </right>
        <top style="thin">
          <color theme="0"/>
        </top>
        <bottom style="thin">
          <color theme="0"/>
        </bottom>
      </border>
      <protection locked="1" hidden="0"/>
    </dxf>
    <dxf>
      <numFmt numFmtId="165" formatCode="0.0000"/>
      <fill>
        <patternFill patternType="solid">
          <fgColor indexed="64"/>
          <bgColor theme="7" tint="0.59999389629810485"/>
        </patternFill>
      </fill>
      <alignment horizontal="center" vertical="bottom" textRotation="0" wrapText="0" indent="0" justifyLastLine="0" shrinkToFit="0" readingOrder="0"/>
      <border diagonalUp="0" diagonalDown="0" outline="0">
        <left style="thick">
          <color theme="0"/>
        </left>
        <right style="thick">
          <color theme="0"/>
        </right>
        <top style="thin">
          <color theme="0"/>
        </top>
        <bottom style="thin">
          <color theme="0"/>
        </bottom>
      </border>
      <protection locked="1" hidden="0"/>
    </dxf>
    <dxf>
      <numFmt numFmtId="166" formatCode="0.00000"/>
      <fill>
        <patternFill patternType="solid">
          <fgColor indexed="64"/>
          <bgColor theme="7" tint="0.79998168889431442"/>
        </patternFill>
      </fill>
      <alignment horizontal="center" vertical="bottom" textRotation="0" wrapText="0" indent="0" justifyLastLine="0" shrinkToFit="0" readingOrder="0"/>
      <border diagonalUp="0" diagonalDown="0">
        <left style="thick">
          <color theme="0"/>
        </left>
        <right style="thick">
          <color theme="0"/>
        </right>
        <top style="thin">
          <color theme="0"/>
        </top>
        <bottom style="thin">
          <color theme="0"/>
        </bottom>
        <vertical/>
        <horizontal style="thin">
          <color theme="0"/>
        </horizontal>
      </border>
      <protection locked="1" hidden="0"/>
    </dxf>
    <dxf>
      <numFmt numFmtId="165" formatCode="0.0000"/>
      <fill>
        <patternFill patternType="solid">
          <fgColor indexed="64"/>
          <bgColor theme="7" tint="0.59999389629810485"/>
        </patternFill>
      </fill>
      <alignment horizontal="center" vertical="bottom" textRotation="0" wrapText="0" indent="0" justifyLastLine="0" shrinkToFit="0" readingOrder="0"/>
      <border diagonalUp="0" diagonalDown="0">
        <left style="thick">
          <color theme="0"/>
        </left>
        <right style="thick">
          <color theme="0"/>
        </right>
        <top style="thin">
          <color theme="0"/>
        </top>
        <bottom style="thin">
          <color theme="0"/>
        </bottom>
        <vertical/>
        <horizontal style="thin">
          <color theme="0"/>
        </horizontal>
      </border>
      <protection locked="1" hidden="0"/>
    </dxf>
    <dxf>
      <font>
        <b val="0"/>
        <i val="0"/>
        <strike val="0"/>
        <condense val="0"/>
        <extend val="0"/>
        <outline val="0"/>
        <shadow val="0"/>
        <u val="none"/>
        <vertAlign val="baseline"/>
        <sz val="12"/>
        <color theme="1"/>
        <name val="Calibri"/>
        <scheme val="minor"/>
      </font>
      <numFmt numFmtId="167" formatCode="0.0%"/>
      <fill>
        <patternFill patternType="solid">
          <fgColor indexed="64"/>
          <bgColor theme="4" tint="0.79998168889431442"/>
        </patternFill>
      </fill>
      <alignment horizontal="right" vertical="bottom" textRotation="0" wrapText="0" indent="2" justifyLastLine="0" shrinkToFit="0" readingOrder="0"/>
      <border diagonalUp="0" diagonalDown="0" outline="0">
        <left style="thin">
          <color theme="0"/>
        </left>
        <right style="thick">
          <color theme="0"/>
        </right>
        <top style="thin">
          <color theme="0"/>
        </top>
        <bottom style="thin">
          <color theme="0"/>
        </bottom>
      </border>
    </dxf>
    <dxf>
      <font>
        <b val="0"/>
        <i val="0"/>
        <strike val="0"/>
        <condense val="0"/>
        <extend val="0"/>
        <outline val="0"/>
        <shadow val="0"/>
        <u val="none"/>
        <vertAlign val="baseline"/>
        <sz val="12"/>
        <color theme="1"/>
        <name val="Calibri"/>
        <scheme val="minor"/>
      </font>
      <numFmt numFmtId="167" formatCode="0.0%"/>
      <fill>
        <patternFill patternType="solid">
          <fgColor indexed="64"/>
          <bgColor theme="4" tint="0.79998168889431442"/>
        </patternFill>
      </fill>
      <alignment horizontal="right" vertical="bottom" textRotation="0" wrapText="0" indent="2"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2"/>
        <color theme="1"/>
        <name val="Calibri"/>
        <scheme val="minor"/>
      </font>
      <numFmt numFmtId="174" formatCode="_-* #,##0\ _€_-;\-* #,##0\ _€_-;_-* &quot;-&quot;??\ _€_-;_-@_-"/>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protection locked="1" hidden="0"/>
    </dxf>
    <dxf>
      <font>
        <b val="0"/>
        <i val="0"/>
        <strike val="0"/>
        <condense val="0"/>
        <extend val="0"/>
        <outline val="0"/>
        <shadow val="0"/>
        <u val="none"/>
        <vertAlign val="baseline"/>
        <sz val="12"/>
        <color theme="1"/>
        <name val="Calibri"/>
        <scheme val="minor"/>
      </font>
      <numFmt numFmtId="167" formatCode="0.0%"/>
      <fill>
        <patternFill patternType="solid">
          <fgColor indexed="64"/>
          <bgColor theme="4" tint="0.79998168889431442"/>
        </patternFill>
      </fill>
      <alignment horizontal="right" vertical="bottom" textRotation="0" wrapText="0" indent="2" justifyLastLine="0" shrinkToFit="0" readingOrder="0"/>
      <border diagonalUp="0" diagonalDown="0" outline="0">
        <left style="thick">
          <color theme="0"/>
        </left>
        <right style="thin">
          <color theme="0"/>
        </right>
        <top style="thin">
          <color theme="0"/>
        </top>
        <bottom style="thin">
          <color theme="0"/>
        </bottom>
      </border>
      <protection locked="1" hidden="0"/>
    </dxf>
    <dxf>
      <font>
        <b val="0"/>
        <i val="0"/>
        <strike val="0"/>
        <condense val="0"/>
        <extend val="0"/>
        <outline val="0"/>
        <shadow val="0"/>
        <u val="none"/>
        <vertAlign val="baseline"/>
        <sz val="12"/>
        <color theme="1"/>
        <name val="Calibri"/>
        <scheme val="minor"/>
      </font>
      <numFmt numFmtId="169" formatCode="_-* #,##0\ &quot;€&quot;_-;\-* #,##0\ &quot;€&quot;_-;_-* &quot;-&quot;??\ &quot;€&quot;_-;_-@_-"/>
      <fill>
        <patternFill patternType="solid">
          <fgColor indexed="64"/>
          <bgColor theme="4" tint="0.59999389629810485"/>
        </patternFill>
      </fill>
      <alignment horizontal="right" vertical="bottom" textRotation="0" wrapText="0" relativeIndent="1" justifyLastLine="0" shrinkToFit="0" readingOrder="0"/>
      <border diagonalUp="0" diagonalDown="0" outline="0">
        <left style="thick">
          <color theme="0"/>
        </left>
        <right style="thick">
          <color theme="0"/>
        </right>
        <top style="thin">
          <color theme="0"/>
        </top>
        <bottom style="thin">
          <color theme="0"/>
        </bottom>
      </border>
      <protection locked="1" hidden="0"/>
    </dxf>
    <dxf>
      <font>
        <b val="0"/>
        <i val="0"/>
        <strike val="0"/>
        <condense val="0"/>
        <extend val="0"/>
        <outline val="0"/>
        <shadow val="0"/>
        <u val="none"/>
        <vertAlign val="baseline"/>
        <sz val="12"/>
        <color theme="1"/>
        <name val="Calibri"/>
        <scheme val="minor"/>
      </font>
      <numFmt numFmtId="167" formatCode="0.0%"/>
      <fill>
        <patternFill patternType="solid">
          <fgColor indexed="64"/>
          <bgColor theme="4" tint="0.79998168889431442"/>
        </patternFill>
      </fill>
      <alignment horizontal="right" vertical="bottom" textRotation="0" wrapText="0" relativeIndent="-1" justifyLastLine="0" shrinkToFit="0" readingOrder="0"/>
      <border diagonalUp="0" diagonalDown="0" outline="0">
        <left style="thin">
          <color theme="0"/>
        </left>
        <right style="thick">
          <color theme="0"/>
        </right>
        <top style="double">
          <color auto="1"/>
        </top>
        <bottom style="double">
          <color auto="1"/>
        </bottom>
      </border>
      <protection locked="1" hidden="0"/>
    </dxf>
    <dxf>
      <font>
        <b val="0"/>
        <i val="0"/>
        <strike val="0"/>
        <condense val="0"/>
        <extend val="0"/>
        <outline val="0"/>
        <shadow val="0"/>
        <u val="none"/>
        <vertAlign val="baseline"/>
        <sz val="12"/>
        <color theme="1"/>
        <name val="Calibri"/>
        <scheme val="minor"/>
      </font>
      <numFmt numFmtId="170" formatCode="0.0&quot;%&quot;"/>
      <fill>
        <patternFill patternType="solid">
          <fgColor indexed="64"/>
          <bgColor theme="4" tint="0.79998168889431442"/>
        </patternFill>
      </fill>
      <alignment horizontal="right" vertical="bottom" textRotation="0" wrapText="0" relativeIndent="-1" justifyLastLine="0" shrinkToFit="0" readingOrder="0"/>
      <border diagonalUp="0" diagonalDown="0" outline="0">
        <left style="thin">
          <color theme="0"/>
        </left>
        <right style="thin">
          <color theme="0"/>
        </right>
        <top style="double">
          <color auto="1"/>
        </top>
        <bottom style="double">
          <color auto="1"/>
        </bottom>
      </border>
      <protection locked="1" hidden="0"/>
    </dxf>
    <dxf>
      <font>
        <b val="0"/>
        <i val="0"/>
        <strike val="0"/>
        <condense val="0"/>
        <extend val="0"/>
        <outline val="0"/>
        <shadow val="0"/>
        <u val="none"/>
        <vertAlign val="baseline"/>
        <sz val="12"/>
        <color theme="1"/>
        <name val="Calibri"/>
        <scheme val="minor"/>
      </font>
      <numFmt numFmtId="170" formatCode="0.0&quot;%&quot;"/>
      <fill>
        <patternFill patternType="solid">
          <fgColor indexed="64"/>
          <bgColor theme="4" tint="0.79998168889431442"/>
        </patternFill>
      </fill>
      <alignment horizontal="right" vertical="bottom" textRotation="0" wrapText="0" relativeIndent="1" justifyLastLine="0" shrinkToFit="0" readingOrder="0"/>
      <border diagonalUp="0" diagonalDown="0" outline="0">
        <left/>
        <right style="thin">
          <color theme="0"/>
        </right>
        <top style="double">
          <color auto="1"/>
        </top>
        <bottom style="double">
          <color auto="1"/>
        </bottom>
      </border>
      <protection locked="1" hidden="0"/>
    </dxf>
    <dxf>
      <font>
        <b val="0"/>
        <i val="0"/>
        <strike val="0"/>
        <condense val="0"/>
        <extend val="0"/>
        <outline val="0"/>
        <shadow val="0"/>
        <u val="none"/>
        <vertAlign val="baseline"/>
        <sz val="12"/>
        <color theme="1"/>
        <name val="Calibri"/>
        <scheme val="minor"/>
      </font>
      <numFmt numFmtId="169" formatCode="_-* #,##0\ &quot;€&quot;_-;\-* #,##0\ &quot;€&quot;_-;_-* &quot;-&quot;??\ &quot;€&quot;_-;_-@_-"/>
      <fill>
        <patternFill patternType="solid">
          <fgColor indexed="64"/>
          <bgColor theme="4" tint="0.59999389629810485"/>
        </patternFill>
      </fill>
      <alignment horizontal="left" vertical="bottom" textRotation="0" wrapText="0" relativeIndent="-1" justifyLastLine="0" shrinkToFit="0" readingOrder="0"/>
      <border diagonalUp="0" diagonalDown="0" outline="0">
        <left style="thin">
          <color theme="0"/>
        </left>
        <right style="thick">
          <color theme="0"/>
        </right>
        <top style="thin">
          <color theme="0"/>
        </top>
        <bottom style="thin">
          <color theme="0"/>
        </bottom>
      </border>
      <protection locked="1" hidden="0"/>
    </dxf>
    <dxf>
      <font>
        <b val="0"/>
        <i val="0"/>
        <strike val="0"/>
        <condense val="0"/>
        <extend val="0"/>
        <outline val="0"/>
        <shadow val="0"/>
        <u val="none"/>
        <vertAlign val="baseline"/>
        <sz val="12"/>
        <color theme="1"/>
        <name val="Calibri"/>
        <scheme val="minor"/>
      </font>
      <numFmt numFmtId="167" formatCode="0.0%"/>
      <fill>
        <patternFill patternType="solid">
          <fgColor indexed="64"/>
          <bgColor theme="4" tint="0.79998168889431442"/>
        </patternFill>
      </fill>
      <alignment horizontal="right" vertical="bottom" textRotation="0" wrapText="0" indent="2" justifyLastLine="0" shrinkToFit="0" readingOrder="0"/>
      <border diagonalUp="0" diagonalDown="0" outline="0">
        <left style="thick">
          <color theme="0"/>
        </left>
        <right style="thin">
          <color theme="0"/>
        </right>
        <top style="thin">
          <color theme="0"/>
        </top>
        <bottom style="thin">
          <color theme="0"/>
        </bottom>
      </border>
      <protection locked="1" hidden="0"/>
    </dxf>
    <dxf>
      <font>
        <b val="0"/>
        <i val="0"/>
        <strike val="0"/>
        <condense val="0"/>
        <extend val="0"/>
        <outline val="0"/>
        <shadow val="0"/>
        <u val="none"/>
        <vertAlign val="baseline"/>
        <sz val="12"/>
        <color theme="1"/>
        <name val="Calibri"/>
        <scheme val="minor"/>
      </font>
      <numFmt numFmtId="168" formatCode="0.0"/>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theme="0"/>
        </left>
        <right style="thick">
          <color theme="0"/>
        </right>
        <top style="thick">
          <color auto="1"/>
        </top>
        <bottom style="thick">
          <color auto="1"/>
        </bottom>
      </border>
      <protection locked="1" hidden="0"/>
    </dxf>
    <dxf>
      <font>
        <b val="0"/>
        <i val="0"/>
        <strike val="0"/>
        <condense val="0"/>
        <extend val="0"/>
        <outline val="0"/>
        <shadow val="0"/>
        <u val="none"/>
        <vertAlign val="baseline"/>
        <sz val="12"/>
        <color theme="1"/>
        <name val="Calibri"/>
        <scheme val="minor"/>
      </font>
      <numFmt numFmtId="167" formatCode="0.0%"/>
      <fill>
        <patternFill patternType="solid">
          <fgColor indexed="64"/>
          <bgColor theme="4" tint="0.79998168889431442"/>
        </patternFill>
      </fill>
      <alignment horizontal="right" vertical="bottom" textRotation="0" wrapText="0" relativeIndent="1" justifyLastLine="0" shrinkToFit="0" readingOrder="0"/>
      <border diagonalUp="0" diagonalDown="0" outline="0">
        <left style="thick">
          <color theme="0"/>
        </left>
        <right style="thin">
          <color theme="0"/>
        </right>
        <top style="double">
          <color auto="1"/>
        </top>
        <bottom style="double">
          <color auto="1"/>
        </bottom>
      </border>
      <protection locked="1" hidden="0"/>
    </dxf>
    <dxf>
      <font>
        <b val="0"/>
        <i val="0"/>
        <strike val="0"/>
        <condense val="0"/>
        <extend val="0"/>
        <outline val="0"/>
        <shadow val="0"/>
        <u val="none"/>
        <vertAlign val="baseline"/>
        <sz val="12"/>
        <color theme="1"/>
        <name val="Calibri"/>
        <scheme val="minor"/>
      </font>
      <fill>
        <patternFill patternType="solid">
          <fgColor indexed="64"/>
          <bgColor theme="9" tint="0.79998168889431442"/>
        </patternFill>
      </fill>
      <border diagonalUp="0" diagonalDown="0" outline="0">
        <left style="thick">
          <color theme="0"/>
        </left>
        <right style="thick">
          <color theme="0"/>
        </right>
        <top style="thin">
          <color theme="0"/>
        </top>
        <bottom style="thin">
          <color theme="0"/>
        </bottom>
      </border>
      <protection locked="1" hidden="0"/>
    </dxf>
    <dxf>
      <font>
        <b val="0"/>
        <i val="0"/>
        <strike val="0"/>
        <condense val="0"/>
        <extend val="0"/>
        <outline val="0"/>
        <shadow val="0"/>
        <u val="none"/>
        <vertAlign val="baseline"/>
        <sz val="12"/>
        <color theme="1"/>
        <name val="Calibri"/>
        <scheme val="minor"/>
      </font>
      <fill>
        <patternFill patternType="solid">
          <fgColor indexed="64"/>
          <bgColor theme="9" tint="0.59999389629810485"/>
        </patternFill>
      </fill>
      <border diagonalUp="0" diagonalDown="0" outline="0">
        <left/>
        <right style="thick">
          <color theme="0"/>
        </right>
        <top style="thin">
          <color theme="0"/>
        </top>
        <bottom style="thin">
          <color theme="0"/>
        </bottom>
      </border>
      <protection locked="1" hidden="0"/>
    </dxf>
    <dxf>
      <font>
        <strike val="0"/>
        <outline val="0"/>
        <shadow val="0"/>
        <u val="none"/>
        <vertAlign val="baseline"/>
        <sz val="12"/>
        <color theme="1"/>
        <name val="Calibri"/>
        <scheme val="minor"/>
      </font>
      <fill>
        <patternFill>
          <fgColor indexed="64"/>
          <bgColor rgb="FFFFBEA9"/>
        </patternFill>
      </fill>
      <alignment horizontal="right" vertical="bottom" textRotation="0" wrapText="0" relativeIndent="1" justifyLastLine="0" shrinkToFit="0" readingOrder="0"/>
      <border diagonalUp="0" diagonalDown="0" outline="0">
        <left style="thick">
          <color theme="0"/>
        </left>
        <right style="thick">
          <color theme="0"/>
        </right>
        <top/>
        <bottom/>
      </border>
      <protection locked="1" hidden="0"/>
    </dxf>
    <dxf>
      <border diagonalUp="0" diagonalDown="0">
        <left/>
      </border>
    </dxf>
    <dxf>
      <protection locked="1" hidden="0"/>
    </dxf>
    <dxf>
      <border>
        <bottom style="thick">
          <color theme="0"/>
        </bottom>
      </border>
    </dxf>
    <dxf>
      <alignment horizontal="center" vertical="center" textRotation="0" wrapText="1" indent="0" justifyLastLine="0" shrinkToFit="0" readingOrder="0"/>
      <border diagonalUp="0" diagonalDown="0" outline="0">
        <left style="thick">
          <color theme="0"/>
        </left>
        <right style="thick">
          <color theme="0"/>
        </right>
        <top/>
        <bottom/>
      </border>
      <protection locked="1" hidden="0"/>
    </dxf>
  </dxfs>
  <tableStyles count="0" defaultTableStyle="TableStyleMedium9" defaultPivotStyle="PivotStyleMedium7"/>
  <colors>
    <mruColors>
      <color rgb="FFA9D37F"/>
      <color rgb="FFFFBEA9"/>
      <color rgb="FFFFC742"/>
      <color rgb="FFFFA942"/>
      <color rgb="FFF9696B"/>
      <color rgb="FF63BE7B"/>
      <color rgb="FF86C97D"/>
      <color rgb="FFCCDE82"/>
      <color rgb="FFEFE783"/>
      <color rgb="FFFEDC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s-ES_tradnl" sz="1100"/>
              <a:t>Tasa de parados sin prestación</a:t>
            </a:r>
          </a:p>
        </c:rich>
      </c:tx>
      <c:overlay val="0"/>
      <c:spPr>
        <a:solidFill>
          <a:schemeClr val="accent1">
            <a:lumMod val="20000"/>
            <a:lumOff val="80000"/>
          </a:schemeClr>
        </a:solid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noFill/>
            <a:ln>
              <a:no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Gráficos!$I$121</c:f>
              <c:numCache>
                <c:formatCode>General</c:formatCode>
                <c:ptCount val="1"/>
                <c:pt idx="0">
                  <c:v>2.8481565612441029E-2</c:v>
                </c:pt>
              </c:numCache>
            </c:numRef>
          </c:val>
          <c:extLst>
            <c:ext xmlns:c16="http://schemas.microsoft.com/office/drawing/2014/chart" uri="{C3380CC4-5D6E-409C-BE32-E72D297353CC}">
              <c16:uniqueId val="{00000000-43DD-4872-B417-260C062CBD72}"/>
            </c:ext>
          </c:extLst>
        </c:ser>
        <c:ser>
          <c:idx val="1"/>
          <c:order val="1"/>
          <c:spPr>
            <a:noFill/>
            <a:ln>
              <a:noFill/>
            </a:ln>
            <a:effectLst/>
          </c:spPr>
          <c:invertIfNegative val="0"/>
          <c:dPt>
            <c:idx val="0"/>
            <c:invertIfNegative val="0"/>
            <c:bubble3D val="0"/>
            <c:extLst>
              <c:ext xmlns:c16="http://schemas.microsoft.com/office/drawing/2014/chart" uri="{C3380CC4-5D6E-409C-BE32-E72D297353CC}">
                <c16:uniqueId val="{00000001-43DD-4872-B417-260C062CBD72}"/>
              </c:ext>
            </c:extLst>
          </c:dPt>
          <c:errBars>
            <c:errBarType val="minus"/>
            <c:errValType val="percentage"/>
            <c:noEndCap val="1"/>
            <c:val val="100"/>
            <c:spPr>
              <a:noFill/>
              <a:ln w="15875" cap="flat" cmpd="sng" algn="ctr">
                <a:solidFill>
                  <a:schemeClr val="accent1"/>
                </a:solidFill>
                <a:round/>
              </a:ln>
              <a:effectLst/>
            </c:spPr>
          </c:errBars>
          <c:val>
            <c:numRef>
              <c:f>Gráficos!$I$122</c:f>
              <c:numCache>
                <c:formatCode>General</c:formatCode>
                <c:ptCount val="1"/>
                <c:pt idx="0">
                  <c:v>4.7038482405398693E-3</c:v>
                </c:pt>
              </c:numCache>
            </c:numRef>
          </c:val>
          <c:extLst>
            <c:ext xmlns:c16="http://schemas.microsoft.com/office/drawing/2014/chart" uri="{C3380CC4-5D6E-409C-BE32-E72D297353CC}">
              <c16:uniqueId val="{00000002-43DD-4872-B417-260C062CBD72}"/>
            </c:ext>
          </c:extLst>
        </c:ser>
        <c:ser>
          <c:idx val="2"/>
          <c:order val="2"/>
          <c:spPr>
            <a:solidFill>
              <a:schemeClr val="accent1">
                <a:alpha val="50000"/>
              </a:schemeClr>
            </a:solidFill>
            <a:ln w="15875">
              <a:solidFill>
                <a:schemeClr val="accent1"/>
              </a:solid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Gráficos!$I$123</c:f>
              <c:numCache>
                <c:formatCode>General</c:formatCode>
                <c:ptCount val="1"/>
                <c:pt idx="0">
                  <c:v>1.3285331191940822E-2</c:v>
                </c:pt>
              </c:numCache>
            </c:numRef>
          </c:val>
          <c:extLst>
            <c:ext xmlns:c16="http://schemas.microsoft.com/office/drawing/2014/chart" uri="{C3380CC4-5D6E-409C-BE32-E72D297353CC}">
              <c16:uniqueId val="{00000003-43DD-4872-B417-260C062CBD72}"/>
            </c:ext>
          </c:extLst>
        </c:ser>
        <c:ser>
          <c:idx val="3"/>
          <c:order val="3"/>
          <c:spPr>
            <a:solidFill>
              <a:schemeClr val="accent1">
                <a:alpha val="50000"/>
              </a:schemeClr>
            </a:solidFill>
            <a:ln w="15875">
              <a:solidFill>
                <a:schemeClr val="accent1"/>
              </a:solid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Gráficos!$I$124</c:f>
              <c:numCache>
                <c:formatCode>General</c:formatCode>
                <c:ptCount val="1"/>
                <c:pt idx="0">
                  <c:v>1.0637064686576166E-2</c:v>
                </c:pt>
              </c:numCache>
            </c:numRef>
          </c:val>
          <c:extLst>
            <c:ext xmlns:c16="http://schemas.microsoft.com/office/drawing/2014/chart" uri="{C3380CC4-5D6E-409C-BE32-E72D297353CC}">
              <c16:uniqueId val="{00000004-43DD-4872-B417-260C062CBD72}"/>
            </c:ext>
          </c:extLst>
        </c:ser>
        <c:ser>
          <c:idx val="4"/>
          <c:order val="4"/>
          <c:spPr>
            <a:noFill/>
            <a:ln>
              <a:noFill/>
            </a:ln>
            <a:effectLst/>
          </c:spPr>
          <c:invertIfNegative val="0"/>
          <c:errBars>
            <c:errBarType val="minus"/>
            <c:errValType val="percentage"/>
            <c:noEndCap val="1"/>
            <c:val val="100"/>
            <c:spPr>
              <a:noFill/>
              <a:ln w="15875" cap="flat" cmpd="sng" algn="ctr">
                <a:solidFill>
                  <a:schemeClr val="accent1"/>
                </a:solidFill>
                <a:round/>
              </a:ln>
              <a:effectLst/>
            </c:spPr>
          </c:errBars>
          <c:val>
            <c:numRef>
              <c:f>Gráficos!$I$125</c:f>
              <c:numCache>
                <c:formatCode>General</c:formatCode>
                <c:ptCount val="1"/>
                <c:pt idx="0">
                  <c:v>2.0150537805279076E-2</c:v>
                </c:pt>
              </c:numCache>
            </c:numRef>
          </c:val>
          <c:extLst>
            <c:ext xmlns:c16="http://schemas.microsoft.com/office/drawing/2014/chart" uri="{C3380CC4-5D6E-409C-BE32-E72D297353CC}">
              <c16:uniqueId val="{00000005-43DD-4872-B417-260C062CBD72}"/>
            </c:ext>
          </c:extLst>
        </c:ser>
        <c:dLbls>
          <c:showLegendKey val="0"/>
          <c:showVal val="0"/>
          <c:showCatName val="0"/>
          <c:showSerName val="0"/>
          <c:showPercent val="0"/>
          <c:showBubbleSize val="0"/>
        </c:dLbls>
        <c:gapWidth val="150"/>
        <c:overlap val="100"/>
        <c:axId val="271745552"/>
        <c:axId val="164725816"/>
      </c:barChart>
      <c:catAx>
        <c:axId val="271745552"/>
        <c:scaling>
          <c:orientation val="minMax"/>
        </c:scaling>
        <c:delete val="1"/>
        <c:axPos val="b"/>
        <c:majorTickMark val="none"/>
        <c:minorTickMark val="none"/>
        <c:tickLblPos val="nextTo"/>
        <c:crossAx val="164725816"/>
        <c:crosses val="autoZero"/>
        <c:auto val="1"/>
        <c:lblAlgn val="ctr"/>
        <c:lblOffset val="100"/>
        <c:noMultiLvlLbl val="0"/>
      </c:catAx>
      <c:valAx>
        <c:axId val="164725816"/>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71745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s-ES_tradnl" sz="1100"/>
              <a:t>Familas perceptoras renta mínima</a:t>
            </a:r>
          </a:p>
        </c:rich>
      </c:tx>
      <c:overlay val="0"/>
      <c:spPr>
        <a:solidFill>
          <a:schemeClr val="accent1">
            <a:lumMod val="20000"/>
            <a:lumOff val="80000"/>
          </a:schemeClr>
        </a:solid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noFill/>
            <a:ln>
              <a:no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Gráficos!$E$121</c:f>
              <c:numCache>
                <c:formatCode>0</c:formatCode>
                <c:ptCount val="1"/>
                <c:pt idx="0">
                  <c:v>73</c:v>
                </c:pt>
              </c:numCache>
            </c:numRef>
          </c:val>
          <c:extLst>
            <c:ext xmlns:c16="http://schemas.microsoft.com/office/drawing/2014/chart" uri="{C3380CC4-5D6E-409C-BE32-E72D297353CC}">
              <c16:uniqueId val="{00000000-64D0-4B9C-8DAB-D294A998ABFB}"/>
            </c:ext>
          </c:extLst>
        </c:ser>
        <c:ser>
          <c:idx val="1"/>
          <c:order val="1"/>
          <c:spPr>
            <a:noFill/>
            <a:ln>
              <a:noFill/>
            </a:ln>
            <a:effectLst/>
          </c:spPr>
          <c:invertIfNegative val="0"/>
          <c:errBars>
            <c:errBarType val="minus"/>
            <c:errValType val="percentage"/>
            <c:noEndCap val="1"/>
            <c:val val="100"/>
            <c:spPr>
              <a:noFill/>
              <a:ln w="15875" cap="flat" cmpd="sng" algn="ctr">
                <a:solidFill>
                  <a:schemeClr val="accent1"/>
                </a:solidFill>
                <a:round/>
              </a:ln>
              <a:effectLst/>
            </c:spPr>
          </c:errBars>
          <c:val>
            <c:numRef>
              <c:f>Gráficos!$E$122</c:f>
              <c:numCache>
                <c:formatCode>0</c:formatCode>
                <c:ptCount val="1"/>
                <c:pt idx="0">
                  <c:v>169</c:v>
                </c:pt>
              </c:numCache>
            </c:numRef>
          </c:val>
          <c:extLst>
            <c:ext xmlns:c16="http://schemas.microsoft.com/office/drawing/2014/chart" uri="{C3380CC4-5D6E-409C-BE32-E72D297353CC}">
              <c16:uniqueId val="{00000001-64D0-4B9C-8DAB-D294A998ABFB}"/>
            </c:ext>
          </c:extLst>
        </c:ser>
        <c:ser>
          <c:idx val="2"/>
          <c:order val="2"/>
          <c:spPr>
            <a:solidFill>
              <a:schemeClr val="accent1">
                <a:alpha val="50000"/>
              </a:schemeClr>
            </a:solidFill>
            <a:ln>
              <a:solidFill>
                <a:schemeClr val="accent1"/>
              </a:solid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Gráficos!$E$123</c:f>
              <c:numCache>
                <c:formatCode>0</c:formatCode>
                <c:ptCount val="1"/>
                <c:pt idx="0">
                  <c:v>354</c:v>
                </c:pt>
              </c:numCache>
            </c:numRef>
          </c:val>
          <c:extLst>
            <c:ext xmlns:c16="http://schemas.microsoft.com/office/drawing/2014/chart" uri="{C3380CC4-5D6E-409C-BE32-E72D297353CC}">
              <c16:uniqueId val="{00000002-64D0-4B9C-8DAB-D294A998ABFB}"/>
            </c:ext>
          </c:extLst>
        </c:ser>
        <c:ser>
          <c:idx val="3"/>
          <c:order val="3"/>
          <c:spPr>
            <a:solidFill>
              <a:schemeClr val="accent1">
                <a:alpha val="50000"/>
              </a:schemeClr>
            </a:solidFill>
            <a:ln>
              <a:solidFill>
                <a:schemeClr val="accent1"/>
              </a:solid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Gráficos!$E$124</c:f>
              <c:numCache>
                <c:formatCode>0</c:formatCode>
                <c:ptCount val="1"/>
                <c:pt idx="0">
                  <c:v>634</c:v>
                </c:pt>
              </c:numCache>
            </c:numRef>
          </c:val>
          <c:extLst>
            <c:ext xmlns:c16="http://schemas.microsoft.com/office/drawing/2014/chart" uri="{C3380CC4-5D6E-409C-BE32-E72D297353CC}">
              <c16:uniqueId val="{00000003-64D0-4B9C-8DAB-D294A998ABFB}"/>
            </c:ext>
          </c:extLst>
        </c:ser>
        <c:ser>
          <c:idx val="4"/>
          <c:order val="4"/>
          <c:spPr>
            <a:noFill/>
            <a:ln>
              <a:noFill/>
            </a:ln>
            <a:effectLst/>
          </c:spPr>
          <c:invertIfNegative val="0"/>
          <c:errBars>
            <c:errBarType val="minus"/>
            <c:errValType val="percentage"/>
            <c:noEndCap val="1"/>
            <c:val val="100"/>
            <c:spPr>
              <a:noFill/>
              <a:ln w="15875" cap="flat" cmpd="sng" algn="ctr">
                <a:solidFill>
                  <a:schemeClr val="accent1"/>
                </a:solidFill>
                <a:round/>
              </a:ln>
              <a:effectLst/>
            </c:spPr>
          </c:errBars>
          <c:val>
            <c:numRef>
              <c:f>Gráficos!$E$125</c:f>
              <c:numCache>
                <c:formatCode>0</c:formatCode>
                <c:ptCount val="1"/>
                <c:pt idx="0">
                  <c:v>2097</c:v>
                </c:pt>
              </c:numCache>
            </c:numRef>
          </c:val>
          <c:extLst>
            <c:ext xmlns:c16="http://schemas.microsoft.com/office/drawing/2014/chart" uri="{C3380CC4-5D6E-409C-BE32-E72D297353CC}">
              <c16:uniqueId val="{00000004-64D0-4B9C-8DAB-D294A998ABFB}"/>
            </c:ext>
          </c:extLst>
        </c:ser>
        <c:dLbls>
          <c:showLegendKey val="0"/>
          <c:showVal val="0"/>
          <c:showCatName val="0"/>
          <c:showSerName val="0"/>
          <c:showPercent val="0"/>
          <c:showBubbleSize val="0"/>
        </c:dLbls>
        <c:gapWidth val="150"/>
        <c:overlap val="100"/>
        <c:axId val="272881496"/>
        <c:axId val="272881888"/>
      </c:barChart>
      <c:catAx>
        <c:axId val="272881496"/>
        <c:scaling>
          <c:orientation val="minMax"/>
        </c:scaling>
        <c:delete val="1"/>
        <c:axPos val="b"/>
        <c:majorTickMark val="none"/>
        <c:minorTickMark val="none"/>
        <c:tickLblPos val="nextTo"/>
        <c:crossAx val="272881888"/>
        <c:crosses val="autoZero"/>
        <c:auto val="1"/>
        <c:lblAlgn val="ctr"/>
        <c:lblOffset val="100"/>
        <c:noMultiLvlLbl val="0"/>
      </c:catAx>
      <c:valAx>
        <c:axId val="272881888"/>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0\ &quot;€&quot;"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72881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s-ES_tradnl" sz="1100"/>
              <a:t>Renta media hogar</a:t>
            </a:r>
          </a:p>
        </c:rich>
      </c:tx>
      <c:overlay val="0"/>
      <c:spPr>
        <a:solidFill>
          <a:schemeClr val="accent1">
            <a:lumMod val="20000"/>
            <a:lumOff val="80000"/>
          </a:schemeClr>
        </a:solid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noFill/>
            <a:ln>
              <a:no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Gráficos!$F$121</c:f>
              <c:numCache>
                <c:formatCode>0</c:formatCode>
                <c:ptCount val="1"/>
                <c:pt idx="0">
                  <c:v>19587.094904064368</c:v>
                </c:pt>
              </c:numCache>
            </c:numRef>
          </c:val>
          <c:extLst>
            <c:ext xmlns:c16="http://schemas.microsoft.com/office/drawing/2014/chart" uri="{C3380CC4-5D6E-409C-BE32-E72D297353CC}">
              <c16:uniqueId val="{00000000-360B-45EB-AF5A-4A776E12F438}"/>
            </c:ext>
          </c:extLst>
        </c:ser>
        <c:ser>
          <c:idx val="1"/>
          <c:order val="1"/>
          <c:spPr>
            <a:noFill/>
            <a:ln>
              <a:noFill/>
            </a:ln>
            <a:effectLst/>
          </c:spPr>
          <c:invertIfNegative val="0"/>
          <c:errBars>
            <c:errBarType val="minus"/>
            <c:errValType val="percentage"/>
            <c:noEndCap val="1"/>
            <c:val val="100"/>
            <c:spPr>
              <a:noFill/>
              <a:ln w="15875" cap="flat" cmpd="sng" algn="ctr">
                <a:solidFill>
                  <a:schemeClr val="accent1"/>
                </a:solidFill>
                <a:round/>
              </a:ln>
              <a:effectLst/>
            </c:spPr>
          </c:errBars>
          <c:val>
            <c:numRef>
              <c:f>Gráficos!$F$122</c:f>
              <c:numCache>
                <c:formatCode>0</c:formatCode>
                <c:ptCount val="1"/>
                <c:pt idx="0">
                  <c:v>8994.2830245462974</c:v>
                </c:pt>
              </c:numCache>
            </c:numRef>
          </c:val>
          <c:extLst>
            <c:ext xmlns:c16="http://schemas.microsoft.com/office/drawing/2014/chart" uri="{C3380CC4-5D6E-409C-BE32-E72D297353CC}">
              <c16:uniqueId val="{00000001-360B-45EB-AF5A-4A776E12F438}"/>
            </c:ext>
          </c:extLst>
        </c:ser>
        <c:ser>
          <c:idx val="2"/>
          <c:order val="2"/>
          <c:spPr>
            <a:solidFill>
              <a:schemeClr val="accent1">
                <a:alpha val="50000"/>
              </a:schemeClr>
            </a:solidFill>
            <a:ln>
              <a:solidFill>
                <a:schemeClr val="accent1"/>
              </a:solid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Gráficos!$F$123</c:f>
              <c:numCache>
                <c:formatCode>0</c:formatCode>
                <c:ptCount val="1"/>
                <c:pt idx="0">
                  <c:v>8110.1004639949679</c:v>
                </c:pt>
              </c:numCache>
            </c:numRef>
          </c:val>
          <c:extLst>
            <c:ext xmlns:c16="http://schemas.microsoft.com/office/drawing/2014/chart" uri="{C3380CC4-5D6E-409C-BE32-E72D297353CC}">
              <c16:uniqueId val="{00000002-360B-45EB-AF5A-4A776E12F438}"/>
            </c:ext>
          </c:extLst>
        </c:ser>
        <c:ser>
          <c:idx val="3"/>
          <c:order val="3"/>
          <c:spPr>
            <a:solidFill>
              <a:schemeClr val="accent1">
                <a:alpha val="50000"/>
              </a:schemeClr>
            </a:solidFill>
            <a:ln>
              <a:solidFill>
                <a:schemeClr val="accent1"/>
              </a:solid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Gráficos!$F$124</c:f>
              <c:numCache>
                <c:formatCode>0</c:formatCode>
                <c:ptCount val="1"/>
                <c:pt idx="0">
                  <c:v>10973.8734553225</c:v>
                </c:pt>
              </c:numCache>
            </c:numRef>
          </c:val>
          <c:extLst>
            <c:ext xmlns:c16="http://schemas.microsoft.com/office/drawing/2014/chart" uri="{C3380CC4-5D6E-409C-BE32-E72D297353CC}">
              <c16:uniqueId val="{00000003-360B-45EB-AF5A-4A776E12F438}"/>
            </c:ext>
          </c:extLst>
        </c:ser>
        <c:ser>
          <c:idx val="4"/>
          <c:order val="4"/>
          <c:spPr>
            <a:noFill/>
            <a:ln>
              <a:noFill/>
            </a:ln>
            <a:effectLst/>
          </c:spPr>
          <c:invertIfNegative val="0"/>
          <c:errBars>
            <c:errBarType val="minus"/>
            <c:errValType val="percentage"/>
            <c:noEndCap val="1"/>
            <c:val val="100"/>
            <c:spPr>
              <a:noFill/>
              <a:ln w="15875" cap="flat" cmpd="sng" algn="ctr">
                <a:solidFill>
                  <a:schemeClr val="accent1"/>
                </a:solidFill>
                <a:round/>
              </a:ln>
              <a:effectLst/>
            </c:spPr>
          </c:errBars>
          <c:val>
            <c:numRef>
              <c:f>Gráficos!$F$125</c:f>
              <c:numCache>
                <c:formatCode>0</c:formatCode>
                <c:ptCount val="1"/>
                <c:pt idx="0">
                  <c:v>64655.396245947079</c:v>
                </c:pt>
              </c:numCache>
            </c:numRef>
          </c:val>
          <c:extLst>
            <c:ext xmlns:c16="http://schemas.microsoft.com/office/drawing/2014/chart" uri="{C3380CC4-5D6E-409C-BE32-E72D297353CC}">
              <c16:uniqueId val="{00000004-360B-45EB-AF5A-4A776E12F438}"/>
            </c:ext>
          </c:extLst>
        </c:ser>
        <c:dLbls>
          <c:showLegendKey val="0"/>
          <c:showVal val="0"/>
          <c:showCatName val="0"/>
          <c:showSerName val="0"/>
          <c:showPercent val="0"/>
          <c:showBubbleSize val="0"/>
        </c:dLbls>
        <c:gapWidth val="150"/>
        <c:overlap val="100"/>
        <c:axId val="272882672"/>
        <c:axId val="272883064"/>
      </c:barChart>
      <c:catAx>
        <c:axId val="272882672"/>
        <c:scaling>
          <c:orientation val="minMax"/>
        </c:scaling>
        <c:delete val="1"/>
        <c:axPos val="b"/>
        <c:majorTickMark val="none"/>
        <c:minorTickMark val="none"/>
        <c:tickLblPos val="nextTo"/>
        <c:crossAx val="272883064"/>
        <c:crosses val="autoZero"/>
        <c:auto val="1"/>
        <c:lblAlgn val="ctr"/>
        <c:lblOffset val="100"/>
        <c:noMultiLvlLbl val="0"/>
      </c:catAx>
      <c:valAx>
        <c:axId val="272883064"/>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0\ &quot;€&quot;"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72882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_tradnl" sz="1100"/>
              <a:t>Población</a:t>
            </a:r>
          </a:p>
        </c:rich>
      </c:tx>
      <c:overlay val="0"/>
      <c:spPr>
        <a:solidFill>
          <a:schemeClr val="accent4">
            <a:lumMod val="20000"/>
            <a:lumOff val="80000"/>
          </a:schemeClr>
        </a:solid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noFill/>
            <a:ln>
              <a:no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Gráficos!$J$121</c:f>
              <c:numCache>
                <c:formatCode>0.0000</c:formatCode>
                <c:ptCount val="1"/>
                <c:pt idx="0">
                  <c:v>3.1935373223066187E-3</c:v>
                </c:pt>
              </c:numCache>
            </c:numRef>
          </c:val>
          <c:extLst>
            <c:ext xmlns:c16="http://schemas.microsoft.com/office/drawing/2014/chart" uri="{C3380CC4-5D6E-409C-BE32-E72D297353CC}">
              <c16:uniqueId val="{00000000-5DF8-42D1-A65B-2E4FC74070B7}"/>
            </c:ext>
          </c:extLst>
        </c:ser>
        <c:ser>
          <c:idx val="1"/>
          <c:order val="1"/>
          <c:spPr>
            <a:noFill/>
            <a:ln>
              <a:noFill/>
            </a:ln>
            <a:effectLst/>
          </c:spPr>
          <c:invertIfNegative val="0"/>
          <c:errBars>
            <c:errBarType val="minus"/>
            <c:errValType val="percentage"/>
            <c:noEndCap val="1"/>
            <c:val val="100"/>
            <c:spPr>
              <a:noFill/>
              <a:ln w="15875" cap="flat" cmpd="sng" algn="ctr">
                <a:solidFill>
                  <a:schemeClr val="accent1"/>
                </a:solidFill>
                <a:round/>
              </a:ln>
              <a:effectLst/>
            </c:spPr>
          </c:errBars>
          <c:val>
            <c:numRef>
              <c:f>Gráficos!$J$122</c:f>
              <c:numCache>
                <c:formatCode>0.0000</c:formatCode>
                <c:ptCount val="1"/>
                <c:pt idx="0">
                  <c:v>1.8535006368053022E-3</c:v>
                </c:pt>
              </c:numCache>
            </c:numRef>
          </c:val>
          <c:extLst>
            <c:ext xmlns:c16="http://schemas.microsoft.com/office/drawing/2014/chart" uri="{C3380CC4-5D6E-409C-BE32-E72D297353CC}">
              <c16:uniqueId val="{00000001-5DF8-42D1-A65B-2E4FC74070B7}"/>
            </c:ext>
          </c:extLst>
        </c:ser>
        <c:ser>
          <c:idx val="2"/>
          <c:order val="2"/>
          <c:spPr>
            <a:solidFill>
              <a:schemeClr val="accent1">
                <a:alpha val="50000"/>
              </a:schemeClr>
            </a:solidFill>
            <a:ln>
              <a:solidFill>
                <a:schemeClr val="accent1"/>
              </a:solid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Gráficos!$J$123</c:f>
              <c:numCache>
                <c:formatCode>0.0000</c:formatCode>
                <c:ptCount val="1"/>
                <c:pt idx="0">
                  <c:v>1.8379698089902915E-3</c:v>
                </c:pt>
              </c:numCache>
            </c:numRef>
          </c:val>
          <c:extLst>
            <c:ext xmlns:c16="http://schemas.microsoft.com/office/drawing/2014/chart" uri="{C3380CC4-5D6E-409C-BE32-E72D297353CC}">
              <c16:uniqueId val="{00000002-5DF8-42D1-A65B-2E4FC74070B7}"/>
            </c:ext>
          </c:extLst>
        </c:ser>
        <c:ser>
          <c:idx val="3"/>
          <c:order val="3"/>
          <c:spPr>
            <a:solidFill>
              <a:schemeClr val="accent1">
                <a:alpha val="50000"/>
              </a:schemeClr>
            </a:solidFill>
            <a:ln>
              <a:solidFill>
                <a:schemeClr val="accent1"/>
              </a:solid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Gráficos!$J$124</c:f>
              <c:numCache>
                <c:formatCode>0.0000</c:formatCode>
                <c:ptCount val="1"/>
                <c:pt idx="0">
                  <c:v>3.1851604609700341E-3</c:v>
                </c:pt>
              </c:numCache>
            </c:numRef>
          </c:val>
          <c:extLst>
            <c:ext xmlns:c16="http://schemas.microsoft.com/office/drawing/2014/chart" uri="{C3380CC4-5D6E-409C-BE32-E72D297353CC}">
              <c16:uniqueId val="{00000003-5DF8-42D1-A65B-2E4FC74070B7}"/>
            </c:ext>
          </c:extLst>
        </c:ser>
        <c:ser>
          <c:idx val="4"/>
          <c:order val="4"/>
          <c:spPr>
            <a:noFill/>
            <a:ln>
              <a:noFill/>
            </a:ln>
            <a:effectLst/>
          </c:spPr>
          <c:invertIfNegative val="0"/>
          <c:errBars>
            <c:errBarType val="minus"/>
            <c:errValType val="percentage"/>
            <c:noEndCap val="1"/>
            <c:val val="100"/>
            <c:spPr>
              <a:noFill/>
              <a:ln w="15875" cap="flat" cmpd="sng" algn="ctr">
                <a:solidFill>
                  <a:schemeClr val="accent1"/>
                </a:solidFill>
                <a:round/>
              </a:ln>
              <a:effectLst/>
            </c:spPr>
          </c:errBars>
          <c:val>
            <c:numRef>
              <c:f>Gráficos!$J$125</c:f>
              <c:numCache>
                <c:formatCode>0.0000</c:formatCode>
                <c:ptCount val="1"/>
                <c:pt idx="0">
                  <c:v>7.2902662521122045E-3</c:v>
                </c:pt>
              </c:numCache>
            </c:numRef>
          </c:val>
          <c:extLst>
            <c:ext xmlns:c16="http://schemas.microsoft.com/office/drawing/2014/chart" uri="{C3380CC4-5D6E-409C-BE32-E72D297353CC}">
              <c16:uniqueId val="{00000004-5DF8-42D1-A65B-2E4FC74070B7}"/>
            </c:ext>
          </c:extLst>
        </c:ser>
        <c:dLbls>
          <c:showLegendKey val="0"/>
          <c:showVal val="0"/>
          <c:showCatName val="0"/>
          <c:showSerName val="0"/>
          <c:showPercent val="0"/>
          <c:showBubbleSize val="0"/>
        </c:dLbls>
        <c:gapWidth val="150"/>
        <c:overlap val="100"/>
        <c:axId val="165199576"/>
        <c:axId val="165199184"/>
      </c:barChart>
      <c:catAx>
        <c:axId val="165199576"/>
        <c:scaling>
          <c:orientation val="minMax"/>
        </c:scaling>
        <c:delete val="1"/>
        <c:axPos val="b"/>
        <c:majorTickMark val="none"/>
        <c:minorTickMark val="none"/>
        <c:tickLblPos val="nextTo"/>
        <c:crossAx val="165199184"/>
        <c:crosses val="autoZero"/>
        <c:auto val="1"/>
        <c:lblAlgn val="ctr"/>
        <c:lblOffset val="100"/>
        <c:noMultiLvlLbl val="0"/>
      </c:catAx>
      <c:valAx>
        <c:axId val="165199184"/>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65199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_tradnl" sz="1100"/>
              <a:t>Estatus Socio-económico</a:t>
            </a:r>
          </a:p>
        </c:rich>
      </c:tx>
      <c:overlay val="0"/>
      <c:spPr>
        <a:solidFill>
          <a:schemeClr val="accent4">
            <a:lumMod val="20000"/>
            <a:lumOff val="80000"/>
          </a:schemeClr>
        </a:solid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noFill/>
            <a:ln>
              <a:no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Gráficos!$K$121</c:f>
              <c:numCache>
                <c:formatCode>0.0000</c:formatCode>
                <c:ptCount val="1"/>
                <c:pt idx="0">
                  <c:v>7.5370649433810491E-3</c:v>
                </c:pt>
              </c:numCache>
            </c:numRef>
          </c:val>
          <c:extLst>
            <c:ext xmlns:c16="http://schemas.microsoft.com/office/drawing/2014/chart" uri="{C3380CC4-5D6E-409C-BE32-E72D297353CC}">
              <c16:uniqueId val="{00000000-D392-46D1-B20A-B9F76CC83501}"/>
            </c:ext>
          </c:extLst>
        </c:ser>
        <c:ser>
          <c:idx val="1"/>
          <c:order val="1"/>
          <c:spPr>
            <a:noFill/>
            <a:ln>
              <a:noFill/>
            </a:ln>
            <a:effectLst/>
          </c:spPr>
          <c:invertIfNegative val="0"/>
          <c:errBars>
            <c:errBarType val="minus"/>
            <c:errValType val="percentage"/>
            <c:noEndCap val="1"/>
            <c:val val="100"/>
            <c:spPr>
              <a:noFill/>
              <a:ln w="15875" cap="flat" cmpd="sng" algn="ctr">
                <a:solidFill>
                  <a:schemeClr val="accent1"/>
                </a:solidFill>
                <a:round/>
              </a:ln>
              <a:effectLst/>
            </c:spPr>
          </c:errBars>
          <c:val>
            <c:numRef>
              <c:f>Gráficos!$K$122</c:f>
              <c:numCache>
                <c:formatCode>0.0000</c:formatCode>
                <c:ptCount val="1"/>
                <c:pt idx="0">
                  <c:v>8.936266554931873E-5</c:v>
                </c:pt>
              </c:numCache>
            </c:numRef>
          </c:val>
          <c:extLst>
            <c:ext xmlns:c16="http://schemas.microsoft.com/office/drawing/2014/chart" uri="{C3380CC4-5D6E-409C-BE32-E72D297353CC}">
              <c16:uniqueId val="{00000001-D392-46D1-B20A-B9F76CC83501}"/>
            </c:ext>
          </c:extLst>
        </c:ser>
        <c:ser>
          <c:idx val="2"/>
          <c:order val="2"/>
          <c:spPr>
            <a:solidFill>
              <a:schemeClr val="accent1">
                <a:alpha val="50000"/>
              </a:schemeClr>
            </a:solidFill>
            <a:ln>
              <a:solidFill>
                <a:schemeClr val="accent1"/>
              </a:solid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Gráficos!$K$123</c:f>
              <c:numCache>
                <c:formatCode>0.0000</c:formatCode>
                <c:ptCount val="1"/>
                <c:pt idx="0">
                  <c:v>1.5167405047493768E-5</c:v>
                </c:pt>
              </c:numCache>
            </c:numRef>
          </c:val>
          <c:extLst>
            <c:ext xmlns:c16="http://schemas.microsoft.com/office/drawing/2014/chart" uri="{C3380CC4-5D6E-409C-BE32-E72D297353CC}">
              <c16:uniqueId val="{00000002-D392-46D1-B20A-B9F76CC83501}"/>
            </c:ext>
          </c:extLst>
        </c:ser>
        <c:ser>
          <c:idx val="3"/>
          <c:order val="3"/>
          <c:spPr>
            <a:solidFill>
              <a:schemeClr val="accent1">
                <a:alpha val="50000"/>
              </a:schemeClr>
            </a:solidFill>
            <a:ln>
              <a:solidFill>
                <a:schemeClr val="accent1"/>
              </a:solid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Gráficos!$K$124</c:f>
              <c:numCache>
                <c:formatCode>0.0000</c:formatCode>
                <c:ptCount val="1"/>
                <c:pt idx="0">
                  <c:v>1.1209276215375097E-5</c:v>
                </c:pt>
              </c:numCache>
            </c:numRef>
          </c:val>
          <c:extLst>
            <c:ext xmlns:c16="http://schemas.microsoft.com/office/drawing/2014/chart" uri="{C3380CC4-5D6E-409C-BE32-E72D297353CC}">
              <c16:uniqueId val="{00000003-D392-46D1-B20A-B9F76CC83501}"/>
            </c:ext>
          </c:extLst>
        </c:ser>
        <c:ser>
          <c:idx val="4"/>
          <c:order val="4"/>
          <c:spPr>
            <a:noFill/>
            <a:ln>
              <a:noFill/>
            </a:ln>
            <a:effectLst/>
          </c:spPr>
          <c:invertIfNegative val="0"/>
          <c:errBars>
            <c:errBarType val="minus"/>
            <c:errValType val="percentage"/>
            <c:noEndCap val="1"/>
            <c:val val="100"/>
            <c:spPr>
              <a:noFill/>
              <a:ln w="15875" cap="flat" cmpd="sng" algn="ctr">
                <a:solidFill>
                  <a:schemeClr val="accent1"/>
                </a:solidFill>
                <a:round/>
              </a:ln>
              <a:effectLst/>
            </c:spPr>
          </c:errBars>
          <c:val>
            <c:numRef>
              <c:f>Gráficos!$K$125</c:f>
              <c:numCache>
                <c:formatCode>0.0000</c:formatCode>
                <c:ptCount val="1"/>
                <c:pt idx="0">
                  <c:v>1.2431338332859372E-5</c:v>
                </c:pt>
              </c:numCache>
            </c:numRef>
          </c:val>
          <c:extLst>
            <c:ext xmlns:c16="http://schemas.microsoft.com/office/drawing/2014/chart" uri="{C3380CC4-5D6E-409C-BE32-E72D297353CC}">
              <c16:uniqueId val="{00000004-D392-46D1-B20A-B9F76CC83501}"/>
            </c:ext>
          </c:extLst>
        </c:ser>
        <c:dLbls>
          <c:showLegendKey val="0"/>
          <c:showVal val="0"/>
          <c:showCatName val="0"/>
          <c:showSerName val="0"/>
          <c:showPercent val="0"/>
          <c:showBubbleSize val="0"/>
        </c:dLbls>
        <c:gapWidth val="150"/>
        <c:overlap val="100"/>
        <c:axId val="273661720"/>
        <c:axId val="273662112"/>
      </c:barChart>
      <c:catAx>
        <c:axId val="273661720"/>
        <c:scaling>
          <c:orientation val="minMax"/>
        </c:scaling>
        <c:delete val="1"/>
        <c:axPos val="b"/>
        <c:majorTickMark val="none"/>
        <c:minorTickMark val="none"/>
        <c:tickLblPos val="nextTo"/>
        <c:crossAx val="273662112"/>
        <c:crosses val="autoZero"/>
        <c:auto val="1"/>
        <c:lblAlgn val="ctr"/>
        <c:lblOffset val="100"/>
        <c:noMultiLvlLbl val="0"/>
      </c:catAx>
      <c:valAx>
        <c:axId val="273662112"/>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0.000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73661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_tradnl" sz="1100"/>
              <a:t>Actividad Económica</a:t>
            </a:r>
          </a:p>
        </c:rich>
      </c:tx>
      <c:overlay val="0"/>
      <c:spPr>
        <a:solidFill>
          <a:schemeClr val="accent4">
            <a:lumMod val="20000"/>
            <a:lumOff val="80000"/>
          </a:schemeClr>
        </a:solid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noFill/>
            <a:ln>
              <a:no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Gráficos!$L$121</c:f>
              <c:numCache>
                <c:formatCode>0.0000</c:formatCode>
                <c:ptCount val="1"/>
                <c:pt idx="0">
                  <c:v>3.8677573220674494E-3</c:v>
                </c:pt>
              </c:numCache>
            </c:numRef>
          </c:val>
          <c:extLst>
            <c:ext xmlns:c16="http://schemas.microsoft.com/office/drawing/2014/chart" uri="{C3380CC4-5D6E-409C-BE32-E72D297353CC}">
              <c16:uniqueId val="{00000000-AC30-4CA9-B882-B8350C161F35}"/>
            </c:ext>
          </c:extLst>
        </c:ser>
        <c:ser>
          <c:idx val="1"/>
          <c:order val="1"/>
          <c:spPr>
            <a:noFill/>
            <a:ln>
              <a:noFill/>
            </a:ln>
            <a:effectLst/>
          </c:spPr>
          <c:invertIfNegative val="0"/>
          <c:errBars>
            <c:errBarType val="minus"/>
            <c:errValType val="percentage"/>
            <c:noEndCap val="1"/>
            <c:val val="100"/>
            <c:spPr>
              <a:noFill/>
              <a:ln w="15875" cap="flat" cmpd="sng" algn="ctr">
                <a:solidFill>
                  <a:schemeClr val="accent1"/>
                </a:solidFill>
                <a:round/>
              </a:ln>
              <a:effectLst/>
            </c:spPr>
          </c:errBars>
          <c:val>
            <c:numRef>
              <c:f>Gráficos!$L$122</c:f>
              <c:numCache>
                <c:formatCode>0.0000</c:formatCode>
                <c:ptCount val="1"/>
                <c:pt idx="0">
                  <c:v>1.9157826375302981E-3</c:v>
                </c:pt>
              </c:numCache>
            </c:numRef>
          </c:val>
          <c:extLst>
            <c:ext xmlns:c16="http://schemas.microsoft.com/office/drawing/2014/chart" uri="{C3380CC4-5D6E-409C-BE32-E72D297353CC}">
              <c16:uniqueId val="{00000001-AC30-4CA9-B882-B8350C161F35}"/>
            </c:ext>
          </c:extLst>
        </c:ser>
        <c:ser>
          <c:idx val="2"/>
          <c:order val="2"/>
          <c:spPr>
            <a:solidFill>
              <a:schemeClr val="accent1">
                <a:alpha val="50000"/>
              </a:schemeClr>
            </a:solidFill>
            <a:ln>
              <a:solidFill>
                <a:schemeClr val="accent1"/>
              </a:solid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Gráficos!$L$123</c:f>
              <c:numCache>
                <c:formatCode>0.0000</c:formatCode>
                <c:ptCount val="1"/>
                <c:pt idx="0">
                  <c:v>1.6724601374055077E-3</c:v>
                </c:pt>
              </c:numCache>
            </c:numRef>
          </c:val>
          <c:extLst>
            <c:ext xmlns:c16="http://schemas.microsoft.com/office/drawing/2014/chart" uri="{C3380CC4-5D6E-409C-BE32-E72D297353CC}">
              <c16:uniqueId val="{00000002-AC30-4CA9-B882-B8350C161F35}"/>
            </c:ext>
          </c:extLst>
        </c:ser>
        <c:ser>
          <c:idx val="3"/>
          <c:order val="3"/>
          <c:spPr>
            <a:solidFill>
              <a:schemeClr val="accent1">
                <a:alpha val="50000"/>
              </a:schemeClr>
            </a:solidFill>
            <a:ln>
              <a:solidFill>
                <a:schemeClr val="accent1"/>
              </a:solid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Gráficos!$L$124</c:f>
              <c:numCache>
                <c:formatCode>0.0000</c:formatCode>
                <c:ptCount val="1"/>
                <c:pt idx="0">
                  <c:v>1.7433229741283026E-3</c:v>
                </c:pt>
              </c:numCache>
            </c:numRef>
          </c:val>
          <c:extLst>
            <c:ext xmlns:c16="http://schemas.microsoft.com/office/drawing/2014/chart" uri="{C3380CC4-5D6E-409C-BE32-E72D297353CC}">
              <c16:uniqueId val="{00000003-AC30-4CA9-B882-B8350C161F35}"/>
            </c:ext>
          </c:extLst>
        </c:ser>
        <c:ser>
          <c:idx val="4"/>
          <c:order val="4"/>
          <c:spPr>
            <a:noFill/>
            <a:ln>
              <a:noFill/>
            </a:ln>
            <a:effectLst/>
          </c:spPr>
          <c:invertIfNegative val="0"/>
          <c:errBars>
            <c:errBarType val="minus"/>
            <c:errValType val="percentage"/>
            <c:noEndCap val="1"/>
            <c:val val="100"/>
            <c:spPr>
              <a:noFill/>
              <a:ln w="15875" cap="flat" cmpd="sng" algn="ctr">
                <a:solidFill>
                  <a:schemeClr val="accent1"/>
                </a:solidFill>
                <a:round/>
              </a:ln>
              <a:effectLst/>
            </c:spPr>
          </c:errBars>
          <c:val>
            <c:numRef>
              <c:f>Gráficos!$L$125</c:f>
              <c:numCache>
                <c:formatCode>0.0000</c:formatCode>
                <c:ptCount val="1"/>
                <c:pt idx="0">
                  <c:v>4.2373519428401223E-3</c:v>
                </c:pt>
              </c:numCache>
            </c:numRef>
          </c:val>
          <c:extLst>
            <c:ext xmlns:c16="http://schemas.microsoft.com/office/drawing/2014/chart" uri="{C3380CC4-5D6E-409C-BE32-E72D297353CC}">
              <c16:uniqueId val="{00000004-AC30-4CA9-B882-B8350C161F35}"/>
            </c:ext>
          </c:extLst>
        </c:ser>
        <c:dLbls>
          <c:showLegendKey val="0"/>
          <c:showVal val="0"/>
          <c:showCatName val="0"/>
          <c:showSerName val="0"/>
          <c:showPercent val="0"/>
          <c:showBubbleSize val="0"/>
        </c:dLbls>
        <c:gapWidth val="150"/>
        <c:overlap val="100"/>
        <c:axId val="273662896"/>
        <c:axId val="273663288"/>
      </c:barChart>
      <c:catAx>
        <c:axId val="273662896"/>
        <c:scaling>
          <c:orientation val="minMax"/>
        </c:scaling>
        <c:delete val="1"/>
        <c:axPos val="b"/>
        <c:majorTickMark val="none"/>
        <c:minorTickMark val="none"/>
        <c:tickLblPos val="nextTo"/>
        <c:crossAx val="273663288"/>
        <c:crosses val="autoZero"/>
        <c:auto val="1"/>
        <c:lblAlgn val="ctr"/>
        <c:lblOffset val="100"/>
        <c:noMultiLvlLbl val="0"/>
      </c:catAx>
      <c:valAx>
        <c:axId val="273663288"/>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73662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_tradnl" sz="1100"/>
              <a:t>Desarrollo Urnanístico</a:t>
            </a:r>
          </a:p>
        </c:rich>
      </c:tx>
      <c:overlay val="0"/>
      <c:spPr>
        <a:solidFill>
          <a:schemeClr val="accent4">
            <a:lumMod val="20000"/>
            <a:lumOff val="80000"/>
          </a:schemeClr>
        </a:solid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noFill/>
            <a:ln>
              <a:no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Gráficos!$M$121</c:f>
              <c:numCache>
                <c:formatCode>0.0000</c:formatCode>
                <c:ptCount val="1"/>
                <c:pt idx="0">
                  <c:v>7.4688178989360541E-3</c:v>
                </c:pt>
              </c:numCache>
            </c:numRef>
          </c:val>
          <c:extLst>
            <c:ext xmlns:c16="http://schemas.microsoft.com/office/drawing/2014/chart" uri="{C3380CC4-5D6E-409C-BE32-E72D297353CC}">
              <c16:uniqueId val="{00000000-9F2E-4DD7-A9C1-4B0BE835ED6A}"/>
            </c:ext>
          </c:extLst>
        </c:ser>
        <c:ser>
          <c:idx val="1"/>
          <c:order val="1"/>
          <c:spPr>
            <a:noFill/>
            <a:ln>
              <a:noFill/>
            </a:ln>
            <a:effectLst/>
          </c:spPr>
          <c:invertIfNegative val="0"/>
          <c:errBars>
            <c:errBarType val="minus"/>
            <c:errValType val="percentage"/>
            <c:noEndCap val="1"/>
            <c:val val="100"/>
            <c:spPr>
              <a:noFill/>
              <a:ln w="15875" cap="flat" cmpd="sng" algn="ctr">
                <a:solidFill>
                  <a:schemeClr val="accent1"/>
                </a:solidFill>
                <a:round/>
              </a:ln>
              <a:effectLst/>
            </c:spPr>
          </c:errBars>
          <c:val>
            <c:numRef>
              <c:f>Gráficos!$M$122</c:f>
              <c:numCache>
                <c:formatCode>0.0000</c:formatCode>
                <c:ptCount val="1"/>
                <c:pt idx="0">
                  <c:v>1.5637144722667213E-4</c:v>
                </c:pt>
              </c:numCache>
            </c:numRef>
          </c:val>
          <c:extLst>
            <c:ext xmlns:c16="http://schemas.microsoft.com/office/drawing/2014/chart" uri="{C3380CC4-5D6E-409C-BE32-E72D297353CC}">
              <c16:uniqueId val="{00000001-9F2E-4DD7-A9C1-4B0BE835ED6A}"/>
            </c:ext>
          </c:extLst>
        </c:ser>
        <c:ser>
          <c:idx val="2"/>
          <c:order val="2"/>
          <c:spPr>
            <a:solidFill>
              <a:schemeClr val="accent1">
                <a:alpha val="50000"/>
              </a:schemeClr>
            </a:solidFill>
            <a:ln>
              <a:solidFill>
                <a:schemeClr val="accent1"/>
              </a:solid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Gráficos!$M$123</c:f>
              <c:numCache>
                <c:formatCode>0.0000</c:formatCode>
                <c:ptCount val="1"/>
                <c:pt idx="0">
                  <c:v>1.8356018164631012E-5</c:v>
                </c:pt>
              </c:numCache>
            </c:numRef>
          </c:val>
          <c:extLst>
            <c:ext xmlns:c16="http://schemas.microsoft.com/office/drawing/2014/chart" uri="{C3380CC4-5D6E-409C-BE32-E72D297353CC}">
              <c16:uniqueId val="{00000002-9F2E-4DD7-A9C1-4B0BE835ED6A}"/>
            </c:ext>
          </c:extLst>
        </c:ser>
        <c:ser>
          <c:idx val="3"/>
          <c:order val="3"/>
          <c:spPr>
            <a:solidFill>
              <a:schemeClr val="accent1">
                <a:alpha val="50000"/>
              </a:schemeClr>
            </a:solidFill>
            <a:ln>
              <a:solidFill>
                <a:schemeClr val="accent1"/>
              </a:solid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Gráficos!$M$124</c:f>
              <c:numCache>
                <c:formatCode>0.0000</c:formatCode>
                <c:ptCount val="1"/>
                <c:pt idx="0">
                  <c:v>1.3415368404978527E-5</c:v>
                </c:pt>
              </c:numCache>
            </c:numRef>
          </c:val>
          <c:extLst>
            <c:ext xmlns:c16="http://schemas.microsoft.com/office/drawing/2014/chart" uri="{C3380CC4-5D6E-409C-BE32-E72D297353CC}">
              <c16:uniqueId val="{00000003-9F2E-4DD7-A9C1-4B0BE835ED6A}"/>
            </c:ext>
          </c:extLst>
        </c:ser>
        <c:ser>
          <c:idx val="4"/>
          <c:order val="4"/>
          <c:spPr>
            <a:noFill/>
            <a:ln>
              <a:noFill/>
            </a:ln>
            <a:effectLst/>
          </c:spPr>
          <c:invertIfNegative val="0"/>
          <c:errBars>
            <c:errBarType val="minus"/>
            <c:errValType val="percentage"/>
            <c:noEndCap val="1"/>
            <c:val val="100"/>
            <c:spPr>
              <a:noFill/>
              <a:ln w="15875" cap="flat" cmpd="sng" algn="ctr">
                <a:solidFill>
                  <a:schemeClr val="accent1"/>
                </a:solidFill>
                <a:round/>
              </a:ln>
              <a:effectLst/>
            </c:spPr>
          </c:errBars>
          <c:val>
            <c:numRef>
              <c:f>Gráficos!$M$125</c:f>
              <c:numCache>
                <c:formatCode>0.0000</c:formatCode>
                <c:ptCount val="1"/>
                <c:pt idx="0">
                  <c:v>1.9806447811884613E-5</c:v>
                </c:pt>
              </c:numCache>
            </c:numRef>
          </c:val>
          <c:extLst>
            <c:ext xmlns:c16="http://schemas.microsoft.com/office/drawing/2014/chart" uri="{C3380CC4-5D6E-409C-BE32-E72D297353CC}">
              <c16:uniqueId val="{00000004-9F2E-4DD7-A9C1-4B0BE835ED6A}"/>
            </c:ext>
          </c:extLst>
        </c:ser>
        <c:dLbls>
          <c:showLegendKey val="0"/>
          <c:showVal val="0"/>
          <c:showCatName val="0"/>
          <c:showSerName val="0"/>
          <c:showPercent val="0"/>
          <c:showBubbleSize val="0"/>
        </c:dLbls>
        <c:gapWidth val="150"/>
        <c:overlap val="100"/>
        <c:axId val="273664072"/>
        <c:axId val="273664464"/>
      </c:barChart>
      <c:catAx>
        <c:axId val="273664072"/>
        <c:scaling>
          <c:orientation val="minMax"/>
        </c:scaling>
        <c:delete val="1"/>
        <c:axPos val="b"/>
        <c:majorTickMark val="none"/>
        <c:minorTickMark val="none"/>
        <c:tickLblPos val="nextTo"/>
        <c:crossAx val="273664464"/>
        <c:crosses val="autoZero"/>
        <c:auto val="1"/>
        <c:lblAlgn val="ctr"/>
        <c:lblOffset val="100"/>
        <c:noMultiLvlLbl val="0"/>
      </c:catAx>
      <c:valAx>
        <c:axId val="273664464"/>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0.0000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73664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_tradnl" sz="1100"/>
              <a:t>Necesidades Asistenciales</a:t>
            </a:r>
          </a:p>
        </c:rich>
      </c:tx>
      <c:overlay val="0"/>
      <c:spPr>
        <a:solidFill>
          <a:schemeClr val="accent4">
            <a:lumMod val="20000"/>
            <a:lumOff val="80000"/>
          </a:schemeClr>
        </a:solid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Gráficos!$D$121</c:f>
              <c:numCache>
                <c:formatCode>0.000</c:formatCode>
                <c:ptCount val="1"/>
                <c:pt idx="0">
                  <c:v>9.351803144543808E-3</c:v>
                </c:pt>
              </c:numCache>
            </c:numRef>
          </c:val>
          <c:extLst>
            <c:ext xmlns:c16="http://schemas.microsoft.com/office/drawing/2014/chart" uri="{C3380CC4-5D6E-409C-BE32-E72D297353CC}">
              <c16:uniqueId val="{00000000-EC3A-4403-BE5D-365302713F60}"/>
            </c:ext>
          </c:extLst>
        </c:ser>
        <c:ser>
          <c:idx val="1"/>
          <c:order val="1"/>
          <c:spPr>
            <a:noFill/>
            <a:ln>
              <a:noFill/>
            </a:ln>
            <a:effectLst/>
          </c:spPr>
          <c:invertIfNegative val="0"/>
          <c:errBars>
            <c:errBarType val="minus"/>
            <c:errValType val="percentage"/>
            <c:noEndCap val="1"/>
            <c:val val="100"/>
            <c:spPr>
              <a:noFill/>
              <a:ln w="15875" cap="flat" cmpd="sng" algn="ctr">
                <a:solidFill>
                  <a:schemeClr val="accent1"/>
                </a:solidFill>
                <a:round/>
              </a:ln>
              <a:effectLst/>
            </c:spPr>
          </c:errBars>
          <c:val>
            <c:numRef>
              <c:f>Gráficos!$D$122</c:f>
              <c:numCache>
                <c:formatCode>0.000</c:formatCode>
                <c:ptCount val="1"/>
                <c:pt idx="0">
                  <c:v>2.5366766029575077E-2</c:v>
                </c:pt>
              </c:numCache>
            </c:numRef>
          </c:val>
          <c:extLst>
            <c:ext xmlns:c16="http://schemas.microsoft.com/office/drawing/2014/chart" uri="{C3380CC4-5D6E-409C-BE32-E72D297353CC}">
              <c16:uniqueId val="{00000001-EC3A-4403-BE5D-365302713F60}"/>
            </c:ext>
          </c:extLst>
        </c:ser>
        <c:ser>
          <c:idx val="2"/>
          <c:order val="2"/>
          <c:spPr>
            <a:solidFill>
              <a:schemeClr val="accent1">
                <a:alpha val="50000"/>
              </a:schemeClr>
            </a:solidFill>
            <a:ln>
              <a:solidFill>
                <a:schemeClr val="accent1"/>
              </a:solid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Gráficos!$D$123</c:f>
              <c:numCache>
                <c:formatCode>0.000</c:formatCode>
                <c:ptCount val="1"/>
                <c:pt idx="0">
                  <c:v>6.721608510140864E-3</c:v>
                </c:pt>
              </c:numCache>
            </c:numRef>
          </c:val>
          <c:extLst>
            <c:ext xmlns:c16="http://schemas.microsoft.com/office/drawing/2014/chart" uri="{C3380CC4-5D6E-409C-BE32-E72D297353CC}">
              <c16:uniqueId val="{00000002-EC3A-4403-BE5D-365302713F60}"/>
            </c:ext>
          </c:extLst>
        </c:ser>
        <c:ser>
          <c:idx val="3"/>
          <c:order val="3"/>
          <c:spPr>
            <a:solidFill>
              <a:schemeClr val="accent1">
                <a:alpha val="50000"/>
              </a:schemeClr>
            </a:solidFill>
            <a:ln>
              <a:solidFill>
                <a:schemeClr val="accent1"/>
              </a:solid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Gráficos!$D$124</c:f>
              <c:numCache>
                <c:formatCode>0.000</c:formatCode>
                <c:ptCount val="1"/>
                <c:pt idx="0">
                  <c:v>1.6248757963644861E-2</c:v>
                </c:pt>
              </c:numCache>
            </c:numRef>
          </c:val>
          <c:extLst>
            <c:ext xmlns:c16="http://schemas.microsoft.com/office/drawing/2014/chart" uri="{C3380CC4-5D6E-409C-BE32-E72D297353CC}">
              <c16:uniqueId val="{00000003-EC3A-4403-BE5D-365302713F60}"/>
            </c:ext>
          </c:extLst>
        </c:ser>
        <c:ser>
          <c:idx val="4"/>
          <c:order val="4"/>
          <c:spPr>
            <a:noFill/>
            <a:ln>
              <a:noFill/>
            </a:ln>
            <a:effectLst/>
          </c:spPr>
          <c:invertIfNegative val="0"/>
          <c:errBars>
            <c:errBarType val="minus"/>
            <c:errValType val="percentage"/>
            <c:noEndCap val="1"/>
            <c:val val="100"/>
            <c:spPr>
              <a:noFill/>
              <a:ln w="15875" cap="flat" cmpd="sng" algn="ctr">
                <a:solidFill>
                  <a:schemeClr val="accent1"/>
                </a:solidFill>
                <a:round/>
              </a:ln>
              <a:effectLst/>
            </c:spPr>
          </c:errBars>
          <c:val>
            <c:numRef>
              <c:f>Gráficos!$D$125</c:f>
              <c:numCache>
                <c:formatCode>0.000</c:formatCode>
                <c:ptCount val="1"/>
                <c:pt idx="0">
                  <c:v>4.7986439885440414E-2</c:v>
                </c:pt>
              </c:numCache>
            </c:numRef>
          </c:val>
          <c:extLst>
            <c:ext xmlns:c16="http://schemas.microsoft.com/office/drawing/2014/chart" uri="{C3380CC4-5D6E-409C-BE32-E72D297353CC}">
              <c16:uniqueId val="{00000004-EC3A-4403-BE5D-365302713F60}"/>
            </c:ext>
          </c:extLst>
        </c:ser>
        <c:dLbls>
          <c:showLegendKey val="0"/>
          <c:showVal val="0"/>
          <c:showCatName val="0"/>
          <c:showSerName val="0"/>
          <c:showPercent val="0"/>
          <c:showBubbleSize val="0"/>
        </c:dLbls>
        <c:gapWidth val="150"/>
        <c:overlap val="100"/>
        <c:axId val="273665248"/>
        <c:axId val="273885488"/>
      </c:barChart>
      <c:catAx>
        <c:axId val="273665248"/>
        <c:scaling>
          <c:orientation val="minMax"/>
        </c:scaling>
        <c:delete val="1"/>
        <c:axPos val="b"/>
        <c:majorTickMark val="none"/>
        <c:minorTickMark val="none"/>
        <c:tickLblPos val="nextTo"/>
        <c:crossAx val="273885488"/>
        <c:crosses val="autoZero"/>
        <c:auto val="1"/>
        <c:lblAlgn val="ctr"/>
        <c:lblOffset val="100"/>
        <c:noMultiLvlLbl val="0"/>
      </c:catAx>
      <c:valAx>
        <c:axId val="273885488"/>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736652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s-ES_tradnl" sz="1100"/>
              <a:t>Tasa SAD Dependencia</a:t>
            </a:r>
          </a:p>
        </c:rich>
      </c:tx>
      <c:overlay val="0"/>
      <c:spPr>
        <a:solidFill>
          <a:schemeClr val="accent1">
            <a:lumMod val="20000"/>
            <a:lumOff val="80000"/>
          </a:schemeClr>
        </a:solid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noFill/>
            <a:ln>
              <a:no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Gráficos!$O$121</c:f>
              <c:numCache>
                <c:formatCode>0.000</c:formatCode>
                <c:ptCount val="1"/>
                <c:pt idx="0">
                  <c:v>8.2554367029648908E-3</c:v>
                </c:pt>
              </c:numCache>
            </c:numRef>
          </c:val>
          <c:extLst>
            <c:ext xmlns:c16="http://schemas.microsoft.com/office/drawing/2014/chart" uri="{C3380CC4-5D6E-409C-BE32-E72D297353CC}">
              <c16:uniqueId val="{00000000-1A5E-4F0A-B39C-E90E4636D123}"/>
            </c:ext>
          </c:extLst>
        </c:ser>
        <c:ser>
          <c:idx val="1"/>
          <c:order val="1"/>
          <c:spPr>
            <a:noFill/>
            <a:ln>
              <a:noFill/>
            </a:ln>
            <a:effectLst/>
          </c:spPr>
          <c:invertIfNegative val="0"/>
          <c:errBars>
            <c:errBarType val="minus"/>
            <c:errValType val="percentage"/>
            <c:noEndCap val="1"/>
            <c:val val="100"/>
            <c:spPr>
              <a:noFill/>
              <a:ln w="15875" cap="flat" cmpd="sng" algn="ctr">
                <a:solidFill>
                  <a:schemeClr val="accent1"/>
                </a:solidFill>
                <a:round/>
              </a:ln>
              <a:effectLst/>
            </c:spPr>
          </c:errBars>
          <c:val>
            <c:numRef>
              <c:f>Gráficos!$O$122</c:f>
              <c:numCache>
                <c:formatCode>0.000</c:formatCode>
                <c:ptCount val="1"/>
                <c:pt idx="0">
                  <c:v>1.6864218945745399E-2</c:v>
                </c:pt>
              </c:numCache>
            </c:numRef>
          </c:val>
          <c:extLst>
            <c:ext xmlns:c16="http://schemas.microsoft.com/office/drawing/2014/chart" uri="{C3380CC4-5D6E-409C-BE32-E72D297353CC}">
              <c16:uniqueId val="{00000001-1A5E-4F0A-B39C-E90E4636D123}"/>
            </c:ext>
          </c:extLst>
        </c:ser>
        <c:ser>
          <c:idx val="2"/>
          <c:order val="2"/>
          <c:spPr>
            <a:solidFill>
              <a:schemeClr val="accent1">
                <a:alpha val="50000"/>
              </a:schemeClr>
            </a:solidFill>
            <a:ln>
              <a:solidFill>
                <a:schemeClr val="accent1"/>
              </a:solid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Gráficos!$O$123</c:f>
              <c:numCache>
                <c:formatCode>0.000</c:formatCode>
                <c:ptCount val="1"/>
                <c:pt idx="0">
                  <c:v>1.6992708232951081E-2</c:v>
                </c:pt>
              </c:numCache>
            </c:numRef>
          </c:val>
          <c:extLst>
            <c:ext xmlns:c16="http://schemas.microsoft.com/office/drawing/2014/chart" uri="{C3380CC4-5D6E-409C-BE32-E72D297353CC}">
              <c16:uniqueId val="{00000002-1A5E-4F0A-B39C-E90E4636D123}"/>
            </c:ext>
          </c:extLst>
        </c:ser>
        <c:ser>
          <c:idx val="3"/>
          <c:order val="3"/>
          <c:spPr>
            <a:solidFill>
              <a:schemeClr val="accent1">
                <a:alpha val="50000"/>
              </a:schemeClr>
            </a:solidFill>
            <a:ln>
              <a:solidFill>
                <a:schemeClr val="accent1"/>
              </a:solid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Gráficos!$O$124</c:f>
              <c:numCache>
                <c:formatCode>0.000</c:formatCode>
                <c:ptCount val="1"/>
                <c:pt idx="0">
                  <c:v>2.5280267257717384E-2</c:v>
                </c:pt>
              </c:numCache>
            </c:numRef>
          </c:val>
          <c:extLst>
            <c:ext xmlns:c16="http://schemas.microsoft.com/office/drawing/2014/chart" uri="{C3380CC4-5D6E-409C-BE32-E72D297353CC}">
              <c16:uniqueId val="{00000003-1A5E-4F0A-B39C-E90E4636D123}"/>
            </c:ext>
          </c:extLst>
        </c:ser>
        <c:ser>
          <c:idx val="4"/>
          <c:order val="4"/>
          <c:spPr>
            <a:noFill/>
            <a:ln>
              <a:noFill/>
            </a:ln>
            <a:effectLst/>
          </c:spPr>
          <c:invertIfNegative val="0"/>
          <c:errBars>
            <c:errBarType val="minus"/>
            <c:errValType val="percentage"/>
            <c:noEndCap val="1"/>
            <c:val val="100"/>
            <c:spPr>
              <a:noFill/>
              <a:ln w="15875" cap="flat" cmpd="sng" algn="ctr">
                <a:solidFill>
                  <a:schemeClr val="accent1"/>
                </a:solidFill>
                <a:round/>
              </a:ln>
              <a:effectLst/>
            </c:spPr>
          </c:errBars>
          <c:val>
            <c:numRef>
              <c:f>Gráficos!$O$125</c:f>
              <c:numCache>
                <c:formatCode>0.000</c:formatCode>
                <c:ptCount val="1"/>
                <c:pt idx="0">
                  <c:v>5.1652693456683052E-2</c:v>
                </c:pt>
              </c:numCache>
            </c:numRef>
          </c:val>
          <c:extLst>
            <c:ext xmlns:c16="http://schemas.microsoft.com/office/drawing/2014/chart" uri="{C3380CC4-5D6E-409C-BE32-E72D297353CC}">
              <c16:uniqueId val="{00000004-1A5E-4F0A-B39C-E90E4636D123}"/>
            </c:ext>
          </c:extLst>
        </c:ser>
        <c:dLbls>
          <c:showLegendKey val="0"/>
          <c:showVal val="0"/>
          <c:showCatName val="0"/>
          <c:showSerName val="0"/>
          <c:showPercent val="0"/>
          <c:showBubbleSize val="0"/>
        </c:dLbls>
        <c:gapWidth val="150"/>
        <c:overlap val="100"/>
        <c:axId val="273886272"/>
        <c:axId val="273886664"/>
      </c:barChart>
      <c:catAx>
        <c:axId val="273886272"/>
        <c:scaling>
          <c:orientation val="minMax"/>
        </c:scaling>
        <c:delete val="1"/>
        <c:axPos val="b"/>
        <c:majorTickMark val="none"/>
        <c:minorTickMark val="none"/>
        <c:tickLblPos val="nextTo"/>
        <c:crossAx val="273886664"/>
        <c:crosses val="autoZero"/>
        <c:auto val="1"/>
        <c:lblAlgn val="ctr"/>
        <c:lblOffset val="100"/>
        <c:noMultiLvlLbl val="0"/>
      </c:catAx>
      <c:valAx>
        <c:axId val="273886664"/>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73886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s-ES_tradnl" sz="1100"/>
              <a:t>Tasa Teleasistencia Dependencia</a:t>
            </a:r>
          </a:p>
        </c:rich>
      </c:tx>
      <c:overlay val="0"/>
      <c:spPr>
        <a:solidFill>
          <a:schemeClr val="accent1">
            <a:lumMod val="20000"/>
            <a:lumOff val="80000"/>
          </a:schemeClr>
        </a:solid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noFill/>
            <a:ln>
              <a:no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Gráficos!$P$121</c:f>
              <c:numCache>
                <c:formatCode>0.000</c:formatCode>
                <c:ptCount val="1"/>
                <c:pt idx="0">
                  <c:v>9.2315369261477039E-3</c:v>
                </c:pt>
              </c:numCache>
            </c:numRef>
          </c:val>
          <c:extLst>
            <c:ext xmlns:c16="http://schemas.microsoft.com/office/drawing/2014/chart" uri="{C3380CC4-5D6E-409C-BE32-E72D297353CC}">
              <c16:uniqueId val="{00000000-DD78-4618-9EB2-66B492E1683C}"/>
            </c:ext>
          </c:extLst>
        </c:ser>
        <c:ser>
          <c:idx val="1"/>
          <c:order val="1"/>
          <c:spPr>
            <a:noFill/>
            <a:ln>
              <a:noFill/>
            </a:ln>
            <a:effectLst/>
          </c:spPr>
          <c:invertIfNegative val="0"/>
          <c:errBars>
            <c:errBarType val="minus"/>
            <c:errValType val="percentage"/>
            <c:noEndCap val="1"/>
            <c:val val="100"/>
            <c:spPr>
              <a:noFill/>
              <a:ln w="15875" cap="flat" cmpd="sng" algn="ctr">
                <a:solidFill>
                  <a:schemeClr val="accent1"/>
                </a:solidFill>
                <a:round/>
              </a:ln>
              <a:effectLst/>
            </c:spPr>
          </c:errBars>
          <c:val>
            <c:numRef>
              <c:f>Gráficos!$P$122</c:f>
              <c:numCache>
                <c:formatCode>0.000</c:formatCode>
                <c:ptCount val="1"/>
                <c:pt idx="0">
                  <c:v>1.9585828343313377E-2</c:v>
                </c:pt>
              </c:numCache>
            </c:numRef>
          </c:val>
          <c:extLst>
            <c:ext xmlns:c16="http://schemas.microsoft.com/office/drawing/2014/chart" uri="{C3380CC4-5D6E-409C-BE32-E72D297353CC}">
              <c16:uniqueId val="{00000001-DD78-4618-9EB2-66B492E1683C}"/>
            </c:ext>
          </c:extLst>
        </c:ser>
        <c:ser>
          <c:idx val="2"/>
          <c:order val="2"/>
          <c:spPr>
            <a:solidFill>
              <a:schemeClr val="accent1">
                <a:alpha val="50000"/>
              </a:schemeClr>
            </a:solidFill>
            <a:ln>
              <a:solidFill>
                <a:schemeClr val="accent1"/>
              </a:solid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Gráficos!$P$123</c:f>
              <c:numCache>
                <c:formatCode>0.000</c:formatCode>
                <c:ptCount val="1"/>
                <c:pt idx="0">
                  <c:v>1.462699600798403E-2</c:v>
                </c:pt>
              </c:numCache>
            </c:numRef>
          </c:val>
          <c:extLst>
            <c:ext xmlns:c16="http://schemas.microsoft.com/office/drawing/2014/chart" uri="{C3380CC4-5D6E-409C-BE32-E72D297353CC}">
              <c16:uniqueId val="{00000002-DD78-4618-9EB2-66B492E1683C}"/>
            </c:ext>
          </c:extLst>
        </c:ser>
        <c:ser>
          <c:idx val="3"/>
          <c:order val="3"/>
          <c:spPr>
            <a:solidFill>
              <a:schemeClr val="accent1">
                <a:alpha val="50000"/>
              </a:schemeClr>
            </a:solidFill>
            <a:ln>
              <a:solidFill>
                <a:schemeClr val="accent1"/>
              </a:solid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Gráficos!$P$124</c:f>
              <c:numCache>
                <c:formatCode>0.000</c:formatCode>
                <c:ptCount val="1"/>
                <c:pt idx="0">
                  <c:v>2.0989271457085831E-2</c:v>
                </c:pt>
              </c:numCache>
            </c:numRef>
          </c:val>
          <c:extLst>
            <c:ext xmlns:c16="http://schemas.microsoft.com/office/drawing/2014/chart" uri="{C3380CC4-5D6E-409C-BE32-E72D297353CC}">
              <c16:uniqueId val="{00000003-DD78-4618-9EB2-66B492E1683C}"/>
            </c:ext>
          </c:extLst>
        </c:ser>
        <c:ser>
          <c:idx val="4"/>
          <c:order val="4"/>
          <c:spPr>
            <a:noFill/>
            <a:ln>
              <a:noFill/>
            </a:ln>
            <a:effectLst/>
          </c:spPr>
          <c:invertIfNegative val="0"/>
          <c:errBars>
            <c:errBarType val="minus"/>
            <c:errValType val="percentage"/>
            <c:noEndCap val="1"/>
            <c:val val="100"/>
            <c:spPr>
              <a:noFill/>
              <a:ln w="15875" cap="flat" cmpd="sng" algn="ctr">
                <a:solidFill>
                  <a:schemeClr val="accent1"/>
                </a:solidFill>
                <a:round/>
              </a:ln>
              <a:effectLst/>
            </c:spPr>
          </c:errBars>
          <c:val>
            <c:numRef>
              <c:f>Gráficos!$P$125</c:f>
              <c:numCache>
                <c:formatCode>0.000</c:formatCode>
                <c:ptCount val="1"/>
                <c:pt idx="0">
                  <c:v>5.1178892215568858E-2</c:v>
                </c:pt>
              </c:numCache>
            </c:numRef>
          </c:val>
          <c:extLst>
            <c:ext xmlns:c16="http://schemas.microsoft.com/office/drawing/2014/chart" uri="{C3380CC4-5D6E-409C-BE32-E72D297353CC}">
              <c16:uniqueId val="{00000004-DD78-4618-9EB2-66B492E1683C}"/>
            </c:ext>
          </c:extLst>
        </c:ser>
        <c:dLbls>
          <c:showLegendKey val="0"/>
          <c:showVal val="0"/>
          <c:showCatName val="0"/>
          <c:showSerName val="0"/>
          <c:showPercent val="0"/>
          <c:showBubbleSize val="0"/>
        </c:dLbls>
        <c:gapWidth val="150"/>
        <c:overlap val="100"/>
        <c:axId val="273887840"/>
        <c:axId val="273888232"/>
      </c:barChart>
      <c:catAx>
        <c:axId val="273887840"/>
        <c:scaling>
          <c:orientation val="minMax"/>
        </c:scaling>
        <c:delete val="1"/>
        <c:axPos val="b"/>
        <c:majorTickMark val="none"/>
        <c:minorTickMark val="none"/>
        <c:tickLblPos val="nextTo"/>
        <c:crossAx val="273888232"/>
        <c:crosses val="autoZero"/>
        <c:auto val="1"/>
        <c:lblAlgn val="ctr"/>
        <c:lblOffset val="100"/>
        <c:noMultiLvlLbl val="0"/>
      </c:catAx>
      <c:valAx>
        <c:axId val="273888232"/>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73887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s-ES_tradnl" sz="1100"/>
              <a:t>Sin Estudios o Primarios</a:t>
            </a:r>
          </a:p>
        </c:rich>
      </c:tx>
      <c:overlay val="0"/>
      <c:spPr>
        <a:solidFill>
          <a:schemeClr val="accent1">
            <a:lumMod val="20000"/>
            <a:lumOff val="80000"/>
          </a:schemeClr>
        </a:solid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noFill/>
            <a:ln>
              <a:no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Gráficos!$C$121</c:f>
              <c:numCache>
                <c:formatCode>0</c:formatCode>
                <c:ptCount val="1"/>
                <c:pt idx="0">
                  <c:v>0.13226584777363457</c:v>
                </c:pt>
              </c:numCache>
            </c:numRef>
          </c:val>
          <c:extLst>
            <c:ext xmlns:c16="http://schemas.microsoft.com/office/drawing/2014/chart" uri="{C3380CC4-5D6E-409C-BE32-E72D297353CC}">
              <c16:uniqueId val="{00000000-2479-41BE-B1C0-57D44D2D9D91}"/>
            </c:ext>
          </c:extLst>
        </c:ser>
        <c:ser>
          <c:idx val="1"/>
          <c:order val="1"/>
          <c:spPr>
            <a:noFill/>
            <a:ln>
              <a:noFill/>
            </a:ln>
            <a:effectLst/>
          </c:spPr>
          <c:invertIfNegative val="0"/>
          <c:errBars>
            <c:errBarType val="minus"/>
            <c:errValType val="percentage"/>
            <c:noEndCap val="1"/>
            <c:val val="100"/>
            <c:spPr>
              <a:noFill/>
              <a:ln w="15875" cap="flat" cmpd="sng" algn="ctr">
                <a:solidFill>
                  <a:schemeClr val="accent1"/>
                </a:solidFill>
                <a:round/>
              </a:ln>
              <a:effectLst/>
            </c:spPr>
          </c:errBars>
          <c:val>
            <c:numRef>
              <c:f>Gráficos!$C$122</c:f>
              <c:numCache>
                <c:formatCode>0</c:formatCode>
                <c:ptCount val="1"/>
                <c:pt idx="0">
                  <c:v>8.5485408095682613E-2</c:v>
                </c:pt>
              </c:numCache>
            </c:numRef>
          </c:val>
          <c:extLst>
            <c:ext xmlns:c16="http://schemas.microsoft.com/office/drawing/2014/chart" uri="{C3380CC4-5D6E-409C-BE32-E72D297353CC}">
              <c16:uniqueId val="{00000001-2479-41BE-B1C0-57D44D2D9D91}"/>
            </c:ext>
          </c:extLst>
        </c:ser>
        <c:ser>
          <c:idx val="2"/>
          <c:order val="2"/>
          <c:spPr>
            <a:solidFill>
              <a:schemeClr val="accent1">
                <a:alpha val="50000"/>
              </a:schemeClr>
            </a:solidFill>
            <a:ln>
              <a:solidFill>
                <a:schemeClr val="accent1"/>
              </a:solid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Gráficos!$C$123</c:f>
              <c:numCache>
                <c:formatCode>0</c:formatCode>
                <c:ptCount val="1"/>
                <c:pt idx="0">
                  <c:v>0.12841863152120139</c:v>
                </c:pt>
              </c:numCache>
            </c:numRef>
          </c:val>
          <c:extLst>
            <c:ext xmlns:c16="http://schemas.microsoft.com/office/drawing/2014/chart" uri="{C3380CC4-5D6E-409C-BE32-E72D297353CC}">
              <c16:uniqueId val="{00000002-2479-41BE-B1C0-57D44D2D9D91}"/>
            </c:ext>
          </c:extLst>
        </c:ser>
        <c:ser>
          <c:idx val="3"/>
          <c:order val="3"/>
          <c:spPr>
            <a:solidFill>
              <a:schemeClr val="accent1">
                <a:alpha val="50000"/>
              </a:schemeClr>
            </a:solidFill>
            <a:ln>
              <a:solidFill>
                <a:schemeClr val="accent1"/>
              </a:solid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Gráficos!$C$124</c:f>
              <c:numCache>
                <c:formatCode>0</c:formatCode>
                <c:ptCount val="1"/>
                <c:pt idx="0">
                  <c:v>0.16496634713726577</c:v>
                </c:pt>
              </c:numCache>
            </c:numRef>
          </c:val>
          <c:extLst>
            <c:ext xmlns:c16="http://schemas.microsoft.com/office/drawing/2014/chart" uri="{C3380CC4-5D6E-409C-BE32-E72D297353CC}">
              <c16:uniqueId val="{00000003-2479-41BE-B1C0-57D44D2D9D91}"/>
            </c:ext>
          </c:extLst>
        </c:ser>
        <c:ser>
          <c:idx val="4"/>
          <c:order val="4"/>
          <c:spPr>
            <a:noFill/>
            <a:ln>
              <a:noFill/>
            </a:ln>
            <a:effectLst/>
          </c:spPr>
          <c:invertIfNegative val="0"/>
          <c:errBars>
            <c:errBarType val="minus"/>
            <c:errValType val="percentage"/>
            <c:noEndCap val="1"/>
            <c:val val="100"/>
            <c:spPr>
              <a:noFill/>
              <a:ln w="15875" cap="flat" cmpd="sng" algn="ctr">
                <a:solidFill>
                  <a:schemeClr val="accent1"/>
                </a:solidFill>
                <a:round/>
              </a:ln>
              <a:effectLst/>
            </c:spPr>
          </c:errBars>
          <c:val>
            <c:numRef>
              <c:f>Gráficos!$C$125</c:f>
              <c:numCache>
                <c:formatCode>0</c:formatCode>
                <c:ptCount val="1"/>
                <c:pt idx="0">
                  <c:v>0.2357260762880149</c:v>
                </c:pt>
              </c:numCache>
            </c:numRef>
          </c:val>
          <c:extLst>
            <c:ext xmlns:c16="http://schemas.microsoft.com/office/drawing/2014/chart" uri="{C3380CC4-5D6E-409C-BE32-E72D297353CC}">
              <c16:uniqueId val="{00000004-2479-41BE-B1C0-57D44D2D9D91}"/>
            </c:ext>
          </c:extLst>
        </c:ser>
        <c:dLbls>
          <c:showLegendKey val="0"/>
          <c:showVal val="0"/>
          <c:showCatName val="0"/>
          <c:showSerName val="0"/>
          <c:showPercent val="0"/>
          <c:showBubbleSize val="0"/>
        </c:dLbls>
        <c:gapWidth val="150"/>
        <c:overlap val="100"/>
        <c:axId val="273888624"/>
        <c:axId val="273889016"/>
      </c:barChart>
      <c:catAx>
        <c:axId val="273888624"/>
        <c:scaling>
          <c:orientation val="minMax"/>
        </c:scaling>
        <c:delete val="1"/>
        <c:axPos val="b"/>
        <c:majorTickMark val="none"/>
        <c:minorTickMark val="none"/>
        <c:tickLblPos val="nextTo"/>
        <c:crossAx val="273889016"/>
        <c:crosses val="autoZero"/>
        <c:auto val="1"/>
        <c:lblAlgn val="ctr"/>
        <c:lblOffset val="100"/>
        <c:noMultiLvlLbl val="0"/>
      </c:catAx>
      <c:valAx>
        <c:axId val="273889016"/>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73888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_tradnl" sz="1100"/>
              <a:t>Vulnerabilidad</a:t>
            </a:r>
          </a:p>
        </c:rich>
      </c:tx>
      <c:overlay val="0"/>
      <c:spPr>
        <a:solidFill>
          <a:srgbClr val="FFBEA9"/>
        </a:solid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noFill/>
            <a:ln>
              <a:no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Gráficos!$R$121</c:f>
              <c:numCache>
                <c:formatCode>0.0000</c:formatCode>
                <c:ptCount val="1"/>
                <c:pt idx="0">
                  <c:v>5.28463299454697E-3</c:v>
                </c:pt>
              </c:numCache>
            </c:numRef>
          </c:val>
          <c:extLst>
            <c:ext xmlns:c16="http://schemas.microsoft.com/office/drawing/2014/chart" uri="{C3380CC4-5D6E-409C-BE32-E72D297353CC}">
              <c16:uniqueId val="{00000000-A190-4E10-84DC-08D4898315AA}"/>
            </c:ext>
          </c:extLst>
        </c:ser>
        <c:ser>
          <c:idx val="1"/>
          <c:order val="1"/>
          <c:spPr>
            <a:noFill/>
            <a:ln>
              <a:noFill/>
            </a:ln>
            <a:effectLst/>
          </c:spPr>
          <c:invertIfNegative val="0"/>
          <c:errBars>
            <c:errBarType val="minus"/>
            <c:errValType val="percentage"/>
            <c:noEndCap val="1"/>
            <c:val val="100"/>
            <c:spPr>
              <a:noFill/>
              <a:ln w="15875" cap="flat" cmpd="sng" algn="ctr">
                <a:solidFill>
                  <a:schemeClr val="accent1"/>
                </a:solidFill>
                <a:round/>
              </a:ln>
              <a:effectLst/>
            </c:spPr>
          </c:errBars>
          <c:val>
            <c:numRef>
              <c:f>Gráficos!$R$122</c:f>
              <c:numCache>
                <c:formatCode>0.0000</c:formatCode>
                <c:ptCount val="1"/>
                <c:pt idx="0">
                  <c:v>9.1432456443738073E-4</c:v>
                </c:pt>
              </c:numCache>
            </c:numRef>
          </c:val>
          <c:extLst>
            <c:ext xmlns:c16="http://schemas.microsoft.com/office/drawing/2014/chart" uri="{C3380CC4-5D6E-409C-BE32-E72D297353CC}">
              <c16:uniqueId val="{00000001-A190-4E10-84DC-08D4898315AA}"/>
            </c:ext>
          </c:extLst>
        </c:ser>
        <c:ser>
          <c:idx val="2"/>
          <c:order val="2"/>
          <c:spPr>
            <a:solidFill>
              <a:schemeClr val="accent1">
                <a:alpha val="50000"/>
              </a:schemeClr>
            </a:solidFill>
            <a:ln w="15875">
              <a:solidFill>
                <a:schemeClr val="accent1"/>
              </a:solid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Gráficos!$R$123</c:f>
              <c:numCache>
                <c:formatCode>0.0000</c:formatCode>
                <c:ptCount val="1"/>
                <c:pt idx="0">
                  <c:v>1.1360563398712309E-3</c:v>
                </c:pt>
              </c:numCache>
            </c:numRef>
          </c:val>
          <c:extLst>
            <c:ext xmlns:c16="http://schemas.microsoft.com/office/drawing/2014/chart" uri="{C3380CC4-5D6E-409C-BE32-E72D297353CC}">
              <c16:uniqueId val="{00000002-A190-4E10-84DC-08D4898315AA}"/>
            </c:ext>
          </c:extLst>
        </c:ser>
        <c:ser>
          <c:idx val="3"/>
          <c:order val="3"/>
          <c:spPr>
            <a:solidFill>
              <a:schemeClr val="accent1">
                <a:alpha val="49000"/>
              </a:schemeClr>
            </a:solidFill>
            <a:ln w="15875">
              <a:solidFill>
                <a:schemeClr val="accent1"/>
              </a:solid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Gráficos!$R$124</c:f>
              <c:numCache>
                <c:formatCode>0.0000</c:formatCode>
                <c:ptCount val="1"/>
                <c:pt idx="0">
                  <c:v>1.4361942012262718E-3</c:v>
                </c:pt>
              </c:numCache>
            </c:numRef>
          </c:val>
          <c:extLst>
            <c:ext xmlns:c16="http://schemas.microsoft.com/office/drawing/2014/chart" uri="{C3380CC4-5D6E-409C-BE32-E72D297353CC}">
              <c16:uniqueId val="{00000003-A190-4E10-84DC-08D4898315AA}"/>
            </c:ext>
          </c:extLst>
        </c:ser>
        <c:ser>
          <c:idx val="4"/>
          <c:order val="4"/>
          <c:spPr>
            <a:noFill/>
            <a:ln>
              <a:noFill/>
            </a:ln>
            <a:effectLst/>
          </c:spPr>
          <c:invertIfNegative val="0"/>
          <c:errBars>
            <c:errBarType val="minus"/>
            <c:errValType val="percentage"/>
            <c:noEndCap val="1"/>
            <c:val val="100"/>
            <c:spPr>
              <a:noFill/>
              <a:ln w="15875" cap="flat" cmpd="sng" algn="ctr">
                <a:solidFill>
                  <a:schemeClr val="accent1"/>
                </a:solidFill>
                <a:round/>
              </a:ln>
              <a:effectLst/>
            </c:spPr>
          </c:errBars>
          <c:val>
            <c:numRef>
              <c:f>Gráficos!$R$125</c:f>
              <c:numCache>
                <c:formatCode>0.0000</c:formatCode>
                <c:ptCount val="1"/>
                <c:pt idx="0">
                  <c:v>3.036623137356859E-3</c:v>
                </c:pt>
              </c:numCache>
            </c:numRef>
          </c:val>
          <c:extLst>
            <c:ext xmlns:c16="http://schemas.microsoft.com/office/drawing/2014/chart" uri="{C3380CC4-5D6E-409C-BE32-E72D297353CC}">
              <c16:uniqueId val="{00000004-A190-4E10-84DC-08D4898315AA}"/>
            </c:ext>
          </c:extLst>
        </c:ser>
        <c:dLbls>
          <c:showLegendKey val="0"/>
          <c:showVal val="0"/>
          <c:showCatName val="0"/>
          <c:showSerName val="0"/>
          <c:showPercent val="0"/>
          <c:showBubbleSize val="0"/>
        </c:dLbls>
        <c:gapWidth val="150"/>
        <c:overlap val="100"/>
        <c:axId val="272121128"/>
        <c:axId val="271840792"/>
      </c:barChart>
      <c:catAx>
        <c:axId val="272121128"/>
        <c:scaling>
          <c:orientation val="minMax"/>
        </c:scaling>
        <c:delete val="1"/>
        <c:axPos val="b"/>
        <c:majorTickMark val="none"/>
        <c:minorTickMark val="none"/>
        <c:tickLblPos val="nextTo"/>
        <c:crossAx val="271840792"/>
        <c:crosses val="autoZero"/>
        <c:auto val="1"/>
        <c:lblAlgn val="ctr"/>
        <c:lblOffset val="100"/>
        <c:noMultiLvlLbl val="0"/>
      </c:catAx>
      <c:valAx>
        <c:axId val="271840792"/>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721211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s-ES_tradnl" sz="1100"/>
              <a:t>Tasa</a:t>
            </a:r>
            <a:r>
              <a:rPr lang="es-ES_tradnl" sz="1100" baseline="0"/>
              <a:t> Paro Absoluto</a:t>
            </a:r>
            <a:endParaRPr lang="es-ES_tradnl" sz="1100"/>
          </a:p>
        </c:rich>
      </c:tx>
      <c:overlay val="0"/>
      <c:spPr>
        <a:solidFill>
          <a:schemeClr val="accent1">
            <a:lumMod val="20000"/>
            <a:lumOff val="80000"/>
          </a:schemeClr>
        </a:solid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noFill/>
            <a:ln>
              <a:no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Gráficos!$G$121</c:f>
              <c:numCache>
                <c:formatCode>0.0</c:formatCode>
                <c:ptCount val="1"/>
                <c:pt idx="0">
                  <c:v>2.94</c:v>
                </c:pt>
              </c:numCache>
            </c:numRef>
          </c:val>
          <c:extLst>
            <c:ext xmlns:c16="http://schemas.microsoft.com/office/drawing/2014/chart" uri="{C3380CC4-5D6E-409C-BE32-E72D297353CC}">
              <c16:uniqueId val="{00000000-F0E3-4BEE-AC5D-02F79E3CCD78}"/>
            </c:ext>
          </c:extLst>
        </c:ser>
        <c:ser>
          <c:idx val="1"/>
          <c:order val="1"/>
          <c:spPr>
            <a:noFill/>
            <a:ln>
              <a:noFill/>
            </a:ln>
            <a:effectLst/>
          </c:spPr>
          <c:invertIfNegative val="0"/>
          <c:errBars>
            <c:errBarType val="minus"/>
            <c:errValType val="percentage"/>
            <c:noEndCap val="1"/>
            <c:val val="100"/>
            <c:spPr>
              <a:noFill/>
              <a:ln w="15875" cap="flat" cmpd="sng" algn="ctr">
                <a:solidFill>
                  <a:schemeClr val="accent1"/>
                </a:solidFill>
                <a:round/>
              </a:ln>
              <a:effectLst/>
            </c:spPr>
          </c:errBars>
          <c:val>
            <c:numRef>
              <c:f>Gráficos!$G$122</c:f>
              <c:numCache>
                <c:formatCode>0.0</c:formatCode>
                <c:ptCount val="1"/>
                <c:pt idx="0">
                  <c:v>2.7900000000000005</c:v>
                </c:pt>
              </c:numCache>
            </c:numRef>
          </c:val>
          <c:extLst>
            <c:ext xmlns:c16="http://schemas.microsoft.com/office/drawing/2014/chart" uri="{C3380CC4-5D6E-409C-BE32-E72D297353CC}">
              <c16:uniqueId val="{00000001-F0E3-4BEE-AC5D-02F79E3CCD78}"/>
            </c:ext>
          </c:extLst>
        </c:ser>
        <c:ser>
          <c:idx val="2"/>
          <c:order val="2"/>
          <c:spPr>
            <a:solidFill>
              <a:schemeClr val="accent1">
                <a:alpha val="50000"/>
              </a:schemeClr>
            </a:solidFill>
            <a:ln w="15875">
              <a:solidFill>
                <a:schemeClr val="accent1"/>
              </a:solid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Gráficos!$G$123</c:f>
              <c:numCache>
                <c:formatCode>0.0</c:formatCode>
                <c:ptCount val="1"/>
                <c:pt idx="0">
                  <c:v>1.63</c:v>
                </c:pt>
              </c:numCache>
            </c:numRef>
          </c:val>
          <c:extLst>
            <c:ext xmlns:c16="http://schemas.microsoft.com/office/drawing/2014/chart" uri="{C3380CC4-5D6E-409C-BE32-E72D297353CC}">
              <c16:uniqueId val="{00000002-F0E3-4BEE-AC5D-02F79E3CCD78}"/>
            </c:ext>
          </c:extLst>
        </c:ser>
        <c:ser>
          <c:idx val="3"/>
          <c:order val="3"/>
          <c:spPr>
            <a:solidFill>
              <a:schemeClr val="accent1">
                <a:alpha val="50000"/>
              </a:schemeClr>
            </a:solidFill>
            <a:ln w="15875">
              <a:solidFill>
                <a:schemeClr val="accent1"/>
              </a:solid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Gráficos!$G$124</c:f>
              <c:numCache>
                <c:formatCode>0.0</c:formatCode>
                <c:ptCount val="1"/>
                <c:pt idx="0">
                  <c:v>1.87</c:v>
                </c:pt>
              </c:numCache>
            </c:numRef>
          </c:val>
          <c:extLst>
            <c:ext xmlns:c16="http://schemas.microsoft.com/office/drawing/2014/chart" uri="{C3380CC4-5D6E-409C-BE32-E72D297353CC}">
              <c16:uniqueId val="{00000003-F0E3-4BEE-AC5D-02F79E3CCD78}"/>
            </c:ext>
          </c:extLst>
        </c:ser>
        <c:ser>
          <c:idx val="4"/>
          <c:order val="4"/>
          <c:spPr>
            <a:noFill/>
            <a:ln>
              <a:noFill/>
            </a:ln>
            <a:effectLst/>
          </c:spPr>
          <c:invertIfNegative val="0"/>
          <c:errBars>
            <c:errBarType val="minus"/>
            <c:errValType val="percentage"/>
            <c:noEndCap val="1"/>
            <c:val val="100"/>
            <c:spPr>
              <a:noFill/>
              <a:ln w="15875" cap="flat" cmpd="sng" algn="ctr">
                <a:solidFill>
                  <a:schemeClr val="accent1"/>
                </a:solidFill>
                <a:round/>
              </a:ln>
              <a:effectLst/>
            </c:spPr>
          </c:errBars>
          <c:val>
            <c:numRef>
              <c:f>Gráficos!$G$125</c:f>
              <c:numCache>
                <c:formatCode>0.0</c:formatCode>
                <c:ptCount val="1"/>
                <c:pt idx="0">
                  <c:v>4.5399999999999991</c:v>
                </c:pt>
              </c:numCache>
            </c:numRef>
          </c:val>
          <c:extLst>
            <c:ext xmlns:c16="http://schemas.microsoft.com/office/drawing/2014/chart" uri="{C3380CC4-5D6E-409C-BE32-E72D297353CC}">
              <c16:uniqueId val="{00000004-F0E3-4BEE-AC5D-02F79E3CCD78}"/>
            </c:ext>
          </c:extLst>
        </c:ser>
        <c:dLbls>
          <c:showLegendKey val="0"/>
          <c:showVal val="0"/>
          <c:showCatName val="0"/>
          <c:showSerName val="0"/>
          <c:showPercent val="0"/>
          <c:showBubbleSize val="0"/>
        </c:dLbls>
        <c:gapWidth val="150"/>
        <c:overlap val="100"/>
        <c:axId val="272587552"/>
        <c:axId val="272400680"/>
      </c:barChart>
      <c:catAx>
        <c:axId val="272587552"/>
        <c:scaling>
          <c:orientation val="minMax"/>
        </c:scaling>
        <c:delete val="1"/>
        <c:axPos val="b"/>
        <c:majorTickMark val="none"/>
        <c:minorTickMark val="none"/>
        <c:tickLblPos val="nextTo"/>
        <c:crossAx val="272400680"/>
        <c:crosses val="autoZero"/>
        <c:auto val="1"/>
        <c:lblAlgn val="ctr"/>
        <c:lblOffset val="100"/>
        <c:noMultiLvlLbl val="0"/>
      </c:catAx>
      <c:valAx>
        <c:axId val="272400680"/>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0&quot;%&quot;"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72587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s-ES_tradnl" sz="1100"/>
              <a:t>Tasa Paro mayores 45</a:t>
            </a:r>
          </a:p>
        </c:rich>
      </c:tx>
      <c:overlay val="0"/>
      <c:spPr>
        <a:solidFill>
          <a:schemeClr val="accent1">
            <a:lumMod val="20000"/>
            <a:lumOff val="80000"/>
          </a:schemeClr>
        </a:solid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noFill/>
            <a:ln>
              <a:no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Gráficos!$H$121</c:f>
              <c:numCache>
                <c:formatCode>0.0</c:formatCode>
                <c:ptCount val="1"/>
                <c:pt idx="0">
                  <c:v>3.7</c:v>
                </c:pt>
              </c:numCache>
            </c:numRef>
          </c:val>
          <c:extLst>
            <c:ext xmlns:c16="http://schemas.microsoft.com/office/drawing/2014/chart" uri="{C3380CC4-5D6E-409C-BE32-E72D297353CC}">
              <c16:uniqueId val="{00000000-579C-44C5-A017-D175C3714325}"/>
            </c:ext>
          </c:extLst>
        </c:ser>
        <c:ser>
          <c:idx val="1"/>
          <c:order val="1"/>
          <c:spPr>
            <a:noFill/>
            <a:ln>
              <a:noFill/>
            </a:ln>
            <a:effectLst/>
          </c:spPr>
          <c:invertIfNegative val="0"/>
          <c:errBars>
            <c:errBarType val="minus"/>
            <c:errValType val="percentage"/>
            <c:noEndCap val="1"/>
            <c:val val="100"/>
            <c:spPr>
              <a:noFill/>
              <a:ln w="15875" cap="flat" cmpd="sng" algn="ctr">
                <a:solidFill>
                  <a:schemeClr val="accent1"/>
                </a:solidFill>
                <a:round/>
              </a:ln>
              <a:effectLst/>
            </c:spPr>
          </c:errBars>
          <c:val>
            <c:numRef>
              <c:f>Gráficos!$H$122</c:f>
              <c:numCache>
                <c:formatCode>0.0</c:formatCode>
                <c:ptCount val="1"/>
                <c:pt idx="0">
                  <c:v>3.6399999999999997</c:v>
                </c:pt>
              </c:numCache>
            </c:numRef>
          </c:val>
          <c:extLst>
            <c:ext xmlns:c16="http://schemas.microsoft.com/office/drawing/2014/chart" uri="{C3380CC4-5D6E-409C-BE32-E72D297353CC}">
              <c16:uniqueId val="{00000001-579C-44C5-A017-D175C3714325}"/>
            </c:ext>
          </c:extLst>
        </c:ser>
        <c:ser>
          <c:idx val="2"/>
          <c:order val="2"/>
          <c:spPr>
            <a:solidFill>
              <a:schemeClr val="accent1">
                <a:alpha val="50000"/>
              </a:schemeClr>
            </a:solidFill>
            <a:ln w="15875">
              <a:solidFill>
                <a:schemeClr val="accent1"/>
              </a:solid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Gráficos!$H$123</c:f>
              <c:numCache>
                <c:formatCode>0.0</c:formatCode>
                <c:ptCount val="1"/>
                <c:pt idx="0">
                  <c:v>1.8900000000000006</c:v>
                </c:pt>
              </c:numCache>
            </c:numRef>
          </c:val>
          <c:extLst>
            <c:ext xmlns:c16="http://schemas.microsoft.com/office/drawing/2014/chart" uri="{C3380CC4-5D6E-409C-BE32-E72D297353CC}">
              <c16:uniqueId val="{00000002-579C-44C5-A017-D175C3714325}"/>
            </c:ext>
          </c:extLst>
        </c:ser>
        <c:ser>
          <c:idx val="3"/>
          <c:order val="3"/>
          <c:spPr>
            <a:solidFill>
              <a:schemeClr val="accent1">
                <a:alpha val="50000"/>
              </a:schemeClr>
            </a:solidFill>
            <a:ln w="15875">
              <a:solidFill>
                <a:schemeClr val="accent1"/>
              </a:solid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Gráficos!$H$124</c:f>
              <c:numCache>
                <c:formatCode>0.0</c:formatCode>
                <c:ptCount val="1"/>
                <c:pt idx="0">
                  <c:v>1.8149999999999995</c:v>
                </c:pt>
              </c:numCache>
            </c:numRef>
          </c:val>
          <c:extLst>
            <c:ext xmlns:c16="http://schemas.microsoft.com/office/drawing/2014/chart" uri="{C3380CC4-5D6E-409C-BE32-E72D297353CC}">
              <c16:uniqueId val="{00000003-579C-44C5-A017-D175C3714325}"/>
            </c:ext>
          </c:extLst>
        </c:ser>
        <c:ser>
          <c:idx val="4"/>
          <c:order val="4"/>
          <c:spPr>
            <a:noFill/>
            <a:ln>
              <a:noFill/>
            </a:ln>
            <a:effectLst/>
          </c:spPr>
          <c:invertIfNegative val="0"/>
          <c:errBars>
            <c:errBarType val="minus"/>
            <c:errValType val="percentage"/>
            <c:noEndCap val="1"/>
            <c:val val="100"/>
            <c:spPr>
              <a:noFill/>
              <a:ln w="15875" cap="flat" cmpd="sng" algn="ctr">
                <a:solidFill>
                  <a:schemeClr val="accent1"/>
                </a:solidFill>
                <a:round/>
              </a:ln>
              <a:effectLst/>
            </c:spPr>
          </c:errBars>
          <c:val>
            <c:numRef>
              <c:f>Gráficos!$H$125</c:f>
              <c:numCache>
                <c:formatCode>0.0</c:formatCode>
                <c:ptCount val="1"/>
                <c:pt idx="0">
                  <c:v>6.1349999999999998</c:v>
                </c:pt>
              </c:numCache>
            </c:numRef>
          </c:val>
          <c:extLst>
            <c:ext xmlns:c16="http://schemas.microsoft.com/office/drawing/2014/chart" uri="{C3380CC4-5D6E-409C-BE32-E72D297353CC}">
              <c16:uniqueId val="{00000004-579C-44C5-A017-D175C3714325}"/>
            </c:ext>
          </c:extLst>
        </c:ser>
        <c:dLbls>
          <c:showLegendKey val="0"/>
          <c:showVal val="0"/>
          <c:showCatName val="0"/>
          <c:showSerName val="0"/>
          <c:showPercent val="0"/>
          <c:showBubbleSize val="0"/>
        </c:dLbls>
        <c:gapWidth val="150"/>
        <c:overlap val="100"/>
        <c:axId val="272587160"/>
        <c:axId val="272448752"/>
      </c:barChart>
      <c:catAx>
        <c:axId val="272587160"/>
        <c:scaling>
          <c:orientation val="minMax"/>
        </c:scaling>
        <c:delete val="1"/>
        <c:axPos val="b"/>
        <c:majorTickMark val="none"/>
        <c:minorTickMark val="none"/>
        <c:tickLblPos val="nextTo"/>
        <c:crossAx val="272448752"/>
        <c:crosses val="autoZero"/>
        <c:auto val="1"/>
        <c:lblAlgn val="ctr"/>
        <c:lblOffset val="100"/>
        <c:noMultiLvlLbl val="0"/>
      </c:catAx>
      <c:valAx>
        <c:axId val="272448752"/>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0&quot;%&quot;"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725871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s-ES_tradnl" sz="1100"/>
              <a:t>Valor Catastral</a:t>
            </a:r>
          </a:p>
        </c:rich>
      </c:tx>
      <c:overlay val="0"/>
      <c:spPr>
        <a:solidFill>
          <a:schemeClr val="accent1">
            <a:lumMod val="20000"/>
            <a:lumOff val="80000"/>
          </a:schemeClr>
        </a:solid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noFill/>
            <a:ln>
              <a:no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Gráficos!$N$121</c:f>
              <c:numCache>
                <c:formatCode>0.0</c:formatCode>
                <c:ptCount val="1"/>
                <c:pt idx="0">
                  <c:v>26876.799999999999</c:v>
                </c:pt>
              </c:numCache>
            </c:numRef>
          </c:val>
          <c:extLst>
            <c:ext xmlns:c16="http://schemas.microsoft.com/office/drawing/2014/chart" uri="{C3380CC4-5D6E-409C-BE32-E72D297353CC}">
              <c16:uniqueId val="{00000000-EAA2-4726-9067-8F235F2EB5FA}"/>
            </c:ext>
          </c:extLst>
        </c:ser>
        <c:ser>
          <c:idx val="1"/>
          <c:order val="1"/>
          <c:spPr>
            <a:noFill/>
            <a:ln>
              <a:noFill/>
            </a:ln>
            <a:effectLst/>
          </c:spPr>
          <c:invertIfNegative val="0"/>
          <c:errBars>
            <c:errBarType val="minus"/>
            <c:errValType val="percentage"/>
            <c:noEndCap val="1"/>
            <c:val val="100"/>
            <c:spPr>
              <a:noFill/>
              <a:ln w="15875" cap="flat" cmpd="sng" algn="ctr">
                <a:solidFill>
                  <a:schemeClr val="accent1"/>
                </a:solidFill>
                <a:round/>
              </a:ln>
              <a:effectLst/>
            </c:spPr>
          </c:errBars>
          <c:val>
            <c:numRef>
              <c:f>Gráficos!$N$122</c:f>
              <c:numCache>
                <c:formatCode>0.0</c:formatCode>
                <c:ptCount val="1"/>
                <c:pt idx="0">
                  <c:v>34254.595000000001</c:v>
                </c:pt>
              </c:numCache>
            </c:numRef>
          </c:val>
          <c:extLst>
            <c:ext xmlns:c16="http://schemas.microsoft.com/office/drawing/2014/chart" uri="{C3380CC4-5D6E-409C-BE32-E72D297353CC}">
              <c16:uniqueId val="{00000001-EAA2-4726-9067-8F235F2EB5FA}"/>
            </c:ext>
          </c:extLst>
        </c:ser>
        <c:ser>
          <c:idx val="2"/>
          <c:order val="2"/>
          <c:spPr>
            <a:solidFill>
              <a:schemeClr val="accent1">
                <a:alpha val="50000"/>
              </a:schemeClr>
            </a:solidFill>
            <a:ln>
              <a:solidFill>
                <a:schemeClr val="accent1"/>
              </a:solid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Gráficos!$N$123</c:f>
              <c:numCache>
                <c:formatCode>0.0</c:formatCode>
                <c:ptCount val="1"/>
                <c:pt idx="0">
                  <c:v>23201.434999999998</c:v>
                </c:pt>
              </c:numCache>
            </c:numRef>
          </c:val>
          <c:extLst>
            <c:ext xmlns:c16="http://schemas.microsoft.com/office/drawing/2014/chart" uri="{C3380CC4-5D6E-409C-BE32-E72D297353CC}">
              <c16:uniqueId val="{00000002-EAA2-4726-9067-8F235F2EB5FA}"/>
            </c:ext>
          </c:extLst>
        </c:ser>
        <c:ser>
          <c:idx val="3"/>
          <c:order val="3"/>
          <c:spPr>
            <a:solidFill>
              <a:schemeClr val="accent1">
                <a:alpha val="50000"/>
              </a:schemeClr>
            </a:solidFill>
            <a:ln>
              <a:solidFill>
                <a:schemeClr val="accent1"/>
              </a:solid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Gráficos!$N$124</c:f>
              <c:numCache>
                <c:formatCode>0.0</c:formatCode>
                <c:ptCount val="1"/>
                <c:pt idx="0">
                  <c:v>31746.125</c:v>
                </c:pt>
              </c:numCache>
            </c:numRef>
          </c:val>
          <c:extLst>
            <c:ext xmlns:c16="http://schemas.microsoft.com/office/drawing/2014/chart" uri="{C3380CC4-5D6E-409C-BE32-E72D297353CC}">
              <c16:uniqueId val="{00000003-EAA2-4726-9067-8F235F2EB5FA}"/>
            </c:ext>
          </c:extLst>
        </c:ser>
        <c:ser>
          <c:idx val="4"/>
          <c:order val="4"/>
          <c:spPr>
            <a:noFill/>
            <a:ln>
              <a:noFill/>
            </a:ln>
            <a:effectLst/>
          </c:spPr>
          <c:invertIfNegative val="0"/>
          <c:errBars>
            <c:errBarType val="minus"/>
            <c:errValType val="percentage"/>
            <c:noEndCap val="1"/>
            <c:val val="100"/>
            <c:spPr>
              <a:noFill/>
              <a:ln w="15875" cap="flat" cmpd="sng" algn="ctr">
                <a:solidFill>
                  <a:schemeClr val="accent1"/>
                </a:solidFill>
                <a:round/>
              </a:ln>
              <a:effectLst/>
            </c:spPr>
          </c:errBars>
          <c:val>
            <c:numRef>
              <c:f>Gráficos!$N$125</c:f>
              <c:numCache>
                <c:formatCode>0.0</c:formatCode>
                <c:ptCount val="1"/>
                <c:pt idx="0">
                  <c:v>270439.23499999999</c:v>
                </c:pt>
              </c:numCache>
            </c:numRef>
          </c:val>
          <c:extLst>
            <c:ext xmlns:c16="http://schemas.microsoft.com/office/drawing/2014/chart" uri="{C3380CC4-5D6E-409C-BE32-E72D297353CC}">
              <c16:uniqueId val="{00000004-EAA2-4726-9067-8F235F2EB5FA}"/>
            </c:ext>
          </c:extLst>
        </c:ser>
        <c:dLbls>
          <c:showLegendKey val="0"/>
          <c:showVal val="0"/>
          <c:showCatName val="0"/>
          <c:showSerName val="0"/>
          <c:showPercent val="0"/>
          <c:showBubbleSize val="0"/>
        </c:dLbls>
        <c:gapWidth val="150"/>
        <c:overlap val="100"/>
        <c:axId val="272411496"/>
        <c:axId val="272403552"/>
      </c:barChart>
      <c:catAx>
        <c:axId val="272411496"/>
        <c:scaling>
          <c:orientation val="minMax"/>
        </c:scaling>
        <c:delete val="1"/>
        <c:axPos val="b"/>
        <c:majorTickMark val="none"/>
        <c:minorTickMark val="none"/>
        <c:tickLblPos val="nextTo"/>
        <c:crossAx val="272403552"/>
        <c:crosses val="autoZero"/>
        <c:auto val="1"/>
        <c:lblAlgn val="ctr"/>
        <c:lblOffset val="100"/>
        <c:noMultiLvlLbl val="0"/>
      </c:catAx>
      <c:valAx>
        <c:axId val="272403552"/>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0\ &quot;€&quot;"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72411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s-ES_tradnl" sz="1100"/>
              <a:t>Esperanza</a:t>
            </a:r>
            <a:r>
              <a:rPr lang="es-ES_tradnl" sz="1100" baseline="0"/>
              <a:t> de Vida</a:t>
            </a:r>
            <a:endParaRPr lang="es-ES_tradnl" sz="1100"/>
          </a:p>
        </c:rich>
      </c:tx>
      <c:overlay val="0"/>
      <c:spPr>
        <a:solidFill>
          <a:schemeClr val="accent1">
            <a:lumMod val="20000"/>
            <a:lumOff val="80000"/>
          </a:schemeClr>
        </a:solid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noFill/>
            <a:ln>
              <a:no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Gráficos!$B$121</c:f>
              <c:numCache>
                <c:formatCode>0</c:formatCode>
                <c:ptCount val="1"/>
                <c:pt idx="0">
                  <c:v>78.36</c:v>
                </c:pt>
              </c:numCache>
            </c:numRef>
          </c:val>
          <c:extLst>
            <c:ext xmlns:c16="http://schemas.microsoft.com/office/drawing/2014/chart" uri="{C3380CC4-5D6E-409C-BE32-E72D297353CC}">
              <c16:uniqueId val="{00000000-2328-4AAE-876D-B43550C0F2D9}"/>
            </c:ext>
          </c:extLst>
        </c:ser>
        <c:ser>
          <c:idx val="1"/>
          <c:order val="1"/>
          <c:spPr>
            <a:noFill/>
            <a:ln>
              <a:noFill/>
            </a:ln>
            <a:effectLst/>
          </c:spPr>
          <c:invertIfNegative val="0"/>
          <c:errBars>
            <c:errBarType val="minus"/>
            <c:errValType val="percentage"/>
            <c:noEndCap val="1"/>
            <c:val val="100"/>
            <c:spPr>
              <a:noFill/>
              <a:ln w="15875" cap="flat" cmpd="sng" algn="ctr">
                <a:solidFill>
                  <a:schemeClr val="accent1"/>
                </a:solidFill>
                <a:round/>
              </a:ln>
              <a:effectLst/>
            </c:spPr>
          </c:errBars>
          <c:val>
            <c:numRef>
              <c:f>Gráficos!$B$122</c:f>
              <c:numCache>
                <c:formatCode>0</c:formatCode>
                <c:ptCount val="1"/>
                <c:pt idx="0">
                  <c:v>4.0150000000000006</c:v>
                </c:pt>
              </c:numCache>
            </c:numRef>
          </c:val>
          <c:extLst>
            <c:ext xmlns:c16="http://schemas.microsoft.com/office/drawing/2014/chart" uri="{C3380CC4-5D6E-409C-BE32-E72D297353CC}">
              <c16:uniqueId val="{00000001-2328-4AAE-876D-B43550C0F2D9}"/>
            </c:ext>
          </c:extLst>
        </c:ser>
        <c:ser>
          <c:idx val="2"/>
          <c:order val="2"/>
          <c:spPr>
            <a:solidFill>
              <a:schemeClr val="accent1">
                <a:alpha val="50000"/>
              </a:schemeClr>
            </a:solidFill>
            <a:ln w="15875">
              <a:solidFill>
                <a:schemeClr val="accent1"/>
              </a:solid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Gráficos!$B$123</c:f>
              <c:numCache>
                <c:formatCode>0</c:formatCode>
                <c:ptCount val="1"/>
                <c:pt idx="0">
                  <c:v>0.78499999999999659</c:v>
                </c:pt>
              </c:numCache>
            </c:numRef>
          </c:val>
          <c:extLst>
            <c:ext xmlns:c16="http://schemas.microsoft.com/office/drawing/2014/chart" uri="{C3380CC4-5D6E-409C-BE32-E72D297353CC}">
              <c16:uniqueId val="{00000002-2328-4AAE-876D-B43550C0F2D9}"/>
            </c:ext>
          </c:extLst>
        </c:ser>
        <c:ser>
          <c:idx val="3"/>
          <c:order val="3"/>
          <c:spPr>
            <a:solidFill>
              <a:schemeClr val="accent1">
                <a:alpha val="50000"/>
              </a:schemeClr>
            </a:solidFill>
            <a:ln w="15875">
              <a:solidFill>
                <a:schemeClr val="accent1"/>
              </a:solid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Gráficos!$B$124</c:f>
              <c:numCache>
                <c:formatCode>0</c:formatCode>
                <c:ptCount val="1"/>
                <c:pt idx="0">
                  <c:v>0.75</c:v>
                </c:pt>
              </c:numCache>
            </c:numRef>
          </c:val>
          <c:extLst>
            <c:ext xmlns:c16="http://schemas.microsoft.com/office/drawing/2014/chart" uri="{C3380CC4-5D6E-409C-BE32-E72D297353CC}">
              <c16:uniqueId val="{00000003-2328-4AAE-876D-B43550C0F2D9}"/>
            </c:ext>
          </c:extLst>
        </c:ser>
        <c:ser>
          <c:idx val="4"/>
          <c:order val="4"/>
          <c:spPr>
            <a:noFill/>
            <a:ln>
              <a:noFill/>
            </a:ln>
            <a:effectLst/>
          </c:spPr>
          <c:invertIfNegative val="0"/>
          <c:errBars>
            <c:errBarType val="minus"/>
            <c:errValType val="percentage"/>
            <c:noEndCap val="1"/>
            <c:val val="100"/>
            <c:spPr>
              <a:noFill/>
              <a:ln w="15875" cap="flat" cmpd="sng" algn="ctr">
                <a:solidFill>
                  <a:schemeClr val="accent1"/>
                </a:solidFill>
                <a:round/>
              </a:ln>
              <a:effectLst/>
            </c:spPr>
          </c:errBars>
          <c:val>
            <c:numRef>
              <c:f>Gráficos!$B$125</c:f>
              <c:numCache>
                <c:formatCode>0</c:formatCode>
                <c:ptCount val="1"/>
                <c:pt idx="0">
                  <c:v>4.75</c:v>
                </c:pt>
              </c:numCache>
            </c:numRef>
          </c:val>
          <c:extLst>
            <c:ext xmlns:c16="http://schemas.microsoft.com/office/drawing/2014/chart" uri="{C3380CC4-5D6E-409C-BE32-E72D297353CC}">
              <c16:uniqueId val="{00000004-2328-4AAE-876D-B43550C0F2D9}"/>
            </c:ext>
          </c:extLst>
        </c:ser>
        <c:dLbls>
          <c:showLegendKey val="0"/>
          <c:showVal val="0"/>
          <c:showCatName val="0"/>
          <c:showSerName val="0"/>
          <c:showPercent val="0"/>
          <c:showBubbleSize val="0"/>
        </c:dLbls>
        <c:gapWidth val="150"/>
        <c:overlap val="100"/>
        <c:axId val="272404728"/>
        <c:axId val="272405120"/>
      </c:barChart>
      <c:catAx>
        <c:axId val="272404728"/>
        <c:scaling>
          <c:orientation val="minMax"/>
        </c:scaling>
        <c:delete val="1"/>
        <c:axPos val="b"/>
        <c:majorTickMark val="none"/>
        <c:minorTickMark val="none"/>
        <c:tickLblPos val="nextTo"/>
        <c:crossAx val="272405120"/>
        <c:crosses val="autoZero"/>
        <c:auto val="1"/>
        <c:lblAlgn val="ctr"/>
        <c:lblOffset val="100"/>
        <c:noMultiLvlLbl val="0"/>
      </c:catAx>
      <c:valAx>
        <c:axId val="272405120"/>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72404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s-ES_tradnl" sz="1100" i="0"/>
              <a:t>Tasa</a:t>
            </a:r>
            <a:r>
              <a:rPr lang="es-ES_tradnl" sz="1100" i="0" baseline="0"/>
              <a:t> Inmigrantes</a:t>
            </a:r>
            <a:endParaRPr lang="es-ES_tradnl" sz="1100" i="0"/>
          </a:p>
        </c:rich>
      </c:tx>
      <c:overlay val="0"/>
      <c:spPr>
        <a:solidFill>
          <a:schemeClr val="accent1">
            <a:lumMod val="20000"/>
            <a:lumOff val="80000"/>
          </a:schemeClr>
        </a:solid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noFill/>
            <a:ln>
              <a:no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Gráficos!$A$121</c:f>
              <c:numCache>
                <c:formatCode>0.0000</c:formatCode>
                <c:ptCount val="1"/>
                <c:pt idx="0">
                  <c:v>1.7546754675467548E-2</c:v>
                </c:pt>
              </c:numCache>
            </c:numRef>
          </c:val>
          <c:extLst>
            <c:ext xmlns:c16="http://schemas.microsoft.com/office/drawing/2014/chart" uri="{C3380CC4-5D6E-409C-BE32-E72D297353CC}">
              <c16:uniqueId val="{00000000-1C56-4453-A7CA-F1342394CE1A}"/>
            </c:ext>
          </c:extLst>
        </c:ser>
        <c:ser>
          <c:idx val="1"/>
          <c:order val="1"/>
          <c:spPr>
            <a:noFill/>
            <a:ln>
              <a:noFill/>
            </a:ln>
            <a:effectLst/>
          </c:spPr>
          <c:invertIfNegative val="0"/>
          <c:errBars>
            <c:errBarType val="minus"/>
            <c:errValType val="percentage"/>
            <c:noEndCap val="1"/>
            <c:val val="100"/>
            <c:spPr>
              <a:noFill/>
              <a:ln w="15875" cap="flat" cmpd="sng" algn="ctr">
                <a:solidFill>
                  <a:schemeClr val="accent1"/>
                </a:solidFill>
                <a:round/>
              </a:ln>
              <a:effectLst/>
            </c:spPr>
          </c:errBars>
          <c:val>
            <c:numRef>
              <c:f>Gráficos!$A$122</c:f>
              <c:numCache>
                <c:formatCode>0.0000</c:formatCode>
                <c:ptCount val="1"/>
                <c:pt idx="0">
                  <c:v>3.0278633015573923E-2</c:v>
                </c:pt>
              </c:numCache>
            </c:numRef>
          </c:val>
          <c:extLst>
            <c:ext xmlns:c16="http://schemas.microsoft.com/office/drawing/2014/chart" uri="{C3380CC4-5D6E-409C-BE32-E72D297353CC}">
              <c16:uniqueId val="{00000001-1C56-4453-A7CA-F1342394CE1A}"/>
            </c:ext>
          </c:extLst>
        </c:ser>
        <c:ser>
          <c:idx val="2"/>
          <c:order val="2"/>
          <c:spPr>
            <a:solidFill>
              <a:schemeClr val="accent1">
                <a:alpha val="50000"/>
              </a:schemeClr>
            </a:solidFill>
            <a:ln w="15875">
              <a:solidFill>
                <a:schemeClr val="accent1"/>
              </a:solid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Gráficos!$A$123</c:f>
              <c:numCache>
                <c:formatCode>0.0000</c:formatCode>
                <c:ptCount val="1"/>
                <c:pt idx="0">
                  <c:v>2.2230578807334325E-2</c:v>
                </c:pt>
              </c:numCache>
            </c:numRef>
          </c:val>
          <c:extLst>
            <c:ext xmlns:c16="http://schemas.microsoft.com/office/drawing/2014/chart" uri="{C3380CC4-5D6E-409C-BE32-E72D297353CC}">
              <c16:uniqueId val="{00000002-1C56-4453-A7CA-F1342394CE1A}"/>
            </c:ext>
          </c:extLst>
        </c:ser>
        <c:ser>
          <c:idx val="3"/>
          <c:order val="3"/>
          <c:spPr>
            <a:solidFill>
              <a:schemeClr val="accent1">
                <a:alpha val="50000"/>
              </a:schemeClr>
            </a:solidFill>
            <a:ln w="15875">
              <a:solidFill>
                <a:schemeClr val="accent1"/>
              </a:solid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Gráficos!$A$124</c:f>
              <c:numCache>
                <c:formatCode>0.0000</c:formatCode>
                <c:ptCount val="1"/>
                <c:pt idx="0">
                  <c:v>3.4816012868146132E-2</c:v>
                </c:pt>
              </c:numCache>
            </c:numRef>
          </c:val>
          <c:extLst>
            <c:ext xmlns:c16="http://schemas.microsoft.com/office/drawing/2014/chart" uri="{C3380CC4-5D6E-409C-BE32-E72D297353CC}">
              <c16:uniqueId val="{00000003-1C56-4453-A7CA-F1342394CE1A}"/>
            </c:ext>
          </c:extLst>
        </c:ser>
        <c:ser>
          <c:idx val="4"/>
          <c:order val="4"/>
          <c:spPr>
            <a:noFill/>
            <a:ln>
              <a:noFill/>
            </a:ln>
            <a:effectLst/>
          </c:spPr>
          <c:invertIfNegative val="0"/>
          <c:errBars>
            <c:errBarType val="minus"/>
            <c:errValType val="percentage"/>
            <c:noEndCap val="1"/>
            <c:val val="100"/>
            <c:spPr>
              <a:noFill/>
              <a:ln w="15875" cap="flat" cmpd="sng" algn="ctr">
                <a:solidFill>
                  <a:schemeClr val="accent1"/>
                </a:solidFill>
                <a:round/>
              </a:ln>
              <a:effectLst/>
            </c:spPr>
          </c:errBars>
          <c:val>
            <c:numRef>
              <c:f>Gráficos!$A$125</c:f>
              <c:numCache>
                <c:formatCode>0.0000</c:formatCode>
                <c:ptCount val="1"/>
                <c:pt idx="0">
                  <c:v>0.18700987521480456</c:v>
                </c:pt>
              </c:numCache>
            </c:numRef>
          </c:val>
          <c:extLst>
            <c:ext xmlns:c16="http://schemas.microsoft.com/office/drawing/2014/chart" uri="{C3380CC4-5D6E-409C-BE32-E72D297353CC}">
              <c16:uniqueId val="{00000004-1C56-4453-A7CA-F1342394CE1A}"/>
            </c:ext>
          </c:extLst>
        </c:ser>
        <c:dLbls>
          <c:showLegendKey val="0"/>
          <c:showVal val="0"/>
          <c:showCatName val="0"/>
          <c:showSerName val="0"/>
          <c:showPercent val="0"/>
          <c:showBubbleSize val="0"/>
        </c:dLbls>
        <c:gapWidth val="150"/>
        <c:overlap val="100"/>
        <c:axId val="272405904"/>
        <c:axId val="272406296"/>
      </c:barChart>
      <c:catAx>
        <c:axId val="272405904"/>
        <c:scaling>
          <c:orientation val="minMax"/>
        </c:scaling>
        <c:delete val="1"/>
        <c:axPos val="b"/>
        <c:majorTickMark val="none"/>
        <c:minorTickMark val="none"/>
        <c:tickLblPos val="nextTo"/>
        <c:crossAx val="272406296"/>
        <c:crosses val="autoZero"/>
        <c:auto val="1"/>
        <c:lblAlgn val="ctr"/>
        <c:lblOffset val="100"/>
        <c:noMultiLvlLbl val="0"/>
      </c:catAx>
      <c:valAx>
        <c:axId val="272406296"/>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0&quot;%&quot;"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72405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Histograma Vulnerabilidad por Barrio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alpha val="50000"/>
              </a:schemeClr>
            </a:solidFill>
            <a:ln>
              <a:noFill/>
            </a:ln>
            <a:effectLst/>
          </c:spPr>
          <c:invertIfNegative val="0"/>
          <c:dPt>
            <c:idx val="0"/>
            <c:invertIfNegative val="0"/>
            <c:bubble3D val="0"/>
            <c:spPr>
              <a:solidFill>
                <a:srgbClr val="63BE7B">
                  <a:alpha val="50196"/>
                </a:srgbClr>
              </a:solidFill>
              <a:ln>
                <a:noFill/>
              </a:ln>
              <a:effectLst/>
            </c:spPr>
            <c:extLst>
              <c:ext xmlns:c16="http://schemas.microsoft.com/office/drawing/2014/chart" uri="{C3380CC4-5D6E-409C-BE32-E72D297353CC}">
                <c16:uniqueId val="{00000001-EDC4-4AB2-AAE1-8DA874F1CD14}"/>
              </c:ext>
            </c:extLst>
          </c:dPt>
          <c:dPt>
            <c:idx val="1"/>
            <c:invertIfNegative val="0"/>
            <c:bubble3D val="0"/>
            <c:spPr>
              <a:solidFill>
                <a:srgbClr val="86C97D">
                  <a:alpha val="50196"/>
                </a:srgbClr>
              </a:solidFill>
              <a:ln>
                <a:noFill/>
              </a:ln>
              <a:effectLst/>
            </c:spPr>
            <c:extLst>
              <c:ext xmlns:c16="http://schemas.microsoft.com/office/drawing/2014/chart" uri="{C3380CC4-5D6E-409C-BE32-E72D297353CC}">
                <c16:uniqueId val="{00000003-EDC4-4AB2-AAE1-8DA874F1CD14}"/>
              </c:ext>
            </c:extLst>
          </c:dPt>
          <c:dPt>
            <c:idx val="2"/>
            <c:invertIfNegative val="0"/>
            <c:bubble3D val="0"/>
            <c:spPr>
              <a:solidFill>
                <a:srgbClr val="A9D37F">
                  <a:alpha val="50196"/>
                </a:srgbClr>
              </a:solidFill>
              <a:ln>
                <a:noFill/>
              </a:ln>
              <a:effectLst/>
            </c:spPr>
            <c:extLst>
              <c:ext xmlns:c16="http://schemas.microsoft.com/office/drawing/2014/chart" uri="{C3380CC4-5D6E-409C-BE32-E72D297353CC}">
                <c16:uniqueId val="{00000005-EDC4-4AB2-AAE1-8DA874F1CD14}"/>
              </c:ext>
            </c:extLst>
          </c:dPt>
          <c:dPt>
            <c:idx val="3"/>
            <c:invertIfNegative val="0"/>
            <c:bubble3D val="0"/>
            <c:spPr>
              <a:solidFill>
                <a:srgbClr val="CCDE82">
                  <a:alpha val="50196"/>
                </a:srgbClr>
              </a:solidFill>
              <a:ln>
                <a:noFill/>
              </a:ln>
              <a:effectLst/>
            </c:spPr>
            <c:extLst>
              <c:ext xmlns:c16="http://schemas.microsoft.com/office/drawing/2014/chart" uri="{C3380CC4-5D6E-409C-BE32-E72D297353CC}">
                <c16:uniqueId val="{00000007-EDC4-4AB2-AAE1-8DA874F1CD14}"/>
              </c:ext>
            </c:extLst>
          </c:dPt>
          <c:dPt>
            <c:idx val="4"/>
            <c:invertIfNegative val="0"/>
            <c:bubble3D val="0"/>
            <c:spPr>
              <a:solidFill>
                <a:srgbClr val="EFE783">
                  <a:alpha val="50196"/>
                </a:srgbClr>
              </a:solidFill>
              <a:ln>
                <a:noFill/>
              </a:ln>
              <a:effectLst/>
            </c:spPr>
            <c:extLst>
              <c:ext xmlns:c16="http://schemas.microsoft.com/office/drawing/2014/chart" uri="{C3380CC4-5D6E-409C-BE32-E72D297353CC}">
                <c16:uniqueId val="{00000009-EDC4-4AB2-AAE1-8DA874F1CD14}"/>
              </c:ext>
            </c:extLst>
          </c:dPt>
          <c:dPt>
            <c:idx val="5"/>
            <c:invertIfNegative val="0"/>
            <c:bubble3D val="0"/>
            <c:spPr>
              <a:solidFill>
                <a:srgbClr val="FEDC81">
                  <a:alpha val="50196"/>
                </a:srgbClr>
              </a:solidFill>
              <a:ln>
                <a:noFill/>
              </a:ln>
              <a:effectLst/>
            </c:spPr>
            <c:extLst>
              <c:ext xmlns:c16="http://schemas.microsoft.com/office/drawing/2014/chart" uri="{C3380CC4-5D6E-409C-BE32-E72D297353CC}">
                <c16:uniqueId val="{0000000B-EDC4-4AB2-AAE1-8DA874F1CD14}"/>
              </c:ext>
            </c:extLst>
          </c:dPt>
          <c:dPt>
            <c:idx val="6"/>
            <c:invertIfNegative val="0"/>
            <c:bubble3D val="0"/>
            <c:spPr>
              <a:solidFill>
                <a:srgbClr val="FDBF7B">
                  <a:alpha val="50196"/>
                </a:srgbClr>
              </a:solidFill>
              <a:ln>
                <a:noFill/>
              </a:ln>
              <a:effectLst/>
            </c:spPr>
            <c:extLst>
              <c:ext xmlns:c16="http://schemas.microsoft.com/office/drawing/2014/chart" uri="{C3380CC4-5D6E-409C-BE32-E72D297353CC}">
                <c16:uniqueId val="{0000000D-EDC4-4AB2-AAE1-8DA874F1CD14}"/>
              </c:ext>
            </c:extLst>
          </c:dPt>
          <c:dPt>
            <c:idx val="7"/>
            <c:invertIfNegative val="0"/>
            <c:bubble3D val="0"/>
            <c:spPr>
              <a:solidFill>
                <a:srgbClr val="FBA276">
                  <a:alpha val="50196"/>
                </a:srgbClr>
              </a:solidFill>
              <a:ln>
                <a:noFill/>
              </a:ln>
              <a:effectLst/>
            </c:spPr>
            <c:extLst>
              <c:ext xmlns:c16="http://schemas.microsoft.com/office/drawing/2014/chart" uri="{C3380CC4-5D6E-409C-BE32-E72D297353CC}">
                <c16:uniqueId val="{0000000F-EDC4-4AB2-AAE1-8DA874F1CD14}"/>
              </c:ext>
            </c:extLst>
          </c:dPt>
          <c:dPt>
            <c:idx val="8"/>
            <c:invertIfNegative val="0"/>
            <c:bubble3D val="0"/>
            <c:spPr>
              <a:solidFill>
                <a:srgbClr val="FA856F">
                  <a:alpha val="50196"/>
                </a:srgbClr>
              </a:solidFill>
              <a:ln>
                <a:noFill/>
              </a:ln>
              <a:effectLst/>
            </c:spPr>
            <c:extLst>
              <c:ext xmlns:c16="http://schemas.microsoft.com/office/drawing/2014/chart" uri="{C3380CC4-5D6E-409C-BE32-E72D297353CC}">
                <c16:uniqueId val="{00000011-EDC4-4AB2-AAE1-8DA874F1CD14}"/>
              </c:ext>
            </c:extLst>
          </c:dPt>
          <c:dPt>
            <c:idx val="9"/>
            <c:invertIfNegative val="0"/>
            <c:bubble3D val="0"/>
            <c:spPr>
              <a:solidFill>
                <a:srgbClr val="F9696B">
                  <a:alpha val="50000"/>
                </a:srgbClr>
              </a:solidFill>
              <a:ln>
                <a:noFill/>
              </a:ln>
              <a:effectLst/>
            </c:spPr>
            <c:extLst>
              <c:ext xmlns:c16="http://schemas.microsoft.com/office/drawing/2014/chart" uri="{C3380CC4-5D6E-409C-BE32-E72D297353CC}">
                <c16:uniqueId val="{00000013-EDC4-4AB2-AAE1-8DA874F1CD14}"/>
              </c:ext>
            </c:extLst>
          </c:dPt>
          <c:cat>
            <c:strRef>
              <c:f>Gráficos!$AG$117:$AG$126</c:f>
              <c:strCache>
                <c:ptCount val="10"/>
                <c:pt idx="0">
                  <c:v>0,0053 - 0,0059</c:v>
                </c:pt>
                <c:pt idx="1">
                  <c:v>0,0059 - 0,0066</c:v>
                </c:pt>
                <c:pt idx="2">
                  <c:v>0,0066 - 0,0072</c:v>
                </c:pt>
                <c:pt idx="3">
                  <c:v>0,0072 - 0,0079</c:v>
                </c:pt>
                <c:pt idx="4">
                  <c:v>0,0079 - 0,0085</c:v>
                </c:pt>
                <c:pt idx="5">
                  <c:v>0,0085 - 0,0092</c:v>
                </c:pt>
                <c:pt idx="6">
                  <c:v>0,0092 - 0,0099</c:v>
                </c:pt>
                <c:pt idx="7">
                  <c:v>0,0099 - 0,0105</c:v>
                </c:pt>
                <c:pt idx="8">
                  <c:v>0,0105 - 0,0112</c:v>
                </c:pt>
                <c:pt idx="9">
                  <c:v>0,0112 - 0,0118</c:v>
                </c:pt>
              </c:strCache>
            </c:strRef>
          </c:cat>
          <c:val>
            <c:numRef>
              <c:f>Gráficos!$AF$117:$AF$126</c:f>
              <c:numCache>
                <c:formatCode>0</c:formatCode>
                <c:ptCount val="10"/>
                <c:pt idx="0">
                  <c:v>19</c:v>
                </c:pt>
                <c:pt idx="1">
                  <c:v>24</c:v>
                </c:pt>
                <c:pt idx="2">
                  <c:v>12</c:v>
                </c:pt>
                <c:pt idx="3">
                  <c:v>20</c:v>
                </c:pt>
                <c:pt idx="4">
                  <c:v>14</c:v>
                </c:pt>
                <c:pt idx="5">
                  <c:v>9</c:v>
                </c:pt>
                <c:pt idx="6">
                  <c:v>16</c:v>
                </c:pt>
                <c:pt idx="7">
                  <c:v>5</c:v>
                </c:pt>
                <c:pt idx="8">
                  <c:v>3</c:v>
                </c:pt>
                <c:pt idx="9">
                  <c:v>5</c:v>
                </c:pt>
              </c:numCache>
            </c:numRef>
          </c:val>
          <c:extLst>
            <c:ext xmlns:c16="http://schemas.microsoft.com/office/drawing/2014/chart" uri="{C3380CC4-5D6E-409C-BE32-E72D297353CC}">
              <c16:uniqueId val="{00000014-EDC4-4AB2-AAE1-8DA874F1CD14}"/>
            </c:ext>
          </c:extLst>
        </c:ser>
        <c:dLbls>
          <c:showLegendKey val="0"/>
          <c:showVal val="0"/>
          <c:showCatName val="0"/>
          <c:showSerName val="0"/>
          <c:showPercent val="0"/>
          <c:showBubbleSize val="0"/>
        </c:dLbls>
        <c:gapWidth val="30"/>
        <c:axId val="272879928"/>
        <c:axId val="272880320"/>
      </c:barChart>
      <c:catAx>
        <c:axId val="272879928"/>
        <c:scaling>
          <c:orientation val="minMax"/>
        </c:scaling>
        <c:delete val="0"/>
        <c:axPos val="b"/>
        <c:numFmt formatCode="#,##0\ &quot;€&quot;"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880320"/>
        <c:crosses val="autoZero"/>
        <c:auto val="1"/>
        <c:lblAlgn val="ctr"/>
        <c:lblOffset val="100"/>
        <c:noMultiLvlLbl val="0"/>
      </c:catAx>
      <c:valAx>
        <c:axId val="27288032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prstDash val="sysDash"/>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Número de Barrios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879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s-ES_tradnl" sz="1100"/>
              <a:t>Tasa Demanda Dependientes</a:t>
            </a:r>
          </a:p>
        </c:rich>
      </c:tx>
      <c:overlay val="0"/>
      <c:spPr>
        <a:solidFill>
          <a:schemeClr val="accent1">
            <a:lumMod val="20000"/>
            <a:lumOff val="80000"/>
          </a:schemeClr>
        </a:solid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Gráficos!$D$121</c:f>
              <c:numCache>
                <c:formatCode>0.000</c:formatCode>
                <c:ptCount val="1"/>
                <c:pt idx="0">
                  <c:v>9.351803144543808E-3</c:v>
                </c:pt>
              </c:numCache>
            </c:numRef>
          </c:val>
          <c:extLst>
            <c:ext xmlns:c16="http://schemas.microsoft.com/office/drawing/2014/chart" uri="{C3380CC4-5D6E-409C-BE32-E72D297353CC}">
              <c16:uniqueId val="{00000000-F0D0-433D-8A41-3B56583C8063}"/>
            </c:ext>
          </c:extLst>
        </c:ser>
        <c:ser>
          <c:idx val="1"/>
          <c:order val="1"/>
          <c:spPr>
            <a:noFill/>
            <a:ln>
              <a:noFill/>
            </a:ln>
            <a:effectLst/>
          </c:spPr>
          <c:invertIfNegative val="0"/>
          <c:errBars>
            <c:errBarType val="minus"/>
            <c:errValType val="percentage"/>
            <c:noEndCap val="1"/>
            <c:val val="100"/>
            <c:spPr>
              <a:noFill/>
              <a:ln w="15875" cap="flat" cmpd="sng" algn="ctr">
                <a:solidFill>
                  <a:schemeClr val="accent1"/>
                </a:solidFill>
                <a:round/>
              </a:ln>
              <a:effectLst/>
            </c:spPr>
          </c:errBars>
          <c:val>
            <c:numRef>
              <c:f>Gráficos!$D$122</c:f>
              <c:numCache>
                <c:formatCode>0.000</c:formatCode>
                <c:ptCount val="1"/>
                <c:pt idx="0">
                  <c:v>2.5366766029575077E-2</c:v>
                </c:pt>
              </c:numCache>
            </c:numRef>
          </c:val>
          <c:extLst>
            <c:ext xmlns:c16="http://schemas.microsoft.com/office/drawing/2014/chart" uri="{C3380CC4-5D6E-409C-BE32-E72D297353CC}">
              <c16:uniqueId val="{00000001-F0D0-433D-8A41-3B56583C8063}"/>
            </c:ext>
          </c:extLst>
        </c:ser>
        <c:ser>
          <c:idx val="2"/>
          <c:order val="2"/>
          <c:spPr>
            <a:solidFill>
              <a:schemeClr val="accent1">
                <a:alpha val="50000"/>
              </a:schemeClr>
            </a:solidFill>
            <a:ln>
              <a:solidFill>
                <a:schemeClr val="accent1"/>
              </a:solid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Gráficos!$D$123</c:f>
              <c:numCache>
                <c:formatCode>0.000</c:formatCode>
                <c:ptCount val="1"/>
                <c:pt idx="0">
                  <c:v>6.721608510140864E-3</c:v>
                </c:pt>
              </c:numCache>
            </c:numRef>
          </c:val>
          <c:extLst>
            <c:ext xmlns:c16="http://schemas.microsoft.com/office/drawing/2014/chart" uri="{C3380CC4-5D6E-409C-BE32-E72D297353CC}">
              <c16:uniqueId val="{00000002-F0D0-433D-8A41-3B56583C8063}"/>
            </c:ext>
          </c:extLst>
        </c:ser>
        <c:ser>
          <c:idx val="3"/>
          <c:order val="3"/>
          <c:spPr>
            <a:solidFill>
              <a:schemeClr val="accent1">
                <a:alpha val="50000"/>
              </a:schemeClr>
            </a:solidFill>
            <a:ln>
              <a:solidFill>
                <a:schemeClr val="accent1"/>
              </a:solid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val>
            <c:numRef>
              <c:f>Gráficos!$D$124</c:f>
              <c:numCache>
                <c:formatCode>0.000</c:formatCode>
                <c:ptCount val="1"/>
                <c:pt idx="0">
                  <c:v>1.6248757963644861E-2</c:v>
                </c:pt>
              </c:numCache>
            </c:numRef>
          </c:val>
          <c:extLst>
            <c:ext xmlns:c16="http://schemas.microsoft.com/office/drawing/2014/chart" uri="{C3380CC4-5D6E-409C-BE32-E72D297353CC}">
              <c16:uniqueId val="{00000003-F0D0-433D-8A41-3B56583C8063}"/>
            </c:ext>
          </c:extLst>
        </c:ser>
        <c:ser>
          <c:idx val="4"/>
          <c:order val="4"/>
          <c:spPr>
            <a:noFill/>
            <a:ln>
              <a:noFill/>
            </a:ln>
            <a:effectLst/>
          </c:spPr>
          <c:invertIfNegative val="0"/>
          <c:errBars>
            <c:errBarType val="minus"/>
            <c:errValType val="percentage"/>
            <c:noEndCap val="1"/>
            <c:val val="100"/>
            <c:spPr>
              <a:noFill/>
              <a:ln w="15875" cap="flat" cmpd="sng" algn="ctr">
                <a:solidFill>
                  <a:schemeClr val="accent1"/>
                </a:solidFill>
                <a:round/>
              </a:ln>
              <a:effectLst/>
            </c:spPr>
          </c:errBars>
          <c:val>
            <c:numRef>
              <c:f>Gráficos!$D$125</c:f>
              <c:numCache>
                <c:formatCode>0.000</c:formatCode>
                <c:ptCount val="1"/>
                <c:pt idx="0">
                  <c:v>4.7986439885440414E-2</c:v>
                </c:pt>
              </c:numCache>
            </c:numRef>
          </c:val>
          <c:extLst>
            <c:ext xmlns:c16="http://schemas.microsoft.com/office/drawing/2014/chart" uri="{C3380CC4-5D6E-409C-BE32-E72D297353CC}">
              <c16:uniqueId val="{00000004-F0D0-433D-8A41-3B56583C8063}"/>
            </c:ext>
          </c:extLst>
        </c:ser>
        <c:dLbls>
          <c:showLegendKey val="0"/>
          <c:showVal val="0"/>
          <c:showCatName val="0"/>
          <c:showSerName val="0"/>
          <c:showPercent val="0"/>
          <c:showBubbleSize val="0"/>
        </c:dLbls>
        <c:gapWidth val="150"/>
        <c:overlap val="100"/>
        <c:axId val="272403160"/>
        <c:axId val="272404336"/>
      </c:barChart>
      <c:catAx>
        <c:axId val="272403160"/>
        <c:scaling>
          <c:orientation val="minMax"/>
        </c:scaling>
        <c:delete val="1"/>
        <c:axPos val="b"/>
        <c:majorTickMark val="none"/>
        <c:minorTickMark val="none"/>
        <c:tickLblPos val="nextTo"/>
        <c:crossAx val="272404336"/>
        <c:crosses val="autoZero"/>
        <c:auto val="1"/>
        <c:lblAlgn val="ctr"/>
        <c:lblOffset val="100"/>
        <c:noMultiLvlLbl val="0"/>
      </c:catAx>
      <c:valAx>
        <c:axId val="272404336"/>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724031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tiff"/><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image" Target="../media/image1.tiff"/><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127001</xdr:colOff>
      <xdr:row>9</xdr:row>
      <xdr:rowOff>19050</xdr:rowOff>
    </xdr:from>
    <xdr:to>
      <xdr:col>20</xdr:col>
      <xdr:colOff>838199</xdr:colOff>
      <xdr:row>18</xdr:row>
      <xdr:rowOff>90487</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alphaModFix amt="29000"/>
        </a:blip>
        <a:srcRect/>
        <a:stretch/>
      </xdr:blipFill>
      <xdr:spPr>
        <a:xfrm>
          <a:off x="127001" y="2676525"/>
          <a:ext cx="15532098" cy="1871662"/>
        </a:xfrm>
        <a:prstGeom prst="rect">
          <a:avLst/>
        </a:prstGeom>
      </xdr:spPr>
    </xdr:pic>
    <xdr:clientData/>
  </xdr:twoCellAnchor>
  <xdr:twoCellAnchor editAs="oneCell">
    <xdr:from>
      <xdr:col>9</xdr:col>
      <xdr:colOff>19051</xdr:colOff>
      <xdr:row>0</xdr:row>
      <xdr:rowOff>0</xdr:rowOff>
    </xdr:from>
    <xdr:to>
      <xdr:col>10</xdr:col>
      <xdr:colOff>309943</xdr:colOff>
      <xdr:row>2</xdr:row>
      <xdr:rowOff>144536</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632122" y="0"/>
          <a:ext cx="1012071" cy="648000"/>
        </a:xfrm>
        <a:prstGeom prst="rect">
          <a:avLst/>
        </a:prstGeom>
      </xdr:spPr>
    </xdr:pic>
    <xdr:clientData/>
  </xdr:twoCellAnchor>
  <xdr:twoCellAnchor editAs="oneCell">
    <xdr:from>
      <xdr:col>0</xdr:col>
      <xdr:colOff>0</xdr:colOff>
      <xdr:row>0</xdr:row>
      <xdr:rowOff>76200</xdr:rowOff>
    </xdr:from>
    <xdr:to>
      <xdr:col>5</xdr:col>
      <xdr:colOff>303643</xdr:colOff>
      <xdr:row>2</xdr:row>
      <xdr:rowOff>153116</xdr:rowOff>
    </xdr:to>
    <xdr:pic>
      <xdr:nvPicPr>
        <xdr:cNvPr id="4" name="Picture 7" descr="acronimo_nombre1l.jp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76200"/>
          <a:ext cx="4032000" cy="580380"/>
        </a:xfrm>
        <a:prstGeom prst="rect">
          <a:avLst/>
        </a:prstGeom>
        <a:solidFill>
          <a:schemeClr val="accent1">
            <a:lumMod val="75000"/>
          </a:schemeClr>
        </a:solidFill>
      </xdr:spPr>
    </xdr:pic>
    <xdr:clientData/>
  </xdr:twoCellAnchor>
  <xdr:twoCellAnchor>
    <xdr:from>
      <xdr:col>0</xdr:col>
      <xdr:colOff>0</xdr:colOff>
      <xdr:row>5</xdr:row>
      <xdr:rowOff>0</xdr:rowOff>
    </xdr:from>
    <xdr:to>
      <xdr:col>0</xdr:col>
      <xdr:colOff>773998</xdr:colOff>
      <xdr:row>5</xdr:row>
      <xdr:rowOff>828000</xdr:rowOff>
    </xdr:to>
    <xdr:pic>
      <xdr:nvPicPr>
        <xdr:cNvPr id="6" name="Imagen 6">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061357"/>
          <a:ext cx="773998" cy="82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0</xdr:colOff>
      <xdr:row>5</xdr:row>
      <xdr:rowOff>0</xdr:rowOff>
    </xdr:from>
    <xdr:to>
      <xdr:col>22</xdr:col>
      <xdr:colOff>46894</xdr:colOff>
      <xdr:row>5</xdr:row>
      <xdr:rowOff>540000</xdr:rowOff>
    </xdr:to>
    <xdr:pic>
      <xdr:nvPicPr>
        <xdr:cNvPr id="12" name="Imagen 5">
          <a:extLst>
            <a:ext uri="{FF2B5EF4-FFF2-40B4-BE49-F238E27FC236}">
              <a16:creationId xmlns:a16="http://schemas.microsoft.com/office/drawing/2014/main" id="{00000000-0008-0000-0000-00000C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790964" y="1061357"/>
          <a:ext cx="1951894" cy="54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813518</xdr:colOff>
      <xdr:row>3</xdr:row>
      <xdr:rowOff>82792</xdr:rowOff>
    </xdr:from>
    <xdr:to>
      <xdr:col>21</xdr:col>
      <xdr:colOff>915092</xdr:colOff>
      <xdr:row>14</xdr:row>
      <xdr:rowOff>182495</xdr:rowOff>
    </xdr:to>
    <xdr:grpSp>
      <xdr:nvGrpSpPr>
        <xdr:cNvPr id="4" name="Agrupar 3">
          <a:extLst>
            <a:ext uri="{FF2B5EF4-FFF2-40B4-BE49-F238E27FC236}">
              <a16:creationId xmlns:a16="http://schemas.microsoft.com/office/drawing/2014/main" id="{00000000-0008-0000-0100-000004000000}"/>
            </a:ext>
          </a:extLst>
        </xdr:cNvPr>
        <xdr:cNvGrpSpPr/>
      </xdr:nvGrpSpPr>
      <xdr:grpSpPr>
        <a:xfrm>
          <a:off x="817328" y="903847"/>
          <a:ext cx="16347414" cy="2400943"/>
          <a:chOff x="418406" y="647237"/>
          <a:chExt cx="16315241" cy="2272813"/>
        </a:xfrm>
      </xdr:grpSpPr>
      <xdr:sp macro="" textlink="">
        <xdr:nvSpPr>
          <xdr:cNvPr id="5" name="Forma libre 4">
            <a:extLst>
              <a:ext uri="{FF2B5EF4-FFF2-40B4-BE49-F238E27FC236}">
                <a16:creationId xmlns:a16="http://schemas.microsoft.com/office/drawing/2014/main" id="{00000000-0008-0000-0100-000005000000}"/>
              </a:ext>
            </a:extLst>
          </xdr:cNvPr>
          <xdr:cNvSpPr/>
        </xdr:nvSpPr>
        <xdr:spPr>
          <a:xfrm>
            <a:off x="14045861" y="2020395"/>
            <a:ext cx="2070478" cy="307776"/>
          </a:xfrm>
          <a:custGeom>
            <a:avLst/>
            <a:gdLst/>
            <a:ahLst/>
            <a:cxnLst/>
            <a:rect l="0" t="0" r="0" b="0"/>
            <a:pathLst>
              <a:path>
                <a:moveTo>
                  <a:pt x="0" y="0"/>
                </a:moveTo>
                <a:lnTo>
                  <a:pt x="0" y="183482"/>
                </a:lnTo>
                <a:lnTo>
                  <a:pt x="2070478" y="183482"/>
                </a:lnTo>
                <a:lnTo>
                  <a:pt x="2070478" y="307776"/>
                </a:lnTo>
              </a:path>
            </a:pathLst>
          </a:custGeom>
          <a:noFill/>
        </xdr:spPr>
        <xdr:style>
          <a:lnRef idx="2">
            <a:schemeClr val="accent1">
              <a:shade val="80000"/>
              <a:hueOff val="0"/>
              <a:satOff val="0"/>
              <a:lumOff val="0"/>
              <a:alphaOff val="0"/>
            </a:schemeClr>
          </a:lnRef>
          <a:fillRef idx="0">
            <a:scrgbClr r="0" g="0" b="0"/>
          </a:fillRef>
          <a:effectRef idx="0">
            <a:schemeClr val="accent1">
              <a:hueOff val="0"/>
              <a:satOff val="0"/>
              <a:lumOff val="0"/>
              <a:alphaOff val="0"/>
            </a:schemeClr>
          </a:effectRef>
          <a:fontRef idx="minor">
            <a:schemeClr val="tx1">
              <a:hueOff val="0"/>
              <a:satOff val="0"/>
              <a:lumOff val="0"/>
              <a:alphaOff val="0"/>
            </a:schemeClr>
          </a:fontRef>
        </xdr:style>
      </xdr:sp>
      <xdr:sp macro="" textlink="">
        <xdr:nvSpPr>
          <xdr:cNvPr id="7" name="Forma libre 6">
            <a:extLst>
              <a:ext uri="{FF2B5EF4-FFF2-40B4-BE49-F238E27FC236}">
                <a16:creationId xmlns:a16="http://schemas.microsoft.com/office/drawing/2014/main" id="{00000000-0008-0000-0100-000007000000}"/>
              </a:ext>
            </a:extLst>
          </xdr:cNvPr>
          <xdr:cNvSpPr/>
        </xdr:nvSpPr>
        <xdr:spPr>
          <a:xfrm>
            <a:off x="14045861" y="2020395"/>
            <a:ext cx="690159" cy="307776"/>
          </a:xfrm>
          <a:custGeom>
            <a:avLst/>
            <a:gdLst/>
            <a:ahLst/>
            <a:cxnLst/>
            <a:rect l="0" t="0" r="0" b="0"/>
            <a:pathLst>
              <a:path>
                <a:moveTo>
                  <a:pt x="0" y="0"/>
                </a:moveTo>
                <a:lnTo>
                  <a:pt x="0" y="183482"/>
                </a:lnTo>
                <a:lnTo>
                  <a:pt x="690159" y="183482"/>
                </a:lnTo>
                <a:lnTo>
                  <a:pt x="690159" y="307776"/>
                </a:lnTo>
              </a:path>
            </a:pathLst>
          </a:custGeom>
          <a:noFill/>
        </xdr:spPr>
        <xdr:style>
          <a:lnRef idx="2">
            <a:schemeClr val="accent1">
              <a:shade val="80000"/>
              <a:hueOff val="0"/>
              <a:satOff val="0"/>
              <a:lumOff val="0"/>
              <a:alphaOff val="0"/>
            </a:schemeClr>
          </a:lnRef>
          <a:fillRef idx="0">
            <a:scrgbClr r="0" g="0" b="0"/>
          </a:fillRef>
          <a:effectRef idx="0">
            <a:schemeClr val="accent1">
              <a:hueOff val="0"/>
              <a:satOff val="0"/>
              <a:lumOff val="0"/>
              <a:alphaOff val="0"/>
            </a:schemeClr>
          </a:effectRef>
          <a:fontRef idx="minor">
            <a:schemeClr val="tx1">
              <a:hueOff val="0"/>
              <a:satOff val="0"/>
              <a:lumOff val="0"/>
              <a:alphaOff val="0"/>
            </a:schemeClr>
          </a:fontRef>
        </xdr:style>
      </xdr:sp>
      <xdr:sp macro="" textlink="">
        <xdr:nvSpPr>
          <xdr:cNvPr id="8" name="Forma libre 7">
            <a:extLst>
              <a:ext uri="{FF2B5EF4-FFF2-40B4-BE49-F238E27FC236}">
                <a16:creationId xmlns:a16="http://schemas.microsoft.com/office/drawing/2014/main" id="{00000000-0008-0000-0100-000008000000}"/>
              </a:ext>
            </a:extLst>
          </xdr:cNvPr>
          <xdr:cNvSpPr/>
        </xdr:nvSpPr>
        <xdr:spPr>
          <a:xfrm>
            <a:off x="13355701" y="2020395"/>
            <a:ext cx="690159" cy="307776"/>
          </a:xfrm>
          <a:custGeom>
            <a:avLst/>
            <a:gdLst/>
            <a:ahLst/>
            <a:cxnLst/>
            <a:rect l="0" t="0" r="0" b="0"/>
            <a:pathLst>
              <a:path>
                <a:moveTo>
                  <a:pt x="690159" y="0"/>
                </a:moveTo>
                <a:lnTo>
                  <a:pt x="690159" y="183482"/>
                </a:lnTo>
                <a:lnTo>
                  <a:pt x="0" y="183482"/>
                </a:lnTo>
                <a:lnTo>
                  <a:pt x="0" y="307776"/>
                </a:lnTo>
              </a:path>
            </a:pathLst>
          </a:custGeom>
          <a:noFill/>
        </xdr:spPr>
        <xdr:style>
          <a:lnRef idx="2">
            <a:schemeClr val="accent1">
              <a:shade val="80000"/>
              <a:hueOff val="0"/>
              <a:satOff val="0"/>
              <a:lumOff val="0"/>
              <a:alphaOff val="0"/>
            </a:schemeClr>
          </a:lnRef>
          <a:fillRef idx="0">
            <a:scrgbClr r="0" g="0" b="0"/>
          </a:fillRef>
          <a:effectRef idx="0">
            <a:schemeClr val="accent1">
              <a:hueOff val="0"/>
              <a:satOff val="0"/>
              <a:lumOff val="0"/>
              <a:alphaOff val="0"/>
            </a:schemeClr>
          </a:effectRef>
          <a:fontRef idx="minor">
            <a:schemeClr val="tx1">
              <a:hueOff val="0"/>
              <a:satOff val="0"/>
              <a:lumOff val="0"/>
              <a:alphaOff val="0"/>
            </a:schemeClr>
          </a:fontRef>
        </xdr:style>
      </xdr:sp>
      <xdr:sp macro="" textlink="">
        <xdr:nvSpPr>
          <xdr:cNvPr id="9" name="Forma libre 8">
            <a:extLst>
              <a:ext uri="{FF2B5EF4-FFF2-40B4-BE49-F238E27FC236}">
                <a16:creationId xmlns:a16="http://schemas.microsoft.com/office/drawing/2014/main" id="{00000000-0008-0000-0100-000009000000}"/>
              </a:ext>
            </a:extLst>
          </xdr:cNvPr>
          <xdr:cNvSpPr/>
        </xdr:nvSpPr>
        <xdr:spPr>
          <a:xfrm>
            <a:off x="11975382" y="2020395"/>
            <a:ext cx="2070478" cy="307776"/>
          </a:xfrm>
          <a:custGeom>
            <a:avLst/>
            <a:gdLst/>
            <a:ahLst/>
            <a:cxnLst/>
            <a:rect l="0" t="0" r="0" b="0"/>
            <a:pathLst>
              <a:path>
                <a:moveTo>
                  <a:pt x="2070478" y="0"/>
                </a:moveTo>
                <a:lnTo>
                  <a:pt x="2070478" y="183482"/>
                </a:lnTo>
                <a:lnTo>
                  <a:pt x="0" y="183482"/>
                </a:lnTo>
                <a:lnTo>
                  <a:pt x="0" y="307776"/>
                </a:lnTo>
              </a:path>
            </a:pathLst>
          </a:custGeom>
          <a:noFill/>
        </xdr:spPr>
        <xdr:style>
          <a:lnRef idx="2">
            <a:schemeClr val="accent1">
              <a:shade val="80000"/>
              <a:hueOff val="0"/>
              <a:satOff val="0"/>
              <a:lumOff val="0"/>
              <a:alphaOff val="0"/>
            </a:schemeClr>
          </a:lnRef>
          <a:fillRef idx="0">
            <a:scrgbClr r="0" g="0" b="0"/>
          </a:fillRef>
          <a:effectRef idx="0">
            <a:schemeClr val="accent1">
              <a:hueOff val="0"/>
              <a:satOff val="0"/>
              <a:lumOff val="0"/>
              <a:alphaOff val="0"/>
            </a:schemeClr>
          </a:effectRef>
          <a:fontRef idx="minor">
            <a:schemeClr val="tx1">
              <a:hueOff val="0"/>
              <a:satOff val="0"/>
              <a:lumOff val="0"/>
              <a:alphaOff val="0"/>
            </a:schemeClr>
          </a:fontRef>
        </xdr:style>
      </xdr:sp>
      <xdr:sp macro="" textlink="">
        <xdr:nvSpPr>
          <xdr:cNvPr id="10" name="Forma libre 9">
            <a:extLst>
              <a:ext uri="{FF2B5EF4-FFF2-40B4-BE49-F238E27FC236}">
                <a16:creationId xmlns:a16="http://schemas.microsoft.com/office/drawing/2014/main" id="{00000000-0008-0000-0100-00000A000000}"/>
              </a:ext>
            </a:extLst>
          </xdr:cNvPr>
          <xdr:cNvSpPr/>
        </xdr:nvSpPr>
        <xdr:spPr>
          <a:xfrm>
            <a:off x="8179504" y="1179928"/>
            <a:ext cx="5866356" cy="307776"/>
          </a:xfrm>
          <a:custGeom>
            <a:avLst/>
            <a:gdLst/>
            <a:ahLst/>
            <a:cxnLst/>
            <a:rect l="0" t="0" r="0" b="0"/>
            <a:pathLst>
              <a:path>
                <a:moveTo>
                  <a:pt x="0" y="0"/>
                </a:moveTo>
                <a:lnTo>
                  <a:pt x="0" y="183482"/>
                </a:lnTo>
                <a:lnTo>
                  <a:pt x="5866356" y="183482"/>
                </a:lnTo>
                <a:lnTo>
                  <a:pt x="5866356" y="307776"/>
                </a:lnTo>
              </a:path>
            </a:pathLst>
          </a:custGeom>
          <a:noFill/>
        </xdr:spPr>
        <xdr:style>
          <a:lnRef idx="2">
            <a:schemeClr val="accent1">
              <a:shade val="60000"/>
              <a:hueOff val="0"/>
              <a:satOff val="0"/>
              <a:lumOff val="0"/>
              <a:alphaOff val="0"/>
            </a:schemeClr>
          </a:lnRef>
          <a:fillRef idx="0">
            <a:scrgbClr r="0" g="0" b="0"/>
          </a:fillRef>
          <a:effectRef idx="0">
            <a:schemeClr val="accent1">
              <a:hueOff val="0"/>
              <a:satOff val="0"/>
              <a:lumOff val="0"/>
              <a:alphaOff val="0"/>
            </a:schemeClr>
          </a:effectRef>
          <a:fontRef idx="minor">
            <a:schemeClr val="tx1">
              <a:hueOff val="0"/>
              <a:satOff val="0"/>
              <a:lumOff val="0"/>
              <a:alphaOff val="0"/>
            </a:schemeClr>
          </a:fontRef>
        </xdr:style>
      </xdr:sp>
      <xdr:sp macro="" textlink="">
        <xdr:nvSpPr>
          <xdr:cNvPr id="11" name="Forma libre 10">
            <a:extLst>
              <a:ext uri="{FF2B5EF4-FFF2-40B4-BE49-F238E27FC236}">
                <a16:creationId xmlns:a16="http://schemas.microsoft.com/office/drawing/2014/main" id="{00000000-0008-0000-0100-00000B000000}"/>
              </a:ext>
            </a:extLst>
          </xdr:cNvPr>
          <xdr:cNvSpPr/>
        </xdr:nvSpPr>
        <xdr:spPr>
          <a:xfrm>
            <a:off x="10549343" y="2020395"/>
            <a:ext cx="91440" cy="307776"/>
          </a:xfrm>
          <a:custGeom>
            <a:avLst/>
            <a:gdLst/>
            <a:ahLst/>
            <a:cxnLst/>
            <a:rect l="0" t="0" r="0" b="0"/>
            <a:pathLst>
              <a:path>
                <a:moveTo>
                  <a:pt x="45720" y="0"/>
                </a:moveTo>
                <a:lnTo>
                  <a:pt x="45720" y="307776"/>
                </a:lnTo>
              </a:path>
            </a:pathLst>
          </a:custGeom>
          <a:noFill/>
        </xdr:spPr>
        <xdr:style>
          <a:lnRef idx="2">
            <a:schemeClr val="accent1">
              <a:shade val="80000"/>
              <a:hueOff val="0"/>
              <a:satOff val="0"/>
              <a:lumOff val="0"/>
              <a:alphaOff val="0"/>
            </a:schemeClr>
          </a:lnRef>
          <a:fillRef idx="0">
            <a:scrgbClr r="0" g="0" b="0"/>
          </a:fillRef>
          <a:effectRef idx="0">
            <a:schemeClr val="accent1">
              <a:hueOff val="0"/>
              <a:satOff val="0"/>
              <a:lumOff val="0"/>
              <a:alphaOff val="0"/>
            </a:schemeClr>
          </a:effectRef>
          <a:fontRef idx="minor">
            <a:schemeClr val="tx1">
              <a:hueOff val="0"/>
              <a:satOff val="0"/>
              <a:lumOff val="0"/>
              <a:alphaOff val="0"/>
            </a:schemeClr>
          </a:fontRef>
        </xdr:style>
      </xdr:sp>
      <xdr:sp macro="" textlink="">
        <xdr:nvSpPr>
          <xdr:cNvPr id="12" name="Forma libre 11">
            <a:extLst>
              <a:ext uri="{FF2B5EF4-FFF2-40B4-BE49-F238E27FC236}">
                <a16:creationId xmlns:a16="http://schemas.microsoft.com/office/drawing/2014/main" id="{00000000-0008-0000-0100-00000C000000}"/>
              </a:ext>
            </a:extLst>
          </xdr:cNvPr>
          <xdr:cNvSpPr/>
        </xdr:nvSpPr>
        <xdr:spPr>
          <a:xfrm>
            <a:off x="8179504" y="1179928"/>
            <a:ext cx="2415558" cy="307776"/>
          </a:xfrm>
          <a:custGeom>
            <a:avLst/>
            <a:gdLst/>
            <a:ahLst/>
            <a:cxnLst/>
            <a:rect l="0" t="0" r="0" b="0"/>
            <a:pathLst>
              <a:path>
                <a:moveTo>
                  <a:pt x="0" y="0"/>
                </a:moveTo>
                <a:lnTo>
                  <a:pt x="0" y="183482"/>
                </a:lnTo>
                <a:lnTo>
                  <a:pt x="2415558" y="183482"/>
                </a:lnTo>
                <a:lnTo>
                  <a:pt x="2415558" y="307776"/>
                </a:lnTo>
              </a:path>
            </a:pathLst>
          </a:custGeom>
          <a:noFill/>
        </xdr:spPr>
        <xdr:style>
          <a:lnRef idx="2">
            <a:schemeClr val="accent1">
              <a:shade val="60000"/>
              <a:hueOff val="0"/>
              <a:satOff val="0"/>
              <a:lumOff val="0"/>
              <a:alphaOff val="0"/>
            </a:schemeClr>
          </a:lnRef>
          <a:fillRef idx="0">
            <a:scrgbClr r="0" g="0" b="0"/>
          </a:fillRef>
          <a:effectRef idx="0">
            <a:schemeClr val="accent1">
              <a:hueOff val="0"/>
              <a:satOff val="0"/>
              <a:lumOff val="0"/>
              <a:alphaOff val="0"/>
            </a:schemeClr>
          </a:effectRef>
          <a:fontRef idx="minor">
            <a:schemeClr val="tx1">
              <a:hueOff val="0"/>
              <a:satOff val="0"/>
              <a:lumOff val="0"/>
              <a:alphaOff val="0"/>
            </a:schemeClr>
          </a:fontRef>
        </xdr:style>
      </xdr:sp>
      <xdr:sp macro="" textlink="">
        <xdr:nvSpPr>
          <xdr:cNvPr id="13" name="Forma libre 12">
            <a:extLst>
              <a:ext uri="{FF2B5EF4-FFF2-40B4-BE49-F238E27FC236}">
                <a16:creationId xmlns:a16="http://schemas.microsoft.com/office/drawing/2014/main" id="{00000000-0008-0000-0100-00000D000000}"/>
              </a:ext>
            </a:extLst>
          </xdr:cNvPr>
          <xdr:cNvSpPr/>
        </xdr:nvSpPr>
        <xdr:spPr>
          <a:xfrm>
            <a:off x="7834425" y="2020395"/>
            <a:ext cx="1380319" cy="307776"/>
          </a:xfrm>
          <a:custGeom>
            <a:avLst/>
            <a:gdLst/>
            <a:ahLst/>
            <a:cxnLst/>
            <a:rect l="0" t="0" r="0" b="0"/>
            <a:pathLst>
              <a:path>
                <a:moveTo>
                  <a:pt x="0" y="0"/>
                </a:moveTo>
                <a:lnTo>
                  <a:pt x="0" y="183482"/>
                </a:lnTo>
                <a:lnTo>
                  <a:pt x="1380319" y="183482"/>
                </a:lnTo>
                <a:lnTo>
                  <a:pt x="1380319" y="307776"/>
                </a:lnTo>
              </a:path>
            </a:pathLst>
          </a:custGeom>
          <a:noFill/>
        </xdr:spPr>
        <xdr:style>
          <a:lnRef idx="2">
            <a:schemeClr val="accent1">
              <a:shade val="80000"/>
              <a:hueOff val="0"/>
              <a:satOff val="0"/>
              <a:lumOff val="0"/>
              <a:alphaOff val="0"/>
            </a:schemeClr>
          </a:lnRef>
          <a:fillRef idx="0">
            <a:scrgbClr r="0" g="0" b="0"/>
          </a:fillRef>
          <a:effectRef idx="0">
            <a:schemeClr val="accent1">
              <a:hueOff val="0"/>
              <a:satOff val="0"/>
              <a:lumOff val="0"/>
              <a:alphaOff val="0"/>
            </a:schemeClr>
          </a:effectRef>
          <a:fontRef idx="minor">
            <a:schemeClr val="tx1">
              <a:hueOff val="0"/>
              <a:satOff val="0"/>
              <a:lumOff val="0"/>
              <a:alphaOff val="0"/>
            </a:schemeClr>
          </a:fontRef>
        </xdr:style>
      </xdr:sp>
      <xdr:sp macro="" textlink="">
        <xdr:nvSpPr>
          <xdr:cNvPr id="14" name="Forma libre 13">
            <a:extLst>
              <a:ext uri="{FF2B5EF4-FFF2-40B4-BE49-F238E27FC236}">
                <a16:creationId xmlns:a16="http://schemas.microsoft.com/office/drawing/2014/main" id="{00000000-0008-0000-0100-00000E000000}"/>
              </a:ext>
            </a:extLst>
          </xdr:cNvPr>
          <xdr:cNvSpPr/>
        </xdr:nvSpPr>
        <xdr:spPr>
          <a:xfrm>
            <a:off x="7788705" y="2020395"/>
            <a:ext cx="91440" cy="307776"/>
          </a:xfrm>
          <a:custGeom>
            <a:avLst/>
            <a:gdLst/>
            <a:ahLst/>
            <a:cxnLst/>
            <a:rect l="0" t="0" r="0" b="0"/>
            <a:pathLst>
              <a:path>
                <a:moveTo>
                  <a:pt x="45720" y="0"/>
                </a:moveTo>
                <a:lnTo>
                  <a:pt x="45720" y="307776"/>
                </a:lnTo>
              </a:path>
            </a:pathLst>
          </a:custGeom>
          <a:noFill/>
        </xdr:spPr>
        <xdr:style>
          <a:lnRef idx="2">
            <a:schemeClr val="accent1">
              <a:shade val="80000"/>
              <a:hueOff val="0"/>
              <a:satOff val="0"/>
              <a:lumOff val="0"/>
              <a:alphaOff val="0"/>
            </a:schemeClr>
          </a:lnRef>
          <a:fillRef idx="0">
            <a:scrgbClr r="0" g="0" b="0"/>
          </a:fillRef>
          <a:effectRef idx="0">
            <a:schemeClr val="accent1">
              <a:hueOff val="0"/>
              <a:satOff val="0"/>
              <a:lumOff val="0"/>
              <a:alphaOff val="0"/>
            </a:schemeClr>
          </a:effectRef>
          <a:fontRef idx="minor">
            <a:schemeClr val="tx1">
              <a:hueOff val="0"/>
              <a:satOff val="0"/>
              <a:lumOff val="0"/>
              <a:alphaOff val="0"/>
            </a:schemeClr>
          </a:fontRef>
        </xdr:style>
      </xdr:sp>
      <xdr:sp macro="" textlink="">
        <xdr:nvSpPr>
          <xdr:cNvPr id="15" name="Forma libre 14">
            <a:extLst>
              <a:ext uri="{FF2B5EF4-FFF2-40B4-BE49-F238E27FC236}">
                <a16:creationId xmlns:a16="http://schemas.microsoft.com/office/drawing/2014/main" id="{00000000-0008-0000-0100-00000F000000}"/>
              </a:ext>
            </a:extLst>
          </xdr:cNvPr>
          <xdr:cNvSpPr/>
        </xdr:nvSpPr>
        <xdr:spPr>
          <a:xfrm>
            <a:off x="6454106" y="2020395"/>
            <a:ext cx="1380319" cy="307776"/>
          </a:xfrm>
          <a:custGeom>
            <a:avLst/>
            <a:gdLst/>
            <a:ahLst/>
            <a:cxnLst/>
            <a:rect l="0" t="0" r="0" b="0"/>
            <a:pathLst>
              <a:path>
                <a:moveTo>
                  <a:pt x="1380319" y="0"/>
                </a:moveTo>
                <a:lnTo>
                  <a:pt x="1380319" y="183482"/>
                </a:lnTo>
                <a:lnTo>
                  <a:pt x="0" y="183482"/>
                </a:lnTo>
                <a:lnTo>
                  <a:pt x="0" y="307776"/>
                </a:lnTo>
              </a:path>
            </a:pathLst>
          </a:custGeom>
          <a:noFill/>
        </xdr:spPr>
        <xdr:style>
          <a:lnRef idx="2">
            <a:schemeClr val="accent1">
              <a:shade val="80000"/>
              <a:hueOff val="0"/>
              <a:satOff val="0"/>
              <a:lumOff val="0"/>
              <a:alphaOff val="0"/>
            </a:schemeClr>
          </a:lnRef>
          <a:fillRef idx="0">
            <a:scrgbClr r="0" g="0" b="0"/>
          </a:fillRef>
          <a:effectRef idx="0">
            <a:schemeClr val="accent1">
              <a:hueOff val="0"/>
              <a:satOff val="0"/>
              <a:lumOff val="0"/>
              <a:alphaOff val="0"/>
            </a:schemeClr>
          </a:effectRef>
          <a:fontRef idx="minor">
            <a:schemeClr val="tx1">
              <a:hueOff val="0"/>
              <a:satOff val="0"/>
              <a:lumOff val="0"/>
              <a:alphaOff val="0"/>
            </a:schemeClr>
          </a:fontRef>
        </xdr:style>
      </xdr:sp>
      <xdr:sp macro="" textlink="">
        <xdr:nvSpPr>
          <xdr:cNvPr id="16" name="Forma libre 15">
            <a:extLst>
              <a:ext uri="{FF2B5EF4-FFF2-40B4-BE49-F238E27FC236}">
                <a16:creationId xmlns:a16="http://schemas.microsoft.com/office/drawing/2014/main" id="{00000000-0008-0000-0100-000010000000}"/>
              </a:ext>
            </a:extLst>
          </xdr:cNvPr>
          <xdr:cNvSpPr/>
        </xdr:nvSpPr>
        <xdr:spPr>
          <a:xfrm>
            <a:off x="7834425" y="1179928"/>
            <a:ext cx="345079" cy="307776"/>
          </a:xfrm>
          <a:custGeom>
            <a:avLst/>
            <a:gdLst/>
            <a:ahLst/>
            <a:cxnLst/>
            <a:rect l="0" t="0" r="0" b="0"/>
            <a:pathLst>
              <a:path>
                <a:moveTo>
                  <a:pt x="345079" y="0"/>
                </a:moveTo>
                <a:lnTo>
                  <a:pt x="345079" y="183482"/>
                </a:lnTo>
                <a:lnTo>
                  <a:pt x="0" y="183482"/>
                </a:lnTo>
                <a:lnTo>
                  <a:pt x="0" y="307776"/>
                </a:lnTo>
              </a:path>
            </a:pathLst>
          </a:custGeom>
          <a:noFill/>
        </xdr:spPr>
        <xdr:style>
          <a:lnRef idx="2">
            <a:schemeClr val="accent1">
              <a:shade val="60000"/>
              <a:hueOff val="0"/>
              <a:satOff val="0"/>
              <a:lumOff val="0"/>
              <a:alphaOff val="0"/>
            </a:schemeClr>
          </a:lnRef>
          <a:fillRef idx="0">
            <a:scrgbClr r="0" g="0" b="0"/>
          </a:fillRef>
          <a:effectRef idx="0">
            <a:schemeClr val="accent1">
              <a:hueOff val="0"/>
              <a:satOff val="0"/>
              <a:lumOff val="0"/>
              <a:alphaOff val="0"/>
            </a:schemeClr>
          </a:effectRef>
          <a:fontRef idx="minor">
            <a:schemeClr val="tx1">
              <a:hueOff val="0"/>
              <a:satOff val="0"/>
              <a:lumOff val="0"/>
              <a:alphaOff val="0"/>
            </a:schemeClr>
          </a:fontRef>
        </xdr:style>
      </xdr:sp>
      <xdr:sp macro="" textlink="">
        <xdr:nvSpPr>
          <xdr:cNvPr id="17" name="Forma libre 16">
            <a:extLst>
              <a:ext uri="{FF2B5EF4-FFF2-40B4-BE49-F238E27FC236}">
                <a16:creationId xmlns:a16="http://schemas.microsoft.com/office/drawing/2014/main" id="{00000000-0008-0000-0100-000011000000}"/>
              </a:ext>
            </a:extLst>
          </xdr:cNvPr>
          <xdr:cNvSpPr/>
        </xdr:nvSpPr>
        <xdr:spPr>
          <a:xfrm>
            <a:off x="5028066" y="2020395"/>
            <a:ext cx="91440" cy="307776"/>
          </a:xfrm>
          <a:custGeom>
            <a:avLst/>
            <a:gdLst/>
            <a:ahLst/>
            <a:cxnLst/>
            <a:rect l="0" t="0" r="0" b="0"/>
            <a:pathLst>
              <a:path>
                <a:moveTo>
                  <a:pt x="45720" y="0"/>
                </a:moveTo>
                <a:lnTo>
                  <a:pt x="45720" y="307776"/>
                </a:lnTo>
              </a:path>
            </a:pathLst>
          </a:custGeom>
          <a:noFill/>
        </xdr:spPr>
        <xdr:style>
          <a:lnRef idx="2">
            <a:schemeClr val="accent1">
              <a:shade val="80000"/>
              <a:hueOff val="0"/>
              <a:satOff val="0"/>
              <a:lumOff val="0"/>
              <a:alphaOff val="0"/>
            </a:schemeClr>
          </a:lnRef>
          <a:fillRef idx="0">
            <a:scrgbClr r="0" g="0" b="0"/>
          </a:fillRef>
          <a:effectRef idx="0">
            <a:schemeClr val="accent1">
              <a:hueOff val="0"/>
              <a:satOff val="0"/>
              <a:lumOff val="0"/>
              <a:alphaOff val="0"/>
            </a:schemeClr>
          </a:effectRef>
          <a:fontRef idx="minor">
            <a:schemeClr val="tx1">
              <a:hueOff val="0"/>
              <a:satOff val="0"/>
              <a:lumOff val="0"/>
              <a:alphaOff val="0"/>
            </a:schemeClr>
          </a:fontRef>
        </xdr:style>
      </xdr:sp>
      <xdr:sp macro="" textlink="">
        <xdr:nvSpPr>
          <xdr:cNvPr id="18" name="Forma libre 17">
            <a:extLst>
              <a:ext uri="{FF2B5EF4-FFF2-40B4-BE49-F238E27FC236}">
                <a16:creationId xmlns:a16="http://schemas.microsoft.com/office/drawing/2014/main" id="{00000000-0008-0000-0100-000012000000}"/>
              </a:ext>
            </a:extLst>
          </xdr:cNvPr>
          <xdr:cNvSpPr/>
        </xdr:nvSpPr>
        <xdr:spPr>
          <a:xfrm>
            <a:off x="5073786" y="1179928"/>
            <a:ext cx="3105717" cy="307776"/>
          </a:xfrm>
          <a:custGeom>
            <a:avLst/>
            <a:gdLst/>
            <a:ahLst/>
            <a:cxnLst/>
            <a:rect l="0" t="0" r="0" b="0"/>
            <a:pathLst>
              <a:path>
                <a:moveTo>
                  <a:pt x="3105717" y="0"/>
                </a:moveTo>
                <a:lnTo>
                  <a:pt x="3105717" y="183482"/>
                </a:lnTo>
                <a:lnTo>
                  <a:pt x="0" y="183482"/>
                </a:lnTo>
                <a:lnTo>
                  <a:pt x="0" y="307776"/>
                </a:lnTo>
              </a:path>
            </a:pathLst>
          </a:custGeom>
          <a:noFill/>
        </xdr:spPr>
        <xdr:style>
          <a:lnRef idx="2">
            <a:schemeClr val="accent1">
              <a:shade val="60000"/>
              <a:hueOff val="0"/>
              <a:satOff val="0"/>
              <a:lumOff val="0"/>
              <a:alphaOff val="0"/>
            </a:schemeClr>
          </a:lnRef>
          <a:fillRef idx="0">
            <a:scrgbClr r="0" g="0" b="0"/>
          </a:fillRef>
          <a:effectRef idx="0">
            <a:schemeClr val="accent1">
              <a:hueOff val="0"/>
              <a:satOff val="0"/>
              <a:lumOff val="0"/>
              <a:alphaOff val="0"/>
            </a:schemeClr>
          </a:effectRef>
          <a:fontRef idx="minor">
            <a:schemeClr val="tx1">
              <a:hueOff val="0"/>
              <a:satOff val="0"/>
              <a:lumOff val="0"/>
              <a:alphaOff val="0"/>
            </a:schemeClr>
          </a:fontRef>
        </xdr:style>
      </xdr:sp>
      <xdr:sp macro="" textlink="">
        <xdr:nvSpPr>
          <xdr:cNvPr id="19" name="Forma libre 18">
            <a:extLst>
              <a:ext uri="{FF2B5EF4-FFF2-40B4-BE49-F238E27FC236}">
                <a16:creationId xmlns:a16="http://schemas.microsoft.com/office/drawing/2014/main" id="{00000000-0008-0000-0100-000013000000}"/>
              </a:ext>
            </a:extLst>
          </xdr:cNvPr>
          <xdr:cNvSpPr/>
        </xdr:nvSpPr>
        <xdr:spPr>
          <a:xfrm>
            <a:off x="2313148" y="2020395"/>
            <a:ext cx="1380319" cy="307776"/>
          </a:xfrm>
          <a:custGeom>
            <a:avLst/>
            <a:gdLst/>
            <a:ahLst/>
            <a:cxnLst/>
            <a:rect l="0" t="0" r="0" b="0"/>
            <a:pathLst>
              <a:path>
                <a:moveTo>
                  <a:pt x="0" y="0"/>
                </a:moveTo>
                <a:lnTo>
                  <a:pt x="0" y="183482"/>
                </a:lnTo>
                <a:lnTo>
                  <a:pt x="1380319" y="183482"/>
                </a:lnTo>
                <a:lnTo>
                  <a:pt x="1380319" y="307776"/>
                </a:lnTo>
              </a:path>
            </a:pathLst>
          </a:custGeom>
          <a:noFill/>
        </xdr:spPr>
        <xdr:style>
          <a:lnRef idx="2">
            <a:schemeClr val="accent1">
              <a:shade val="80000"/>
              <a:hueOff val="0"/>
              <a:satOff val="0"/>
              <a:lumOff val="0"/>
              <a:alphaOff val="0"/>
            </a:schemeClr>
          </a:lnRef>
          <a:fillRef idx="0">
            <a:scrgbClr r="0" g="0" b="0"/>
          </a:fillRef>
          <a:effectRef idx="0">
            <a:schemeClr val="accent1">
              <a:hueOff val="0"/>
              <a:satOff val="0"/>
              <a:lumOff val="0"/>
              <a:alphaOff val="0"/>
            </a:schemeClr>
          </a:effectRef>
          <a:fontRef idx="minor">
            <a:schemeClr val="tx1">
              <a:hueOff val="0"/>
              <a:satOff val="0"/>
              <a:lumOff val="0"/>
              <a:alphaOff val="0"/>
            </a:schemeClr>
          </a:fontRef>
        </xdr:style>
      </xdr:sp>
      <xdr:sp macro="" textlink="">
        <xdr:nvSpPr>
          <xdr:cNvPr id="20" name="Forma libre 19">
            <a:extLst>
              <a:ext uri="{FF2B5EF4-FFF2-40B4-BE49-F238E27FC236}">
                <a16:creationId xmlns:a16="http://schemas.microsoft.com/office/drawing/2014/main" id="{00000000-0008-0000-0100-000014000000}"/>
              </a:ext>
            </a:extLst>
          </xdr:cNvPr>
          <xdr:cNvSpPr/>
        </xdr:nvSpPr>
        <xdr:spPr>
          <a:xfrm>
            <a:off x="2267428" y="2020395"/>
            <a:ext cx="91440" cy="307776"/>
          </a:xfrm>
          <a:custGeom>
            <a:avLst/>
            <a:gdLst/>
            <a:ahLst/>
            <a:cxnLst/>
            <a:rect l="0" t="0" r="0" b="0"/>
            <a:pathLst>
              <a:path>
                <a:moveTo>
                  <a:pt x="45720" y="0"/>
                </a:moveTo>
                <a:lnTo>
                  <a:pt x="45720" y="307776"/>
                </a:lnTo>
              </a:path>
            </a:pathLst>
          </a:custGeom>
          <a:noFill/>
        </xdr:spPr>
        <xdr:style>
          <a:lnRef idx="2">
            <a:schemeClr val="accent1">
              <a:shade val="80000"/>
              <a:hueOff val="0"/>
              <a:satOff val="0"/>
              <a:lumOff val="0"/>
              <a:alphaOff val="0"/>
            </a:schemeClr>
          </a:lnRef>
          <a:fillRef idx="0">
            <a:scrgbClr r="0" g="0" b="0"/>
          </a:fillRef>
          <a:effectRef idx="0">
            <a:schemeClr val="accent1">
              <a:hueOff val="0"/>
              <a:satOff val="0"/>
              <a:lumOff val="0"/>
              <a:alphaOff val="0"/>
            </a:schemeClr>
          </a:effectRef>
          <a:fontRef idx="minor">
            <a:schemeClr val="tx1">
              <a:hueOff val="0"/>
              <a:satOff val="0"/>
              <a:lumOff val="0"/>
              <a:alphaOff val="0"/>
            </a:schemeClr>
          </a:fontRef>
        </xdr:style>
      </xdr:sp>
      <xdr:sp macro="" textlink="">
        <xdr:nvSpPr>
          <xdr:cNvPr id="21" name="Forma libre 20">
            <a:extLst>
              <a:ext uri="{FF2B5EF4-FFF2-40B4-BE49-F238E27FC236}">
                <a16:creationId xmlns:a16="http://schemas.microsoft.com/office/drawing/2014/main" id="{00000000-0008-0000-0100-000015000000}"/>
              </a:ext>
            </a:extLst>
          </xdr:cNvPr>
          <xdr:cNvSpPr/>
        </xdr:nvSpPr>
        <xdr:spPr>
          <a:xfrm>
            <a:off x="932829" y="2020395"/>
            <a:ext cx="1380319" cy="307776"/>
          </a:xfrm>
          <a:custGeom>
            <a:avLst/>
            <a:gdLst/>
            <a:ahLst/>
            <a:cxnLst/>
            <a:rect l="0" t="0" r="0" b="0"/>
            <a:pathLst>
              <a:path>
                <a:moveTo>
                  <a:pt x="1380319" y="0"/>
                </a:moveTo>
                <a:lnTo>
                  <a:pt x="1380319" y="183482"/>
                </a:lnTo>
                <a:lnTo>
                  <a:pt x="0" y="183482"/>
                </a:lnTo>
                <a:lnTo>
                  <a:pt x="0" y="307776"/>
                </a:lnTo>
              </a:path>
            </a:pathLst>
          </a:custGeom>
          <a:noFill/>
        </xdr:spPr>
        <xdr:style>
          <a:lnRef idx="2">
            <a:schemeClr val="accent1">
              <a:shade val="80000"/>
              <a:hueOff val="0"/>
              <a:satOff val="0"/>
              <a:lumOff val="0"/>
              <a:alphaOff val="0"/>
            </a:schemeClr>
          </a:lnRef>
          <a:fillRef idx="0">
            <a:scrgbClr r="0" g="0" b="0"/>
          </a:fillRef>
          <a:effectRef idx="0">
            <a:schemeClr val="accent1">
              <a:hueOff val="0"/>
              <a:satOff val="0"/>
              <a:lumOff val="0"/>
              <a:alphaOff val="0"/>
            </a:schemeClr>
          </a:effectRef>
          <a:fontRef idx="minor">
            <a:schemeClr val="tx1">
              <a:hueOff val="0"/>
              <a:satOff val="0"/>
              <a:lumOff val="0"/>
              <a:alphaOff val="0"/>
            </a:schemeClr>
          </a:fontRef>
        </xdr:style>
      </xdr:sp>
      <xdr:sp macro="" textlink="">
        <xdr:nvSpPr>
          <xdr:cNvPr id="22" name="Forma libre 21">
            <a:extLst>
              <a:ext uri="{FF2B5EF4-FFF2-40B4-BE49-F238E27FC236}">
                <a16:creationId xmlns:a16="http://schemas.microsoft.com/office/drawing/2014/main" id="{00000000-0008-0000-0100-000016000000}"/>
              </a:ext>
            </a:extLst>
          </xdr:cNvPr>
          <xdr:cNvSpPr/>
        </xdr:nvSpPr>
        <xdr:spPr>
          <a:xfrm>
            <a:off x="2313148" y="1179928"/>
            <a:ext cx="5866356" cy="307776"/>
          </a:xfrm>
          <a:custGeom>
            <a:avLst/>
            <a:gdLst/>
            <a:ahLst/>
            <a:cxnLst/>
            <a:rect l="0" t="0" r="0" b="0"/>
            <a:pathLst>
              <a:path>
                <a:moveTo>
                  <a:pt x="5866356" y="0"/>
                </a:moveTo>
                <a:lnTo>
                  <a:pt x="5866356" y="183482"/>
                </a:lnTo>
                <a:lnTo>
                  <a:pt x="0" y="183482"/>
                </a:lnTo>
                <a:lnTo>
                  <a:pt x="0" y="307776"/>
                </a:lnTo>
              </a:path>
            </a:pathLst>
          </a:custGeom>
          <a:noFill/>
        </xdr:spPr>
        <xdr:style>
          <a:lnRef idx="2">
            <a:schemeClr val="accent1">
              <a:shade val="60000"/>
              <a:hueOff val="0"/>
              <a:satOff val="0"/>
              <a:lumOff val="0"/>
              <a:alphaOff val="0"/>
            </a:schemeClr>
          </a:lnRef>
          <a:fillRef idx="0">
            <a:scrgbClr r="0" g="0" b="0"/>
          </a:fillRef>
          <a:effectRef idx="0">
            <a:schemeClr val="accent1">
              <a:hueOff val="0"/>
              <a:satOff val="0"/>
              <a:lumOff val="0"/>
              <a:alphaOff val="0"/>
            </a:schemeClr>
          </a:effectRef>
          <a:fontRef idx="minor">
            <a:schemeClr val="tx1">
              <a:hueOff val="0"/>
              <a:satOff val="0"/>
              <a:lumOff val="0"/>
              <a:alphaOff val="0"/>
            </a:schemeClr>
          </a:fontRef>
        </xdr:style>
      </xdr:sp>
      <xdr:sp macro="" textlink="">
        <xdr:nvSpPr>
          <xdr:cNvPr id="23" name="Forma libre 22">
            <a:extLst>
              <a:ext uri="{FF2B5EF4-FFF2-40B4-BE49-F238E27FC236}">
                <a16:creationId xmlns:a16="http://schemas.microsoft.com/office/drawing/2014/main" id="{00000000-0008-0000-0100-000017000000}"/>
              </a:ext>
            </a:extLst>
          </xdr:cNvPr>
          <xdr:cNvSpPr/>
        </xdr:nvSpPr>
        <xdr:spPr>
          <a:xfrm>
            <a:off x="7665082" y="647237"/>
            <a:ext cx="1028845" cy="532690"/>
          </a:xfrm>
          <a:custGeom>
            <a:avLst/>
            <a:gdLst>
              <a:gd name="connsiteX0" fmla="*/ 0 w 1028845"/>
              <a:gd name="connsiteY0" fmla="*/ 88783 h 532690"/>
              <a:gd name="connsiteX1" fmla="*/ 88783 w 1028845"/>
              <a:gd name="connsiteY1" fmla="*/ 0 h 532690"/>
              <a:gd name="connsiteX2" fmla="*/ 940062 w 1028845"/>
              <a:gd name="connsiteY2" fmla="*/ 0 h 532690"/>
              <a:gd name="connsiteX3" fmla="*/ 1028845 w 1028845"/>
              <a:gd name="connsiteY3" fmla="*/ 88783 h 532690"/>
              <a:gd name="connsiteX4" fmla="*/ 1028845 w 1028845"/>
              <a:gd name="connsiteY4" fmla="*/ 443907 h 532690"/>
              <a:gd name="connsiteX5" fmla="*/ 940062 w 1028845"/>
              <a:gd name="connsiteY5" fmla="*/ 532690 h 532690"/>
              <a:gd name="connsiteX6" fmla="*/ 88783 w 1028845"/>
              <a:gd name="connsiteY6" fmla="*/ 532690 h 532690"/>
              <a:gd name="connsiteX7" fmla="*/ 0 w 1028845"/>
              <a:gd name="connsiteY7" fmla="*/ 443907 h 532690"/>
              <a:gd name="connsiteX8" fmla="*/ 0 w 1028845"/>
              <a:gd name="connsiteY8" fmla="*/ 88783 h 53269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28845" h="532690">
                <a:moveTo>
                  <a:pt x="0" y="88783"/>
                </a:moveTo>
                <a:cubicBezTo>
                  <a:pt x="0" y="39750"/>
                  <a:pt x="39750" y="0"/>
                  <a:pt x="88783" y="0"/>
                </a:cubicBezTo>
                <a:lnTo>
                  <a:pt x="940062" y="0"/>
                </a:lnTo>
                <a:cubicBezTo>
                  <a:pt x="989095" y="0"/>
                  <a:pt x="1028845" y="39750"/>
                  <a:pt x="1028845" y="88783"/>
                </a:cubicBezTo>
                <a:lnTo>
                  <a:pt x="1028845" y="443907"/>
                </a:lnTo>
                <a:cubicBezTo>
                  <a:pt x="1028845" y="492940"/>
                  <a:pt x="989095" y="532690"/>
                  <a:pt x="940062" y="532690"/>
                </a:cubicBezTo>
                <a:lnTo>
                  <a:pt x="88783" y="532690"/>
                </a:lnTo>
                <a:cubicBezTo>
                  <a:pt x="39750" y="532690"/>
                  <a:pt x="0" y="492940"/>
                  <a:pt x="0" y="443907"/>
                </a:cubicBezTo>
                <a:lnTo>
                  <a:pt x="0" y="88783"/>
                </a:lnTo>
                <a:close/>
              </a:path>
            </a:pathLst>
          </a:custGeom>
          <a:solidFill>
            <a:srgbClr val="FFBEA9"/>
          </a:solidFill>
          <a:ln>
            <a:noFill/>
          </a:ln>
          <a:scene3d>
            <a:camera prst="orthographicFront"/>
            <a:lightRig rig="flat" dir="t"/>
          </a:scene3d>
          <a:sp3d prstMaterial="dkEdge">
            <a:bevelT w="8200" h="38100"/>
          </a:sp3d>
        </xdr:spPr>
        <xdr:style>
          <a:lnRef idx="0">
            <a:scrgbClr r="0" g="0" b="0"/>
          </a:lnRef>
          <a:fillRef idx="2">
            <a:scrgbClr r="0" g="0" b="0"/>
          </a:fillRef>
          <a:effectRef idx="1">
            <a:schemeClr val="accent1">
              <a:hueOff val="0"/>
              <a:satOff val="0"/>
              <a:lumOff val="0"/>
              <a:alphaOff val="0"/>
            </a:schemeClr>
          </a:effectRef>
          <a:fontRef idx="minor">
            <a:schemeClr val="dk1"/>
          </a:fontRef>
        </xdr:style>
        <xdr:txBody>
          <a:bodyPr spcFirstLastPara="0" vert="horz" wrap="square" lIns="31719" tIns="31719" rIns="31719" bIns="101173" numCol="1" spcCol="1270" anchor="ctr" anchorCtr="0">
            <a:noAutofit/>
          </a:bodyPr>
          <a:lstStyle/>
          <a:p>
            <a:pPr lvl="0" algn="ctr" defTabSz="400050">
              <a:lnSpc>
                <a:spcPct val="90000"/>
              </a:lnSpc>
              <a:spcBef>
                <a:spcPct val="0"/>
              </a:spcBef>
              <a:spcAft>
                <a:spcPct val="35000"/>
              </a:spcAft>
            </a:pPr>
            <a:r>
              <a:rPr lang="es-ES_tradnl" sz="900" b="1" kern="1200"/>
              <a:t>Vulnerabilidad</a:t>
            </a:r>
          </a:p>
        </xdr:txBody>
      </xdr:sp>
      <xdr:sp macro="" textlink="">
        <xdr:nvSpPr>
          <xdr:cNvPr id="25" name="Forma libre 24">
            <a:extLst>
              <a:ext uri="{FF2B5EF4-FFF2-40B4-BE49-F238E27FC236}">
                <a16:creationId xmlns:a16="http://schemas.microsoft.com/office/drawing/2014/main" id="{00000000-0008-0000-0100-000019000000}"/>
              </a:ext>
            </a:extLst>
          </xdr:cNvPr>
          <xdr:cNvSpPr/>
        </xdr:nvSpPr>
        <xdr:spPr>
          <a:xfrm>
            <a:off x="1798725" y="1487705"/>
            <a:ext cx="1028845" cy="532690"/>
          </a:xfrm>
          <a:custGeom>
            <a:avLst/>
            <a:gdLst>
              <a:gd name="connsiteX0" fmla="*/ 0 w 1028845"/>
              <a:gd name="connsiteY0" fmla="*/ 88783 h 532690"/>
              <a:gd name="connsiteX1" fmla="*/ 88783 w 1028845"/>
              <a:gd name="connsiteY1" fmla="*/ 0 h 532690"/>
              <a:gd name="connsiteX2" fmla="*/ 940062 w 1028845"/>
              <a:gd name="connsiteY2" fmla="*/ 0 h 532690"/>
              <a:gd name="connsiteX3" fmla="*/ 1028845 w 1028845"/>
              <a:gd name="connsiteY3" fmla="*/ 88783 h 532690"/>
              <a:gd name="connsiteX4" fmla="*/ 1028845 w 1028845"/>
              <a:gd name="connsiteY4" fmla="*/ 443907 h 532690"/>
              <a:gd name="connsiteX5" fmla="*/ 940062 w 1028845"/>
              <a:gd name="connsiteY5" fmla="*/ 532690 h 532690"/>
              <a:gd name="connsiteX6" fmla="*/ 88783 w 1028845"/>
              <a:gd name="connsiteY6" fmla="*/ 532690 h 532690"/>
              <a:gd name="connsiteX7" fmla="*/ 0 w 1028845"/>
              <a:gd name="connsiteY7" fmla="*/ 443907 h 532690"/>
              <a:gd name="connsiteX8" fmla="*/ 0 w 1028845"/>
              <a:gd name="connsiteY8" fmla="*/ 88783 h 53269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28845" h="532690">
                <a:moveTo>
                  <a:pt x="0" y="88783"/>
                </a:moveTo>
                <a:cubicBezTo>
                  <a:pt x="0" y="39750"/>
                  <a:pt x="39750" y="0"/>
                  <a:pt x="88783" y="0"/>
                </a:cubicBezTo>
                <a:lnTo>
                  <a:pt x="940062" y="0"/>
                </a:lnTo>
                <a:cubicBezTo>
                  <a:pt x="989095" y="0"/>
                  <a:pt x="1028845" y="39750"/>
                  <a:pt x="1028845" y="88783"/>
                </a:cubicBezTo>
                <a:lnTo>
                  <a:pt x="1028845" y="443907"/>
                </a:lnTo>
                <a:cubicBezTo>
                  <a:pt x="1028845" y="492940"/>
                  <a:pt x="989095" y="532690"/>
                  <a:pt x="940062" y="532690"/>
                </a:cubicBezTo>
                <a:lnTo>
                  <a:pt x="88783" y="532690"/>
                </a:lnTo>
                <a:cubicBezTo>
                  <a:pt x="39750" y="532690"/>
                  <a:pt x="0" y="492940"/>
                  <a:pt x="0" y="443907"/>
                </a:cubicBezTo>
                <a:lnTo>
                  <a:pt x="0" y="88783"/>
                </a:lnTo>
                <a:close/>
              </a:path>
            </a:pathLst>
          </a:custGeom>
          <a:solidFill>
            <a:srgbClr val="FFC742"/>
          </a:solidFill>
          <a:scene3d>
            <a:camera prst="orthographicFront"/>
            <a:lightRig rig="flat" dir="t"/>
          </a:scene3d>
          <a:sp3d prstMaterial="dkEdge">
            <a:bevelT w="8200" h="38100"/>
          </a:sp3d>
        </xdr:spPr>
        <xdr:style>
          <a:lnRef idx="0">
            <a:schemeClr val="lt1">
              <a:hueOff val="0"/>
              <a:satOff val="0"/>
              <a:lumOff val="0"/>
              <a:alphaOff val="0"/>
            </a:schemeClr>
          </a:lnRef>
          <a:fillRef idx="2">
            <a:scrgbClr r="0" g="0" b="0"/>
          </a:fillRef>
          <a:effectRef idx="1">
            <a:schemeClr val="accent1">
              <a:hueOff val="0"/>
              <a:satOff val="0"/>
              <a:lumOff val="0"/>
              <a:alphaOff val="0"/>
            </a:schemeClr>
          </a:effectRef>
          <a:fontRef idx="minor">
            <a:schemeClr val="dk1"/>
          </a:fontRef>
        </xdr:style>
        <xdr:txBody>
          <a:bodyPr spcFirstLastPara="0" vert="horz" wrap="square" lIns="31719" tIns="31719" rIns="31719" bIns="101173" numCol="1" spcCol="1270" anchor="ctr" anchorCtr="0">
            <a:noAutofit/>
          </a:bodyPr>
          <a:lstStyle/>
          <a:p>
            <a:pPr lvl="0" algn="ctr" defTabSz="400050">
              <a:lnSpc>
                <a:spcPct val="90000"/>
              </a:lnSpc>
              <a:spcBef>
                <a:spcPct val="0"/>
              </a:spcBef>
              <a:spcAft>
                <a:spcPct val="35000"/>
              </a:spcAft>
            </a:pPr>
            <a:r>
              <a:rPr lang="es-ES_tradnl" sz="900" b="1" kern="1200"/>
              <a:t>Población</a:t>
            </a:r>
          </a:p>
        </xdr:txBody>
      </xdr:sp>
      <xdr:sp macro="" textlink="$U$23">
        <xdr:nvSpPr>
          <xdr:cNvPr id="26" name="Forma libre 25">
            <a:extLst>
              <a:ext uri="{FF2B5EF4-FFF2-40B4-BE49-F238E27FC236}">
                <a16:creationId xmlns:a16="http://schemas.microsoft.com/office/drawing/2014/main" id="{00000000-0008-0000-0100-00001A000000}"/>
              </a:ext>
            </a:extLst>
          </xdr:cNvPr>
          <xdr:cNvSpPr/>
        </xdr:nvSpPr>
        <xdr:spPr>
          <a:xfrm>
            <a:off x="2004495" y="1902020"/>
            <a:ext cx="925961" cy="177563"/>
          </a:xfrm>
          <a:custGeom>
            <a:avLst/>
            <a:gdLst>
              <a:gd name="connsiteX0" fmla="*/ 0 w 925961"/>
              <a:gd name="connsiteY0" fmla="*/ 29594 h 177563"/>
              <a:gd name="connsiteX1" fmla="*/ 29594 w 925961"/>
              <a:gd name="connsiteY1" fmla="*/ 0 h 177563"/>
              <a:gd name="connsiteX2" fmla="*/ 896367 w 925961"/>
              <a:gd name="connsiteY2" fmla="*/ 0 h 177563"/>
              <a:gd name="connsiteX3" fmla="*/ 925961 w 925961"/>
              <a:gd name="connsiteY3" fmla="*/ 29594 h 177563"/>
              <a:gd name="connsiteX4" fmla="*/ 925961 w 925961"/>
              <a:gd name="connsiteY4" fmla="*/ 147969 h 177563"/>
              <a:gd name="connsiteX5" fmla="*/ 896367 w 925961"/>
              <a:gd name="connsiteY5" fmla="*/ 177563 h 177563"/>
              <a:gd name="connsiteX6" fmla="*/ 29594 w 925961"/>
              <a:gd name="connsiteY6" fmla="*/ 177563 h 177563"/>
              <a:gd name="connsiteX7" fmla="*/ 0 w 925961"/>
              <a:gd name="connsiteY7" fmla="*/ 147969 h 177563"/>
              <a:gd name="connsiteX8" fmla="*/ 0 w 925961"/>
              <a:gd name="connsiteY8" fmla="*/ 29594 h 1775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ln w="25400">
            <a:solidFill>
              <a:srgbClr val="FFC742"/>
            </a:solidFill>
          </a:ln>
        </xdr:spPr>
        <xdr:style>
          <a:lnRef idx="1">
            <a:scrgbClr r="0" g="0" b="0"/>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34068" tIns="15018" rIns="34068" bIns="15018" numCol="1" spcCol="1270" anchor="ctr" anchorCtr="0">
            <a:noAutofit/>
          </a:bodyPr>
          <a:lstStyle/>
          <a:p>
            <a:pPr lvl="0" algn="ctr" defTabSz="444500">
              <a:lnSpc>
                <a:spcPct val="90000"/>
              </a:lnSpc>
              <a:spcBef>
                <a:spcPct val="0"/>
              </a:spcBef>
              <a:spcAft>
                <a:spcPct val="35000"/>
              </a:spcAft>
            </a:pPr>
            <a:fld id="{A8DC8B3E-D83F-6D40-B12B-B1B20EAC3A19}" type="TxLink">
              <a:rPr lang="en-US" sz="1200" b="0" i="0" u="none" strike="noStrike" kern="1200">
                <a:solidFill>
                  <a:srgbClr val="000000"/>
                </a:solidFill>
                <a:latin typeface="Calibri"/>
                <a:ea typeface="Calibri"/>
                <a:cs typeface="Calibri"/>
              </a:rPr>
              <a:pPr lvl="0" algn="ctr" defTabSz="444500">
                <a:lnSpc>
                  <a:spcPct val="90000"/>
                </a:lnSpc>
                <a:spcBef>
                  <a:spcPct val="0"/>
                </a:spcBef>
                <a:spcAft>
                  <a:spcPct val="35000"/>
                </a:spcAft>
              </a:pPr>
              <a:t>16,7%</a:t>
            </a:fld>
            <a:endParaRPr lang="es-ES_tradnl" sz="1000" b="1" kern="1200"/>
          </a:p>
        </xdr:txBody>
      </xdr:sp>
      <xdr:sp macro="" textlink="">
        <xdr:nvSpPr>
          <xdr:cNvPr id="27" name="Forma libre 26">
            <a:extLst>
              <a:ext uri="{FF2B5EF4-FFF2-40B4-BE49-F238E27FC236}">
                <a16:creationId xmlns:a16="http://schemas.microsoft.com/office/drawing/2014/main" id="{00000000-0008-0000-0100-00001B000000}"/>
              </a:ext>
            </a:extLst>
          </xdr:cNvPr>
          <xdr:cNvSpPr/>
        </xdr:nvSpPr>
        <xdr:spPr>
          <a:xfrm>
            <a:off x="418406" y="2328172"/>
            <a:ext cx="1028845" cy="532690"/>
          </a:xfrm>
          <a:custGeom>
            <a:avLst/>
            <a:gdLst>
              <a:gd name="connsiteX0" fmla="*/ 0 w 1028845"/>
              <a:gd name="connsiteY0" fmla="*/ 88783 h 532690"/>
              <a:gd name="connsiteX1" fmla="*/ 88783 w 1028845"/>
              <a:gd name="connsiteY1" fmla="*/ 0 h 532690"/>
              <a:gd name="connsiteX2" fmla="*/ 940062 w 1028845"/>
              <a:gd name="connsiteY2" fmla="*/ 0 h 532690"/>
              <a:gd name="connsiteX3" fmla="*/ 1028845 w 1028845"/>
              <a:gd name="connsiteY3" fmla="*/ 88783 h 532690"/>
              <a:gd name="connsiteX4" fmla="*/ 1028845 w 1028845"/>
              <a:gd name="connsiteY4" fmla="*/ 443907 h 532690"/>
              <a:gd name="connsiteX5" fmla="*/ 940062 w 1028845"/>
              <a:gd name="connsiteY5" fmla="*/ 532690 h 532690"/>
              <a:gd name="connsiteX6" fmla="*/ 88783 w 1028845"/>
              <a:gd name="connsiteY6" fmla="*/ 532690 h 532690"/>
              <a:gd name="connsiteX7" fmla="*/ 0 w 1028845"/>
              <a:gd name="connsiteY7" fmla="*/ 443907 h 532690"/>
              <a:gd name="connsiteX8" fmla="*/ 0 w 1028845"/>
              <a:gd name="connsiteY8" fmla="*/ 88783 h 53269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28845" h="532690">
                <a:moveTo>
                  <a:pt x="0" y="88783"/>
                </a:moveTo>
                <a:cubicBezTo>
                  <a:pt x="0" y="39750"/>
                  <a:pt x="39750" y="0"/>
                  <a:pt x="88783" y="0"/>
                </a:cubicBezTo>
                <a:lnTo>
                  <a:pt x="940062" y="0"/>
                </a:lnTo>
                <a:cubicBezTo>
                  <a:pt x="989095" y="0"/>
                  <a:pt x="1028845" y="39750"/>
                  <a:pt x="1028845" y="88783"/>
                </a:cubicBezTo>
                <a:lnTo>
                  <a:pt x="1028845" y="443907"/>
                </a:lnTo>
                <a:cubicBezTo>
                  <a:pt x="1028845" y="492940"/>
                  <a:pt x="989095" y="532690"/>
                  <a:pt x="940062" y="532690"/>
                </a:cubicBezTo>
                <a:lnTo>
                  <a:pt x="88783" y="532690"/>
                </a:lnTo>
                <a:cubicBezTo>
                  <a:pt x="39750" y="532690"/>
                  <a:pt x="0" y="492940"/>
                  <a:pt x="0" y="443907"/>
                </a:cubicBezTo>
                <a:lnTo>
                  <a:pt x="0" y="88783"/>
                </a:lnTo>
                <a:close/>
              </a:path>
            </a:pathLst>
          </a:custGeom>
          <a:solidFill>
            <a:schemeClr val="accent1">
              <a:lumMod val="40000"/>
              <a:lumOff val="60000"/>
            </a:schemeClr>
          </a:solidFill>
          <a:scene3d>
            <a:camera prst="orthographicFront"/>
            <a:lightRig rig="flat" dir="t"/>
          </a:scene3d>
          <a:sp3d prstMaterial="dkEdge">
            <a:bevelT w="8200" h="38100"/>
          </a:sp3d>
        </xdr:spPr>
        <xdr:style>
          <a:lnRef idx="0">
            <a:schemeClr val="lt1">
              <a:hueOff val="0"/>
              <a:satOff val="0"/>
              <a:lumOff val="0"/>
              <a:alphaOff val="0"/>
            </a:schemeClr>
          </a:lnRef>
          <a:fillRef idx="2">
            <a:scrgbClr r="0" g="0" b="0"/>
          </a:fillRef>
          <a:effectRef idx="1">
            <a:schemeClr val="accent1">
              <a:hueOff val="0"/>
              <a:satOff val="0"/>
              <a:lumOff val="0"/>
              <a:alphaOff val="0"/>
            </a:schemeClr>
          </a:effectRef>
          <a:fontRef idx="minor">
            <a:schemeClr val="dk1"/>
          </a:fontRef>
        </xdr:style>
        <xdr:txBody>
          <a:bodyPr spcFirstLastPara="0" vert="horz" wrap="square" lIns="31719" tIns="31719" rIns="31719" bIns="101173" numCol="1" spcCol="1270" anchor="ctr" anchorCtr="0">
            <a:noAutofit/>
          </a:bodyPr>
          <a:lstStyle/>
          <a:p>
            <a:pPr lvl="0" algn="ctr" defTabSz="400050">
              <a:lnSpc>
                <a:spcPct val="90000"/>
              </a:lnSpc>
              <a:spcBef>
                <a:spcPct val="0"/>
              </a:spcBef>
              <a:spcAft>
                <a:spcPct val="35000"/>
              </a:spcAft>
            </a:pPr>
            <a:r>
              <a:rPr lang="es-ES_tradnl" sz="900" b="1" kern="1200"/>
              <a:t>Tasa Inmigrantes</a:t>
            </a:r>
          </a:p>
        </xdr:txBody>
      </xdr:sp>
      <xdr:sp macro="" textlink="$U$37">
        <xdr:nvSpPr>
          <xdr:cNvPr id="28" name="Forma libre 27">
            <a:extLst>
              <a:ext uri="{FF2B5EF4-FFF2-40B4-BE49-F238E27FC236}">
                <a16:creationId xmlns:a16="http://schemas.microsoft.com/office/drawing/2014/main" id="{00000000-0008-0000-0100-00001C000000}"/>
              </a:ext>
            </a:extLst>
          </xdr:cNvPr>
          <xdr:cNvSpPr/>
        </xdr:nvSpPr>
        <xdr:spPr>
          <a:xfrm>
            <a:off x="624175" y="2742487"/>
            <a:ext cx="925961" cy="177563"/>
          </a:xfrm>
          <a:custGeom>
            <a:avLst/>
            <a:gdLst>
              <a:gd name="connsiteX0" fmla="*/ 0 w 925961"/>
              <a:gd name="connsiteY0" fmla="*/ 29594 h 177563"/>
              <a:gd name="connsiteX1" fmla="*/ 29594 w 925961"/>
              <a:gd name="connsiteY1" fmla="*/ 0 h 177563"/>
              <a:gd name="connsiteX2" fmla="*/ 896367 w 925961"/>
              <a:gd name="connsiteY2" fmla="*/ 0 h 177563"/>
              <a:gd name="connsiteX3" fmla="*/ 925961 w 925961"/>
              <a:gd name="connsiteY3" fmla="*/ 29594 h 177563"/>
              <a:gd name="connsiteX4" fmla="*/ 925961 w 925961"/>
              <a:gd name="connsiteY4" fmla="*/ 147969 h 177563"/>
              <a:gd name="connsiteX5" fmla="*/ 896367 w 925961"/>
              <a:gd name="connsiteY5" fmla="*/ 177563 h 177563"/>
              <a:gd name="connsiteX6" fmla="*/ 29594 w 925961"/>
              <a:gd name="connsiteY6" fmla="*/ 177563 h 177563"/>
              <a:gd name="connsiteX7" fmla="*/ 0 w 925961"/>
              <a:gd name="connsiteY7" fmla="*/ 147969 h 177563"/>
              <a:gd name="connsiteX8" fmla="*/ 0 w 925961"/>
              <a:gd name="connsiteY8" fmla="*/ 29594 h 1775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ln w="25400">
            <a:solidFill>
              <a:schemeClr val="accent1">
                <a:lumMod val="40000"/>
                <a:lumOff val="60000"/>
              </a:schemeClr>
            </a:solidFill>
          </a:ln>
        </xdr:spPr>
        <xdr:style>
          <a:lnRef idx="1">
            <a:scrgbClr r="0" g="0" b="0"/>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34068" tIns="15018" rIns="34068" bIns="15018" numCol="1" spcCol="1270" anchor="ctr" anchorCtr="0">
            <a:noAutofit/>
          </a:bodyPr>
          <a:lstStyle/>
          <a:p>
            <a:pPr lvl="0" algn="ctr" defTabSz="444500">
              <a:lnSpc>
                <a:spcPct val="90000"/>
              </a:lnSpc>
              <a:spcBef>
                <a:spcPct val="0"/>
              </a:spcBef>
              <a:spcAft>
                <a:spcPct val="35000"/>
              </a:spcAft>
            </a:pPr>
            <a:fld id="{8D7D00D9-A99D-6543-8EA5-6C139EA066D3}" type="TxLink">
              <a:rPr lang="en-US" sz="1200" b="0" i="0" u="none" strike="noStrike" kern="1200">
                <a:solidFill>
                  <a:srgbClr val="000000"/>
                </a:solidFill>
                <a:latin typeface="Calibri"/>
                <a:ea typeface="Calibri"/>
                <a:cs typeface="Calibri"/>
              </a:rPr>
              <a:pPr lvl="0" algn="ctr" defTabSz="444500">
                <a:lnSpc>
                  <a:spcPct val="90000"/>
                </a:lnSpc>
                <a:spcBef>
                  <a:spcPct val="0"/>
                </a:spcBef>
                <a:spcAft>
                  <a:spcPct val="35000"/>
                </a:spcAft>
              </a:pPr>
              <a:t>30,0%</a:t>
            </a:fld>
            <a:endParaRPr lang="es-ES_tradnl" sz="1000" b="1" kern="1200"/>
          </a:p>
        </xdr:txBody>
      </xdr:sp>
      <xdr:sp macro="" textlink="">
        <xdr:nvSpPr>
          <xdr:cNvPr id="29" name="Forma libre 28">
            <a:extLst>
              <a:ext uri="{FF2B5EF4-FFF2-40B4-BE49-F238E27FC236}">
                <a16:creationId xmlns:a16="http://schemas.microsoft.com/office/drawing/2014/main" id="{00000000-0008-0000-0100-00001D000000}"/>
              </a:ext>
            </a:extLst>
          </xdr:cNvPr>
          <xdr:cNvSpPr/>
        </xdr:nvSpPr>
        <xdr:spPr>
          <a:xfrm>
            <a:off x="1798725" y="2328172"/>
            <a:ext cx="1028845" cy="532690"/>
          </a:xfrm>
          <a:custGeom>
            <a:avLst/>
            <a:gdLst>
              <a:gd name="connsiteX0" fmla="*/ 0 w 1028845"/>
              <a:gd name="connsiteY0" fmla="*/ 88783 h 532690"/>
              <a:gd name="connsiteX1" fmla="*/ 88783 w 1028845"/>
              <a:gd name="connsiteY1" fmla="*/ 0 h 532690"/>
              <a:gd name="connsiteX2" fmla="*/ 940062 w 1028845"/>
              <a:gd name="connsiteY2" fmla="*/ 0 h 532690"/>
              <a:gd name="connsiteX3" fmla="*/ 1028845 w 1028845"/>
              <a:gd name="connsiteY3" fmla="*/ 88783 h 532690"/>
              <a:gd name="connsiteX4" fmla="*/ 1028845 w 1028845"/>
              <a:gd name="connsiteY4" fmla="*/ 443907 h 532690"/>
              <a:gd name="connsiteX5" fmla="*/ 940062 w 1028845"/>
              <a:gd name="connsiteY5" fmla="*/ 532690 h 532690"/>
              <a:gd name="connsiteX6" fmla="*/ 88783 w 1028845"/>
              <a:gd name="connsiteY6" fmla="*/ 532690 h 532690"/>
              <a:gd name="connsiteX7" fmla="*/ 0 w 1028845"/>
              <a:gd name="connsiteY7" fmla="*/ 443907 h 532690"/>
              <a:gd name="connsiteX8" fmla="*/ 0 w 1028845"/>
              <a:gd name="connsiteY8" fmla="*/ 88783 h 53269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28845" h="532690">
                <a:moveTo>
                  <a:pt x="0" y="88783"/>
                </a:moveTo>
                <a:cubicBezTo>
                  <a:pt x="0" y="39750"/>
                  <a:pt x="39750" y="0"/>
                  <a:pt x="88783" y="0"/>
                </a:cubicBezTo>
                <a:lnTo>
                  <a:pt x="940062" y="0"/>
                </a:lnTo>
                <a:cubicBezTo>
                  <a:pt x="989095" y="0"/>
                  <a:pt x="1028845" y="39750"/>
                  <a:pt x="1028845" y="88783"/>
                </a:cubicBezTo>
                <a:lnTo>
                  <a:pt x="1028845" y="443907"/>
                </a:lnTo>
                <a:cubicBezTo>
                  <a:pt x="1028845" y="492940"/>
                  <a:pt x="989095" y="532690"/>
                  <a:pt x="940062" y="532690"/>
                </a:cubicBezTo>
                <a:lnTo>
                  <a:pt x="88783" y="532690"/>
                </a:lnTo>
                <a:cubicBezTo>
                  <a:pt x="39750" y="532690"/>
                  <a:pt x="0" y="492940"/>
                  <a:pt x="0" y="443907"/>
                </a:cubicBezTo>
                <a:lnTo>
                  <a:pt x="0" y="88783"/>
                </a:lnTo>
                <a:close/>
              </a:path>
            </a:pathLst>
          </a:custGeom>
          <a:solidFill>
            <a:schemeClr val="accent1">
              <a:lumMod val="40000"/>
              <a:lumOff val="60000"/>
            </a:schemeClr>
          </a:solidFill>
          <a:scene3d>
            <a:camera prst="orthographicFront"/>
            <a:lightRig rig="flat" dir="t"/>
          </a:scene3d>
          <a:sp3d prstMaterial="dkEdge">
            <a:bevelT w="8200" h="38100"/>
          </a:sp3d>
        </xdr:spPr>
        <xdr:style>
          <a:lnRef idx="0">
            <a:schemeClr val="lt1">
              <a:hueOff val="0"/>
              <a:satOff val="0"/>
              <a:lumOff val="0"/>
              <a:alphaOff val="0"/>
            </a:schemeClr>
          </a:lnRef>
          <a:fillRef idx="2">
            <a:scrgbClr r="0" g="0" b="0"/>
          </a:fillRef>
          <a:effectRef idx="1">
            <a:schemeClr val="accent1">
              <a:hueOff val="0"/>
              <a:satOff val="0"/>
              <a:lumOff val="0"/>
              <a:alphaOff val="0"/>
            </a:schemeClr>
          </a:effectRef>
          <a:fontRef idx="minor">
            <a:schemeClr val="dk1"/>
          </a:fontRef>
        </xdr:style>
        <xdr:txBody>
          <a:bodyPr spcFirstLastPara="0" vert="horz" wrap="square" lIns="31719" tIns="31719" rIns="31719" bIns="101173" numCol="1" spcCol="1270" anchor="ctr" anchorCtr="0">
            <a:noAutofit/>
          </a:bodyPr>
          <a:lstStyle/>
          <a:p>
            <a:pPr lvl="0" algn="ctr" defTabSz="400050">
              <a:lnSpc>
                <a:spcPct val="90000"/>
              </a:lnSpc>
              <a:spcBef>
                <a:spcPct val="0"/>
              </a:spcBef>
              <a:spcAft>
                <a:spcPct val="35000"/>
              </a:spcAft>
            </a:pPr>
            <a:r>
              <a:rPr lang="es-ES_tradnl" sz="900" b="1" kern="1200"/>
              <a:t>Esperanza de Vida</a:t>
            </a:r>
          </a:p>
        </xdr:txBody>
      </xdr:sp>
      <xdr:sp macro="" textlink="$U$38">
        <xdr:nvSpPr>
          <xdr:cNvPr id="30" name="Forma libre 29">
            <a:extLst>
              <a:ext uri="{FF2B5EF4-FFF2-40B4-BE49-F238E27FC236}">
                <a16:creationId xmlns:a16="http://schemas.microsoft.com/office/drawing/2014/main" id="{00000000-0008-0000-0100-00001E000000}"/>
              </a:ext>
            </a:extLst>
          </xdr:cNvPr>
          <xdr:cNvSpPr/>
        </xdr:nvSpPr>
        <xdr:spPr>
          <a:xfrm>
            <a:off x="2004495" y="2742487"/>
            <a:ext cx="925961" cy="177563"/>
          </a:xfrm>
          <a:custGeom>
            <a:avLst/>
            <a:gdLst>
              <a:gd name="connsiteX0" fmla="*/ 0 w 925961"/>
              <a:gd name="connsiteY0" fmla="*/ 29594 h 177563"/>
              <a:gd name="connsiteX1" fmla="*/ 29594 w 925961"/>
              <a:gd name="connsiteY1" fmla="*/ 0 h 177563"/>
              <a:gd name="connsiteX2" fmla="*/ 896367 w 925961"/>
              <a:gd name="connsiteY2" fmla="*/ 0 h 177563"/>
              <a:gd name="connsiteX3" fmla="*/ 925961 w 925961"/>
              <a:gd name="connsiteY3" fmla="*/ 29594 h 177563"/>
              <a:gd name="connsiteX4" fmla="*/ 925961 w 925961"/>
              <a:gd name="connsiteY4" fmla="*/ 147969 h 177563"/>
              <a:gd name="connsiteX5" fmla="*/ 896367 w 925961"/>
              <a:gd name="connsiteY5" fmla="*/ 177563 h 177563"/>
              <a:gd name="connsiteX6" fmla="*/ 29594 w 925961"/>
              <a:gd name="connsiteY6" fmla="*/ 177563 h 177563"/>
              <a:gd name="connsiteX7" fmla="*/ 0 w 925961"/>
              <a:gd name="connsiteY7" fmla="*/ 147969 h 177563"/>
              <a:gd name="connsiteX8" fmla="*/ 0 w 925961"/>
              <a:gd name="connsiteY8" fmla="*/ 29594 h 1775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ln w="25400">
            <a:solidFill>
              <a:schemeClr val="accent1">
                <a:lumMod val="40000"/>
                <a:lumOff val="60000"/>
              </a:schemeClr>
            </a:solidFill>
          </a:ln>
        </xdr:spPr>
        <xdr:style>
          <a:lnRef idx="1">
            <a:scrgbClr r="0" g="0" b="0"/>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34068" tIns="15018" rIns="34068" bIns="15018" numCol="1" spcCol="1270" anchor="ctr" anchorCtr="0">
            <a:noAutofit/>
          </a:bodyPr>
          <a:lstStyle/>
          <a:p>
            <a:pPr lvl="0" algn="ctr" defTabSz="444500">
              <a:lnSpc>
                <a:spcPct val="90000"/>
              </a:lnSpc>
              <a:spcBef>
                <a:spcPct val="0"/>
              </a:spcBef>
              <a:spcAft>
                <a:spcPct val="35000"/>
              </a:spcAft>
            </a:pPr>
            <a:fld id="{9751533D-56B6-204A-B33B-73A4493A3913}" type="TxLink">
              <a:rPr lang="en-US" sz="1200" b="0" i="0" u="none" strike="noStrike" kern="1200">
                <a:solidFill>
                  <a:srgbClr val="000000"/>
                </a:solidFill>
                <a:latin typeface="Calibri"/>
                <a:ea typeface="Calibri"/>
                <a:cs typeface="Calibri"/>
              </a:rPr>
              <a:pPr lvl="0" algn="ctr" defTabSz="444500">
                <a:lnSpc>
                  <a:spcPct val="90000"/>
                </a:lnSpc>
                <a:spcBef>
                  <a:spcPct val="0"/>
                </a:spcBef>
                <a:spcAft>
                  <a:spcPct val="35000"/>
                </a:spcAft>
              </a:pPr>
              <a:t>10,0%</a:t>
            </a:fld>
            <a:endParaRPr lang="es-ES_tradnl" sz="1000" b="1" kern="1200"/>
          </a:p>
        </xdr:txBody>
      </xdr:sp>
      <xdr:sp macro="" textlink="">
        <xdr:nvSpPr>
          <xdr:cNvPr id="31" name="Forma libre 30">
            <a:extLst>
              <a:ext uri="{FF2B5EF4-FFF2-40B4-BE49-F238E27FC236}">
                <a16:creationId xmlns:a16="http://schemas.microsoft.com/office/drawing/2014/main" id="{00000000-0008-0000-0100-00001F000000}"/>
              </a:ext>
            </a:extLst>
          </xdr:cNvPr>
          <xdr:cNvSpPr/>
        </xdr:nvSpPr>
        <xdr:spPr>
          <a:xfrm>
            <a:off x="3179045" y="2328172"/>
            <a:ext cx="1028845" cy="532690"/>
          </a:xfrm>
          <a:custGeom>
            <a:avLst/>
            <a:gdLst>
              <a:gd name="connsiteX0" fmla="*/ 0 w 1028845"/>
              <a:gd name="connsiteY0" fmla="*/ 88783 h 532690"/>
              <a:gd name="connsiteX1" fmla="*/ 88783 w 1028845"/>
              <a:gd name="connsiteY1" fmla="*/ 0 h 532690"/>
              <a:gd name="connsiteX2" fmla="*/ 940062 w 1028845"/>
              <a:gd name="connsiteY2" fmla="*/ 0 h 532690"/>
              <a:gd name="connsiteX3" fmla="*/ 1028845 w 1028845"/>
              <a:gd name="connsiteY3" fmla="*/ 88783 h 532690"/>
              <a:gd name="connsiteX4" fmla="*/ 1028845 w 1028845"/>
              <a:gd name="connsiteY4" fmla="*/ 443907 h 532690"/>
              <a:gd name="connsiteX5" fmla="*/ 940062 w 1028845"/>
              <a:gd name="connsiteY5" fmla="*/ 532690 h 532690"/>
              <a:gd name="connsiteX6" fmla="*/ 88783 w 1028845"/>
              <a:gd name="connsiteY6" fmla="*/ 532690 h 532690"/>
              <a:gd name="connsiteX7" fmla="*/ 0 w 1028845"/>
              <a:gd name="connsiteY7" fmla="*/ 443907 h 532690"/>
              <a:gd name="connsiteX8" fmla="*/ 0 w 1028845"/>
              <a:gd name="connsiteY8" fmla="*/ 88783 h 53269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28845" h="532690">
                <a:moveTo>
                  <a:pt x="0" y="88783"/>
                </a:moveTo>
                <a:cubicBezTo>
                  <a:pt x="0" y="39750"/>
                  <a:pt x="39750" y="0"/>
                  <a:pt x="88783" y="0"/>
                </a:cubicBezTo>
                <a:lnTo>
                  <a:pt x="940062" y="0"/>
                </a:lnTo>
                <a:cubicBezTo>
                  <a:pt x="989095" y="0"/>
                  <a:pt x="1028845" y="39750"/>
                  <a:pt x="1028845" y="88783"/>
                </a:cubicBezTo>
                <a:lnTo>
                  <a:pt x="1028845" y="443907"/>
                </a:lnTo>
                <a:cubicBezTo>
                  <a:pt x="1028845" y="492940"/>
                  <a:pt x="989095" y="532690"/>
                  <a:pt x="940062" y="532690"/>
                </a:cubicBezTo>
                <a:lnTo>
                  <a:pt x="88783" y="532690"/>
                </a:lnTo>
                <a:cubicBezTo>
                  <a:pt x="39750" y="532690"/>
                  <a:pt x="0" y="492940"/>
                  <a:pt x="0" y="443907"/>
                </a:cubicBezTo>
                <a:lnTo>
                  <a:pt x="0" y="88783"/>
                </a:lnTo>
                <a:close/>
              </a:path>
            </a:pathLst>
          </a:custGeom>
          <a:solidFill>
            <a:schemeClr val="accent1">
              <a:lumMod val="40000"/>
              <a:lumOff val="60000"/>
            </a:schemeClr>
          </a:solidFill>
          <a:scene3d>
            <a:camera prst="orthographicFront"/>
            <a:lightRig rig="flat" dir="t"/>
          </a:scene3d>
          <a:sp3d prstMaterial="dkEdge">
            <a:bevelT w="8200" h="38100"/>
          </a:sp3d>
        </xdr:spPr>
        <xdr:style>
          <a:lnRef idx="0">
            <a:schemeClr val="lt1">
              <a:hueOff val="0"/>
              <a:satOff val="0"/>
              <a:lumOff val="0"/>
              <a:alphaOff val="0"/>
            </a:schemeClr>
          </a:lnRef>
          <a:fillRef idx="2">
            <a:scrgbClr r="0" g="0" b="0"/>
          </a:fillRef>
          <a:effectRef idx="1">
            <a:schemeClr val="accent1">
              <a:hueOff val="0"/>
              <a:satOff val="0"/>
              <a:lumOff val="0"/>
              <a:alphaOff val="0"/>
            </a:schemeClr>
          </a:effectRef>
          <a:fontRef idx="minor">
            <a:schemeClr val="dk1"/>
          </a:fontRef>
        </xdr:style>
        <xdr:txBody>
          <a:bodyPr spcFirstLastPara="0" vert="horz" wrap="square" lIns="31719" tIns="31719" rIns="31719" bIns="101173" numCol="1" spcCol="1270" anchor="ctr" anchorCtr="0">
            <a:noAutofit/>
          </a:bodyPr>
          <a:lstStyle/>
          <a:p>
            <a:pPr lvl="0" algn="ctr" defTabSz="400050">
              <a:lnSpc>
                <a:spcPct val="90000"/>
              </a:lnSpc>
              <a:spcBef>
                <a:spcPct val="0"/>
              </a:spcBef>
              <a:spcAft>
                <a:spcPct val="35000"/>
              </a:spcAft>
            </a:pPr>
            <a:r>
              <a:rPr lang="es-ES_tradnl" sz="900" b="1" kern="1200"/>
              <a:t>Sin Estudios o Primarios</a:t>
            </a:r>
          </a:p>
        </xdr:txBody>
      </xdr:sp>
      <xdr:sp macro="" textlink="$U$39">
        <xdr:nvSpPr>
          <xdr:cNvPr id="32" name="Forma libre 31">
            <a:extLst>
              <a:ext uri="{FF2B5EF4-FFF2-40B4-BE49-F238E27FC236}">
                <a16:creationId xmlns:a16="http://schemas.microsoft.com/office/drawing/2014/main" id="{00000000-0008-0000-0100-000020000000}"/>
              </a:ext>
            </a:extLst>
          </xdr:cNvPr>
          <xdr:cNvSpPr/>
        </xdr:nvSpPr>
        <xdr:spPr>
          <a:xfrm>
            <a:off x="3384814" y="2742487"/>
            <a:ext cx="925961" cy="177563"/>
          </a:xfrm>
          <a:custGeom>
            <a:avLst/>
            <a:gdLst>
              <a:gd name="connsiteX0" fmla="*/ 0 w 925961"/>
              <a:gd name="connsiteY0" fmla="*/ 29594 h 177563"/>
              <a:gd name="connsiteX1" fmla="*/ 29594 w 925961"/>
              <a:gd name="connsiteY1" fmla="*/ 0 h 177563"/>
              <a:gd name="connsiteX2" fmla="*/ 896367 w 925961"/>
              <a:gd name="connsiteY2" fmla="*/ 0 h 177563"/>
              <a:gd name="connsiteX3" fmla="*/ 925961 w 925961"/>
              <a:gd name="connsiteY3" fmla="*/ 29594 h 177563"/>
              <a:gd name="connsiteX4" fmla="*/ 925961 w 925961"/>
              <a:gd name="connsiteY4" fmla="*/ 147969 h 177563"/>
              <a:gd name="connsiteX5" fmla="*/ 896367 w 925961"/>
              <a:gd name="connsiteY5" fmla="*/ 177563 h 177563"/>
              <a:gd name="connsiteX6" fmla="*/ 29594 w 925961"/>
              <a:gd name="connsiteY6" fmla="*/ 177563 h 177563"/>
              <a:gd name="connsiteX7" fmla="*/ 0 w 925961"/>
              <a:gd name="connsiteY7" fmla="*/ 147969 h 177563"/>
              <a:gd name="connsiteX8" fmla="*/ 0 w 925961"/>
              <a:gd name="connsiteY8" fmla="*/ 29594 h 1775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ln w="25400">
            <a:solidFill>
              <a:schemeClr val="accent1">
                <a:lumMod val="40000"/>
                <a:lumOff val="60000"/>
              </a:schemeClr>
            </a:solidFill>
          </a:ln>
        </xdr:spPr>
        <xdr:style>
          <a:lnRef idx="1">
            <a:scrgbClr r="0" g="0" b="0"/>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34068" tIns="15018" rIns="34068" bIns="15018" numCol="1" spcCol="1270" anchor="ctr" anchorCtr="0">
            <a:noAutofit/>
          </a:bodyPr>
          <a:lstStyle/>
          <a:p>
            <a:pPr lvl="0" algn="ctr" defTabSz="444500">
              <a:lnSpc>
                <a:spcPct val="90000"/>
              </a:lnSpc>
              <a:spcBef>
                <a:spcPct val="0"/>
              </a:spcBef>
              <a:spcAft>
                <a:spcPct val="35000"/>
              </a:spcAft>
            </a:pPr>
            <a:fld id="{0333EBE6-E958-3841-9F67-80C5A74CEB92}" type="TxLink">
              <a:rPr lang="en-US" sz="1200" b="0" i="0" u="none" strike="noStrike" kern="1200">
                <a:solidFill>
                  <a:srgbClr val="000000"/>
                </a:solidFill>
                <a:latin typeface="Calibri"/>
                <a:ea typeface="Calibri"/>
                <a:cs typeface="Calibri"/>
              </a:rPr>
              <a:pPr lvl="0" algn="ctr" defTabSz="444500">
                <a:lnSpc>
                  <a:spcPct val="90000"/>
                </a:lnSpc>
                <a:spcBef>
                  <a:spcPct val="0"/>
                </a:spcBef>
                <a:spcAft>
                  <a:spcPct val="35000"/>
                </a:spcAft>
              </a:pPr>
              <a:t>60,0%</a:t>
            </a:fld>
            <a:endParaRPr lang="es-ES_tradnl" sz="1000" b="1" kern="1200"/>
          </a:p>
        </xdr:txBody>
      </xdr:sp>
      <xdr:sp macro="" textlink="">
        <xdr:nvSpPr>
          <xdr:cNvPr id="33" name="Forma libre 32">
            <a:extLst>
              <a:ext uri="{FF2B5EF4-FFF2-40B4-BE49-F238E27FC236}">
                <a16:creationId xmlns:a16="http://schemas.microsoft.com/office/drawing/2014/main" id="{00000000-0008-0000-0100-000021000000}"/>
              </a:ext>
            </a:extLst>
          </xdr:cNvPr>
          <xdr:cNvSpPr/>
        </xdr:nvSpPr>
        <xdr:spPr>
          <a:xfrm>
            <a:off x="4559364" y="1487705"/>
            <a:ext cx="1028845" cy="532690"/>
          </a:xfrm>
          <a:custGeom>
            <a:avLst/>
            <a:gdLst>
              <a:gd name="connsiteX0" fmla="*/ 0 w 1028845"/>
              <a:gd name="connsiteY0" fmla="*/ 88783 h 532690"/>
              <a:gd name="connsiteX1" fmla="*/ 88783 w 1028845"/>
              <a:gd name="connsiteY1" fmla="*/ 0 h 532690"/>
              <a:gd name="connsiteX2" fmla="*/ 940062 w 1028845"/>
              <a:gd name="connsiteY2" fmla="*/ 0 h 532690"/>
              <a:gd name="connsiteX3" fmla="*/ 1028845 w 1028845"/>
              <a:gd name="connsiteY3" fmla="*/ 88783 h 532690"/>
              <a:gd name="connsiteX4" fmla="*/ 1028845 w 1028845"/>
              <a:gd name="connsiteY4" fmla="*/ 443907 h 532690"/>
              <a:gd name="connsiteX5" fmla="*/ 940062 w 1028845"/>
              <a:gd name="connsiteY5" fmla="*/ 532690 h 532690"/>
              <a:gd name="connsiteX6" fmla="*/ 88783 w 1028845"/>
              <a:gd name="connsiteY6" fmla="*/ 532690 h 532690"/>
              <a:gd name="connsiteX7" fmla="*/ 0 w 1028845"/>
              <a:gd name="connsiteY7" fmla="*/ 443907 h 532690"/>
              <a:gd name="connsiteX8" fmla="*/ 0 w 1028845"/>
              <a:gd name="connsiteY8" fmla="*/ 88783 h 53269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28845" h="532690">
                <a:moveTo>
                  <a:pt x="0" y="88783"/>
                </a:moveTo>
                <a:cubicBezTo>
                  <a:pt x="0" y="39750"/>
                  <a:pt x="39750" y="0"/>
                  <a:pt x="88783" y="0"/>
                </a:cubicBezTo>
                <a:lnTo>
                  <a:pt x="940062" y="0"/>
                </a:lnTo>
                <a:cubicBezTo>
                  <a:pt x="989095" y="0"/>
                  <a:pt x="1028845" y="39750"/>
                  <a:pt x="1028845" y="88783"/>
                </a:cubicBezTo>
                <a:lnTo>
                  <a:pt x="1028845" y="443907"/>
                </a:lnTo>
                <a:cubicBezTo>
                  <a:pt x="1028845" y="492940"/>
                  <a:pt x="989095" y="532690"/>
                  <a:pt x="940062" y="532690"/>
                </a:cubicBezTo>
                <a:lnTo>
                  <a:pt x="88783" y="532690"/>
                </a:lnTo>
                <a:cubicBezTo>
                  <a:pt x="39750" y="532690"/>
                  <a:pt x="0" y="492940"/>
                  <a:pt x="0" y="443907"/>
                </a:cubicBezTo>
                <a:lnTo>
                  <a:pt x="0" y="88783"/>
                </a:lnTo>
                <a:close/>
              </a:path>
            </a:pathLst>
          </a:custGeom>
          <a:solidFill>
            <a:srgbClr val="FFC742"/>
          </a:solidFill>
          <a:scene3d>
            <a:camera prst="orthographicFront"/>
            <a:lightRig rig="flat" dir="t"/>
          </a:scene3d>
          <a:sp3d prstMaterial="dkEdge">
            <a:bevelT w="8200" h="38100"/>
          </a:sp3d>
        </xdr:spPr>
        <xdr:style>
          <a:lnRef idx="0">
            <a:schemeClr val="lt1">
              <a:hueOff val="0"/>
              <a:satOff val="0"/>
              <a:lumOff val="0"/>
              <a:alphaOff val="0"/>
            </a:schemeClr>
          </a:lnRef>
          <a:fillRef idx="2">
            <a:scrgbClr r="0" g="0" b="0"/>
          </a:fillRef>
          <a:effectRef idx="1">
            <a:schemeClr val="accent1">
              <a:hueOff val="0"/>
              <a:satOff val="0"/>
              <a:lumOff val="0"/>
              <a:alphaOff val="0"/>
            </a:schemeClr>
          </a:effectRef>
          <a:fontRef idx="minor">
            <a:schemeClr val="dk1"/>
          </a:fontRef>
        </xdr:style>
        <xdr:txBody>
          <a:bodyPr spcFirstLastPara="0" vert="horz" wrap="square" lIns="31719" tIns="31719" rIns="31719" bIns="101173" numCol="1" spcCol="1270" anchor="ctr" anchorCtr="0">
            <a:noAutofit/>
          </a:bodyPr>
          <a:lstStyle/>
          <a:p>
            <a:pPr lvl="0" algn="ctr" defTabSz="400050">
              <a:lnSpc>
                <a:spcPct val="90000"/>
              </a:lnSpc>
              <a:spcBef>
                <a:spcPct val="0"/>
              </a:spcBef>
              <a:spcAft>
                <a:spcPct val="35000"/>
              </a:spcAft>
            </a:pPr>
            <a:r>
              <a:rPr lang="es-ES_tradnl" sz="900" b="1" kern="1200"/>
              <a:t>Estatus Socio-Económico</a:t>
            </a:r>
          </a:p>
        </xdr:txBody>
      </xdr:sp>
      <xdr:sp macro="" textlink="$U$24">
        <xdr:nvSpPr>
          <xdr:cNvPr id="34" name="Forma libre 33">
            <a:extLst>
              <a:ext uri="{FF2B5EF4-FFF2-40B4-BE49-F238E27FC236}">
                <a16:creationId xmlns:a16="http://schemas.microsoft.com/office/drawing/2014/main" id="{00000000-0008-0000-0100-000022000000}"/>
              </a:ext>
            </a:extLst>
          </xdr:cNvPr>
          <xdr:cNvSpPr/>
        </xdr:nvSpPr>
        <xdr:spPr>
          <a:xfrm>
            <a:off x="4765133" y="1902020"/>
            <a:ext cx="925961" cy="177563"/>
          </a:xfrm>
          <a:custGeom>
            <a:avLst/>
            <a:gdLst>
              <a:gd name="connsiteX0" fmla="*/ 0 w 925961"/>
              <a:gd name="connsiteY0" fmla="*/ 29594 h 177563"/>
              <a:gd name="connsiteX1" fmla="*/ 29594 w 925961"/>
              <a:gd name="connsiteY1" fmla="*/ 0 h 177563"/>
              <a:gd name="connsiteX2" fmla="*/ 896367 w 925961"/>
              <a:gd name="connsiteY2" fmla="*/ 0 h 177563"/>
              <a:gd name="connsiteX3" fmla="*/ 925961 w 925961"/>
              <a:gd name="connsiteY3" fmla="*/ 29594 h 177563"/>
              <a:gd name="connsiteX4" fmla="*/ 925961 w 925961"/>
              <a:gd name="connsiteY4" fmla="*/ 147969 h 177563"/>
              <a:gd name="connsiteX5" fmla="*/ 896367 w 925961"/>
              <a:gd name="connsiteY5" fmla="*/ 177563 h 177563"/>
              <a:gd name="connsiteX6" fmla="*/ 29594 w 925961"/>
              <a:gd name="connsiteY6" fmla="*/ 177563 h 177563"/>
              <a:gd name="connsiteX7" fmla="*/ 0 w 925961"/>
              <a:gd name="connsiteY7" fmla="*/ 147969 h 177563"/>
              <a:gd name="connsiteX8" fmla="*/ 0 w 925961"/>
              <a:gd name="connsiteY8" fmla="*/ 29594 h 1775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ln w="25400">
            <a:solidFill>
              <a:srgbClr val="FFC742"/>
            </a:solidFill>
          </a:ln>
        </xdr:spPr>
        <xdr:style>
          <a:lnRef idx="1">
            <a:scrgbClr r="0" g="0" b="0"/>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34068" tIns="15018" rIns="34068" bIns="15018" numCol="1" spcCol="1270" anchor="ctr" anchorCtr="0">
            <a:noAutofit/>
          </a:bodyPr>
          <a:lstStyle/>
          <a:p>
            <a:pPr lvl="0" algn="ctr" defTabSz="444500">
              <a:lnSpc>
                <a:spcPct val="90000"/>
              </a:lnSpc>
              <a:spcBef>
                <a:spcPct val="0"/>
              </a:spcBef>
              <a:spcAft>
                <a:spcPct val="35000"/>
              </a:spcAft>
            </a:pPr>
            <a:fld id="{C9A935AE-4B9F-7B4F-BE9F-A838C71290B7}" type="TxLink">
              <a:rPr lang="is-IS" sz="1200" b="0" i="0" u="none" strike="noStrike" kern="1200">
                <a:solidFill>
                  <a:srgbClr val="000000"/>
                </a:solidFill>
                <a:latin typeface="Calibri"/>
                <a:ea typeface="Calibri"/>
                <a:cs typeface="Calibri"/>
              </a:rPr>
              <a:pPr lvl="0" algn="ctr" defTabSz="444500">
                <a:lnSpc>
                  <a:spcPct val="90000"/>
                </a:lnSpc>
                <a:spcBef>
                  <a:spcPct val="0"/>
                </a:spcBef>
                <a:spcAft>
                  <a:spcPct val="35000"/>
                </a:spcAft>
              </a:pPr>
              <a:t>32,3%</a:t>
            </a:fld>
            <a:endParaRPr lang="es-ES_tradnl" sz="1000" b="1" kern="1200"/>
          </a:p>
        </xdr:txBody>
      </xdr:sp>
      <xdr:sp macro="" textlink="">
        <xdr:nvSpPr>
          <xdr:cNvPr id="35" name="Forma libre 34">
            <a:extLst>
              <a:ext uri="{FF2B5EF4-FFF2-40B4-BE49-F238E27FC236}">
                <a16:creationId xmlns:a16="http://schemas.microsoft.com/office/drawing/2014/main" id="{00000000-0008-0000-0100-000023000000}"/>
              </a:ext>
            </a:extLst>
          </xdr:cNvPr>
          <xdr:cNvSpPr/>
        </xdr:nvSpPr>
        <xdr:spPr>
          <a:xfrm>
            <a:off x="4559364" y="2328172"/>
            <a:ext cx="1028845" cy="532690"/>
          </a:xfrm>
          <a:custGeom>
            <a:avLst/>
            <a:gdLst>
              <a:gd name="connsiteX0" fmla="*/ 0 w 1028845"/>
              <a:gd name="connsiteY0" fmla="*/ 88783 h 532690"/>
              <a:gd name="connsiteX1" fmla="*/ 88783 w 1028845"/>
              <a:gd name="connsiteY1" fmla="*/ 0 h 532690"/>
              <a:gd name="connsiteX2" fmla="*/ 940062 w 1028845"/>
              <a:gd name="connsiteY2" fmla="*/ 0 h 532690"/>
              <a:gd name="connsiteX3" fmla="*/ 1028845 w 1028845"/>
              <a:gd name="connsiteY3" fmla="*/ 88783 h 532690"/>
              <a:gd name="connsiteX4" fmla="*/ 1028845 w 1028845"/>
              <a:gd name="connsiteY4" fmla="*/ 443907 h 532690"/>
              <a:gd name="connsiteX5" fmla="*/ 940062 w 1028845"/>
              <a:gd name="connsiteY5" fmla="*/ 532690 h 532690"/>
              <a:gd name="connsiteX6" fmla="*/ 88783 w 1028845"/>
              <a:gd name="connsiteY6" fmla="*/ 532690 h 532690"/>
              <a:gd name="connsiteX7" fmla="*/ 0 w 1028845"/>
              <a:gd name="connsiteY7" fmla="*/ 443907 h 532690"/>
              <a:gd name="connsiteX8" fmla="*/ 0 w 1028845"/>
              <a:gd name="connsiteY8" fmla="*/ 88783 h 53269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28845" h="532690">
                <a:moveTo>
                  <a:pt x="0" y="88783"/>
                </a:moveTo>
                <a:cubicBezTo>
                  <a:pt x="0" y="39750"/>
                  <a:pt x="39750" y="0"/>
                  <a:pt x="88783" y="0"/>
                </a:cubicBezTo>
                <a:lnTo>
                  <a:pt x="940062" y="0"/>
                </a:lnTo>
                <a:cubicBezTo>
                  <a:pt x="989095" y="0"/>
                  <a:pt x="1028845" y="39750"/>
                  <a:pt x="1028845" y="88783"/>
                </a:cubicBezTo>
                <a:lnTo>
                  <a:pt x="1028845" y="443907"/>
                </a:lnTo>
                <a:cubicBezTo>
                  <a:pt x="1028845" y="492940"/>
                  <a:pt x="989095" y="532690"/>
                  <a:pt x="940062" y="532690"/>
                </a:cubicBezTo>
                <a:lnTo>
                  <a:pt x="88783" y="532690"/>
                </a:lnTo>
                <a:cubicBezTo>
                  <a:pt x="39750" y="532690"/>
                  <a:pt x="0" y="492940"/>
                  <a:pt x="0" y="443907"/>
                </a:cubicBezTo>
                <a:lnTo>
                  <a:pt x="0" y="88783"/>
                </a:lnTo>
                <a:close/>
              </a:path>
            </a:pathLst>
          </a:custGeom>
          <a:solidFill>
            <a:schemeClr val="accent1">
              <a:lumMod val="40000"/>
              <a:lumOff val="60000"/>
            </a:schemeClr>
          </a:solidFill>
          <a:scene3d>
            <a:camera prst="orthographicFront"/>
            <a:lightRig rig="flat" dir="t"/>
          </a:scene3d>
          <a:sp3d prstMaterial="dkEdge">
            <a:bevelT w="8200" h="38100"/>
          </a:sp3d>
        </xdr:spPr>
        <xdr:style>
          <a:lnRef idx="0">
            <a:schemeClr val="lt1">
              <a:hueOff val="0"/>
              <a:satOff val="0"/>
              <a:lumOff val="0"/>
              <a:alphaOff val="0"/>
            </a:schemeClr>
          </a:lnRef>
          <a:fillRef idx="2">
            <a:scrgbClr r="0" g="0" b="0"/>
          </a:fillRef>
          <a:effectRef idx="1">
            <a:schemeClr val="accent1">
              <a:hueOff val="0"/>
              <a:satOff val="0"/>
              <a:lumOff val="0"/>
              <a:alphaOff val="0"/>
            </a:schemeClr>
          </a:effectRef>
          <a:fontRef idx="minor">
            <a:schemeClr val="dk1"/>
          </a:fontRef>
        </xdr:style>
        <xdr:txBody>
          <a:bodyPr spcFirstLastPara="0" vert="horz" wrap="square" lIns="31719" tIns="31719" rIns="31719" bIns="101173" numCol="1" spcCol="1270" anchor="ctr" anchorCtr="0">
            <a:noAutofit/>
          </a:bodyPr>
          <a:lstStyle/>
          <a:p>
            <a:pPr lvl="0" algn="ctr" defTabSz="400050">
              <a:lnSpc>
                <a:spcPct val="90000"/>
              </a:lnSpc>
              <a:spcBef>
                <a:spcPct val="0"/>
              </a:spcBef>
              <a:spcAft>
                <a:spcPct val="35000"/>
              </a:spcAft>
            </a:pPr>
            <a:r>
              <a:rPr lang="es-ES_tradnl" sz="900" b="1" kern="1200"/>
              <a:t>Renta Media Hogar</a:t>
            </a:r>
          </a:p>
        </xdr:txBody>
      </xdr:sp>
      <xdr:sp macro="" textlink="$AC$57">
        <xdr:nvSpPr>
          <xdr:cNvPr id="36" name="Forma libre 35">
            <a:extLst>
              <a:ext uri="{FF2B5EF4-FFF2-40B4-BE49-F238E27FC236}">
                <a16:creationId xmlns:a16="http://schemas.microsoft.com/office/drawing/2014/main" id="{00000000-0008-0000-0100-000024000000}"/>
              </a:ext>
            </a:extLst>
          </xdr:cNvPr>
          <xdr:cNvSpPr/>
        </xdr:nvSpPr>
        <xdr:spPr>
          <a:xfrm>
            <a:off x="4765133" y="2742487"/>
            <a:ext cx="925961" cy="177563"/>
          </a:xfrm>
          <a:custGeom>
            <a:avLst/>
            <a:gdLst>
              <a:gd name="connsiteX0" fmla="*/ 0 w 925961"/>
              <a:gd name="connsiteY0" fmla="*/ 29594 h 177563"/>
              <a:gd name="connsiteX1" fmla="*/ 29594 w 925961"/>
              <a:gd name="connsiteY1" fmla="*/ 0 h 177563"/>
              <a:gd name="connsiteX2" fmla="*/ 896367 w 925961"/>
              <a:gd name="connsiteY2" fmla="*/ 0 h 177563"/>
              <a:gd name="connsiteX3" fmla="*/ 925961 w 925961"/>
              <a:gd name="connsiteY3" fmla="*/ 29594 h 177563"/>
              <a:gd name="connsiteX4" fmla="*/ 925961 w 925961"/>
              <a:gd name="connsiteY4" fmla="*/ 147969 h 177563"/>
              <a:gd name="connsiteX5" fmla="*/ 896367 w 925961"/>
              <a:gd name="connsiteY5" fmla="*/ 177563 h 177563"/>
              <a:gd name="connsiteX6" fmla="*/ 29594 w 925961"/>
              <a:gd name="connsiteY6" fmla="*/ 177563 h 177563"/>
              <a:gd name="connsiteX7" fmla="*/ 0 w 925961"/>
              <a:gd name="connsiteY7" fmla="*/ 147969 h 177563"/>
              <a:gd name="connsiteX8" fmla="*/ 0 w 925961"/>
              <a:gd name="connsiteY8" fmla="*/ 29594 h 1775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ln w="25400">
            <a:solidFill>
              <a:schemeClr val="accent1">
                <a:lumMod val="40000"/>
                <a:lumOff val="60000"/>
              </a:schemeClr>
            </a:solidFill>
          </a:ln>
        </xdr:spPr>
        <xdr:style>
          <a:lnRef idx="1">
            <a:scrgbClr r="0" g="0" b="0"/>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34068" tIns="15018" rIns="34068" bIns="15018" numCol="1" spcCol="1270" anchor="ctr" anchorCtr="0">
            <a:noAutofit/>
          </a:bodyPr>
          <a:lstStyle/>
          <a:p>
            <a:pPr lvl="0" algn="ctr" defTabSz="444500">
              <a:lnSpc>
                <a:spcPct val="90000"/>
              </a:lnSpc>
              <a:spcBef>
                <a:spcPct val="0"/>
              </a:spcBef>
              <a:spcAft>
                <a:spcPct val="35000"/>
              </a:spcAft>
            </a:pPr>
            <a:fld id="{9140A180-20EE-0941-9277-C829BBCDD830}" type="TxLink">
              <a:rPr lang="en-US" sz="1200" b="0" i="0" u="none" strike="noStrike" kern="1200">
                <a:solidFill>
                  <a:schemeClr val="tx1"/>
                </a:solidFill>
                <a:latin typeface="Calibri"/>
                <a:ea typeface="Calibri"/>
                <a:cs typeface="Calibri"/>
              </a:rPr>
              <a:pPr lvl="0" algn="ctr" defTabSz="444500">
                <a:lnSpc>
                  <a:spcPct val="90000"/>
                </a:lnSpc>
                <a:spcBef>
                  <a:spcPct val="0"/>
                </a:spcBef>
                <a:spcAft>
                  <a:spcPct val="35000"/>
                </a:spcAft>
              </a:pPr>
              <a:t>100%</a:t>
            </a:fld>
            <a:endParaRPr lang="es-ES_tradnl" sz="1000" b="1" kern="1200">
              <a:solidFill>
                <a:schemeClr val="tx1"/>
              </a:solidFill>
            </a:endParaRPr>
          </a:p>
        </xdr:txBody>
      </xdr:sp>
      <xdr:sp macro="" textlink="">
        <xdr:nvSpPr>
          <xdr:cNvPr id="37" name="Forma libre 36">
            <a:extLst>
              <a:ext uri="{FF2B5EF4-FFF2-40B4-BE49-F238E27FC236}">
                <a16:creationId xmlns:a16="http://schemas.microsoft.com/office/drawing/2014/main" id="{00000000-0008-0000-0100-000025000000}"/>
              </a:ext>
            </a:extLst>
          </xdr:cNvPr>
          <xdr:cNvSpPr/>
        </xdr:nvSpPr>
        <xdr:spPr>
          <a:xfrm>
            <a:off x="7320002" y="1487705"/>
            <a:ext cx="1028845" cy="532690"/>
          </a:xfrm>
          <a:custGeom>
            <a:avLst/>
            <a:gdLst>
              <a:gd name="connsiteX0" fmla="*/ 0 w 1028845"/>
              <a:gd name="connsiteY0" fmla="*/ 88783 h 532690"/>
              <a:gd name="connsiteX1" fmla="*/ 88783 w 1028845"/>
              <a:gd name="connsiteY1" fmla="*/ 0 h 532690"/>
              <a:gd name="connsiteX2" fmla="*/ 940062 w 1028845"/>
              <a:gd name="connsiteY2" fmla="*/ 0 h 532690"/>
              <a:gd name="connsiteX3" fmla="*/ 1028845 w 1028845"/>
              <a:gd name="connsiteY3" fmla="*/ 88783 h 532690"/>
              <a:gd name="connsiteX4" fmla="*/ 1028845 w 1028845"/>
              <a:gd name="connsiteY4" fmla="*/ 443907 h 532690"/>
              <a:gd name="connsiteX5" fmla="*/ 940062 w 1028845"/>
              <a:gd name="connsiteY5" fmla="*/ 532690 h 532690"/>
              <a:gd name="connsiteX6" fmla="*/ 88783 w 1028845"/>
              <a:gd name="connsiteY6" fmla="*/ 532690 h 532690"/>
              <a:gd name="connsiteX7" fmla="*/ 0 w 1028845"/>
              <a:gd name="connsiteY7" fmla="*/ 443907 h 532690"/>
              <a:gd name="connsiteX8" fmla="*/ 0 w 1028845"/>
              <a:gd name="connsiteY8" fmla="*/ 88783 h 53269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28845" h="532690">
                <a:moveTo>
                  <a:pt x="0" y="88783"/>
                </a:moveTo>
                <a:cubicBezTo>
                  <a:pt x="0" y="39750"/>
                  <a:pt x="39750" y="0"/>
                  <a:pt x="88783" y="0"/>
                </a:cubicBezTo>
                <a:lnTo>
                  <a:pt x="940062" y="0"/>
                </a:lnTo>
                <a:cubicBezTo>
                  <a:pt x="989095" y="0"/>
                  <a:pt x="1028845" y="39750"/>
                  <a:pt x="1028845" y="88783"/>
                </a:cubicBezTo>
                <a:lnTo>
                  <a:pt x="1028845" y="443907"/>
                </a:lnTo>
                <a:cubicBezTo>
                  <a:pt x="1028845" y="492940"/>
                  <a:pt x="989095" y="532690"/>
                  <a:pt x="940062" y="532690"/>
                </a:cubicBezTo>
                <a:lnTo>
                  <a:pt x="88783" y="532690"/>
                </a:lnTo>
                <a:cubicBezTo>
                  <a:pt x="39750" y="532690"/>
                  <a:pt x="0" y="492940"/>
                  <a:pt x="0" y="443907"/>
                </a:cubicBezTo>
                <a:lnTo>
                  <a:pt x="0" y="88783"/>
                </a:lnTo>
                <a:close/>
              </a:path>
            </a:pathLst>
          </a:custGeom>
          <a:solidFill>
            <a:srgbClr val="FFC742"/>
          </a:solidFill>
          <a:scene3d>
            <a:camera prst="orthographicFront"/>
            <a:lightRig rig="flat" dir="t"/>
          </a:scene3d>
          <a:sp3d prstMaterial="dkEdge">
            <a:bevelT w="8200" h="38100"/>
          </a:sp3d>
        </xdr:spPr>
        <xdr:style>
          <a:lnRef idx="0">
            <a:schemeClr val="lt1">
              <a:hueOff val="0"/>
              <a:satOff val="0"/>
              <a:lumOff val="0"/>
              <a:alphaOff val="0"/>
            </a:schemeClr>
          </a:lnRef>
          <a:fillRef idx="2">
            <a:scrgbClr r="0" g="0" b="0"/>
          </a:fillRef>
          <a:effectRef idx="1">
            <a:schemeClr val="accent1">
              <a:hueOff val="0"/>
              <a:satOff val="0"/>
              <a:lumOff val="0"/>
              <a:alphaOff val="0"/>
            </a:schemeClr>
          </a:effectRef>
          <a:fontRef idx="minor">
            <a:schemeClr val="dk1"/>
          </a:fontRef>
        </xdr:style>
        <xdr:txBody>
          <a:bodyPr spcFirstLastPara="0" vert="horz" wrap="square" lIns="31719" tIns="31719" rIns="31719" bIns="101173" numCol="1" spcCol="1270" anchor="ctr" anchorCtr="0">
            <a:noAutofit/>
          </a:bodyPr>
          <a:lstStyle/>
          <a:p>
            <a:pPr lvl="0" algn="ctr" defTabSz="400050">
              <a:lnSpc>
                <a:spcPct val="90000"/>
              </a:lnSpc>
              <a:spcBef>
                <a:spcPct val="0"/>
              </a:spcBef>
              <a:spcAft>
                <a:spcPct val="35000"/>
              </a:spcAft>
            </a:pPr>
            <a:r>
              <a:rPr lang="es-ES_tradnl" sz="900" b="1" kern="1200"/>
              <a:t>Actividad Económica</a:t>
            </a:r>
          </a:p>
        </xdr:txBody>
      </xdr:sp>
      <xdr:sp macro="" textlink="$U$25">
        <xdr:nvSpPr>
          <xdr:cNvPr id="38" name="Forma libre 37">
            <a:extLst>
              <a:ext uri="{FF2B5EF4-FFF2-40B4-BE49-F238E27FC236}">
                <a16:creationId xmlns:a16="http://schemas.microsoft.com/office/drawing/2014/main" id="{00000000-0008-0000-0100-000026000000}"/>
              </a:ext>
            </a:extLst>
          </xdr:cNvPr>
          <xdr:cNvSpPr/>
        </xdr:nvSpPr>
        <xdr:spPr>
          <a:xfrm>
            <a:off x="7525771" y="1902020"/>
            <a:ext cx="925961" cy="177563"/>
          </a:xfrm>
          <a:custGeom>
            <a:avLst/>
            <a:gdLst>
              <a:gd name="connsiteX0" fmla="*/ 0 w 925961"/>
              <a:gd name="connsiteY0" fmla="*/ 29594 h 177563"/>
              <a:gd name="connsiteX1" fmla="*/ 29594 w 925961"/>
              <a:gd name="connsiteY1" fmla="*/ 0 h 177563"/>
              <a:gd name="connsiteX2" fmla="*/ 896367 w 925961"/>
              <a:gd name="connsiteY2" fmla="*/ 0 h 177563"/>
              <a:gd name="connsiteX3" fmla="*/ 925961 w 925961"/>
              <a:gd name="connsiteY3" fmla="*/ 29594 h 177563"/>
              <a:gd name="connsiteX4" fmla="*/ 925961 w 925961"/>
              <a:gd name="connsiteY4" fmla="*/ 147969 h 177563"/>
              <a:gd name="connsiteX5" fmla="*/ 896367 w 925961"/>
              <a:gd name="connsiteY5" fmla="*/ 177563 h 177563"/>
              <a:gd name="connsiteX6" fmla="*/ 29594 w 925961"/>
              <a:gd name="connsiteY6" fmla="*/ 177563 h 177563"/>
              <a:gd name="connsiteX7" fmla="*/ 0 w 925961"/>
              <a:gd name="connsiteY7" fmla="*/ 147969 h 177563"/>
              <a:gd name="connsiteX8" fmla="*/ 0 w 925961"/>
              <a:gd name="connsiteY8" fmla="*/ 29594 h 1775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ln w="25400">
            <a:solidFill>
              <a:srgbClr val="FFC742"/>
            </a:solidFill>
          </a:ln>
        </xdr:spPr>
        <xdr:style>
          <a:lnRef idx="1">
            <a:scrgbClr r="0" g="0" b="0"/>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34068" tIns="15018" rIns="34068" bIns="15018" numCol="1" spcCol="1270" anchor="ctr" anchorCtr="0">
            <a:noAutofit/>
          </a:bodyPr>
          <a:lstStyle/>
          <a:p>
            <a:pPr lvl="0" algn="ctr" defTabSz="444500">
              <a:lnSpc>
                <a:spcPct val="90000"/>
              </a:lnSpc>
              <a:spcBef>
                <a:spcPct val="0"/>
              </a:spcBef>
              <a:spcAft>
                <a:spcPct val="35000"/>
              </a:spcAft>
            </a:pPr>
            <a:fld id="{396C3D32-AB24-594D-90E5-0A1E20443906}" type="TxLink">
              <a:rPr lang="en-US" sz="1200" b="0" i="0" u="none" strike="noStrike" kern="1200">
                <a:solidFill>
                  <a:srgbClr val="000000"/>
                </a:solidFill>
                <a:latin typeface="Calibri"/>
                <a:ea typeface="Calibri"/>
                <a:cs typeface="Calibri"/>
              </a:rPr>
              <a:pPr lvl="0" algn="ctr" defTabSz="444500">
                <a:lnSpc>
                  <a:spcPct val="90000"/>
                </a:lnSpc>
                <a:spcBef>
                  <a:spcPct val="0"/>
                </a:spcBef>
                <a:spcAft>
                  <a:spcPct val="35000"/>
                </a:spcAft>
              </a:pPr>
              <a:t>34,2%</a:t>
            </a:fld>
            <a:endParaRPr lang="es-ES_tradnl" sz="1000" b="1" kern="1200"/>
          </a:p>
        </xdr:txBody>
      </xdr:sp>
      <xdr:sp macro="" textlink="">
        <xdr:nvSpPr>
          <xdr:cNvPr id="39" name="Forma libre 38">
            <a:extLst>
              <a:ext uri="{FF2B5EF4-FFF2-40B4-BE49-F238E27FC236}">
                <a16:creationId xmlns:a16="http://schemas.microsoft.com/office/drawing/2014/main" id="{00000000-0008-0000-0100-000027000000}"/>
              </a:ext>
            </a:extLst>
          </xdr:cNvPr>
          <xdr:cNvSpPr/>
        </xdr:nvSpPr>
        <xdr:spPr>
          <a:xfrm>
            <a:off x="5939683" y="2328172"/>
            <a:ext cx="1028845" cy="532690"/>
          </a:xfrm>
          <a:custGeom>
            <a:avLst/>
            <a:gdLst>
              <a:gd name="connsiteX0" fmla="*/ 0 w 1028845"/>
              <a:gd name="connsiteY0" fmla="*/ 88783 h 532690"/>
              <a:gd name="connsiteX1" fmla="*/ 88783 w 1028845"/>
              <a:gd name="connsiteY1" fmla="*/ 0 h 532690"/>
              <a:gd name="connsiteX2" fmla="*/ 940062 w 1028845"/>
              <a:gd name="connsiteY2" fmla="*/ 0 h 532690"/>
              <a:gd name="connsiteX3" fmla="*/ 1028845 w 1028845"/>
              <a:gd name="connsiteY3" fmla="*/ 88783 h 532690"/>
              <a:gd name="connsiteX4" fmla="*/ 1028845 w 1028845"/>
              <a:gd name="connsiteY4" fmla="*/ 443907 h 532690"/>
              <a:gd name="connsiteX5" fmla="*/ 940062 w 1028845"/>
              <a:gd name="connsiteY5" fmla="*/ 532690 h 532690"/>
              <a:gd name="connsiteX6" fmla="*/ 88783 w 1028845"/>
              <a:gd name="connsiteY6" fmla="*/ 532690 h 532690"/>
              <a:gd name="connsiteX7" fmla="*/ 0 w 1028845"/>
              <a:gd name="connsiteY7" fmla="*/ 443907 h 532690"/>
              <a:gd name="connsiteX8" fmla="*/ 0 w 1028845"/>
              <a:gd name="connsiteY8" fmla="*/ 88783 h 53269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28845" h="532690">
                <a:moveTo>
                  <a:pt x="0" y="88783"/>
                </a:moveTo>
                <a:cubicBezTo>
                  <a:pt x="0" y="39750"/>
                  <a:pt x="39750" y="0"/>
                  <a:pt x="88783" y="0"/>
                </a:cubicBezTo>
                <a:lnTo>
                  <a:pt x="940062" y="0"/>
                </a:lnTo>
                <a:cubicBezTo>
                  <a:pt x="989095" y="0"/>
                  <a:pt x="1028845" y="39750"/>
                  <a:pt x="1028845" y="88783"/>
                </a:cubicBezTo>
                <a:lnTo>
                  <a:pt x="1028845" y="443907"/>
                </a:lnTo>
                <a:cubicBezTo>
                  <a:pt x="1028845" y="492940"/>
                  <a:pt x="989095" y="532690"/>
                  <a:pt x="940062" y="532690"/>
                </a:cubicBezTo>
                <a:lnTo>
                  <a:pt x="88783" y="532690"/>
                </a:lnTo>
                <a:cubicBezTo>
                  <a:pt x="39750" y="532690"/>
                  <a:pt x="0" y="492940"/>
                  <a:pt x="0" y="443907"/>
                </a:cubicBezTo>
                <a:lnTo>
                  <a:pt x="0" y="88783"/>
                </a:lnTo>
                <a:close/>
              </a:path>
            </a:pathLst>
          </a:custGeom>
          <a:solidFill>
            <a:schemeClr val="accent1">
              <a:lumMod val="40000"/>
              <a:lumOff val="60000"/>
            </a:schemeClr>
          </a:solidFill>
          <a:scene3d>
            <a:camera prst="orthographicFront"/>
            <a:lightRig rig="flat" dir="t"/>
          </a:scene3d>
          <a:sp3d prstMaterial="dkEdge">
            <a:bevelT w="8200" h="38100"/>
          </a:sp3d>
        </xdr:spPr>
        <xdr:style>
          <a:lnRef idx="0">
            <a:schemeClr val="lt1">
              <a:hueOff val="0"/>
              <a:satOff val="0"/>
              <a:lumOff val="0"/>
              <a:alphaOff val="0"/>
            </a:schemeClr>
          </a:lnRef>
          <a:fillRef idx="2">
            <a:scrgbClr r="0" g="0" b="0"/>
          </a:fillRef>
          <a:effectRef idx="1">
            <a:schemeClr val="accent1">
              <a:hueOff val="0"/>
              <a:satOff val="0"/>
              <a:lumOff val="0"/>
              <a:alphaOff val="0"/>
            </a:schemeClr>
          </a:effectRef>
          <a:fontRef idx="minor">
            <a:schemeClr val="dk1"/>
          </a:fontRef>
        </xdr:style>
        <xdr:txBody>
          <a:bodyPr spcFirstLastPara="0" vert="horz" wrap="square" lIns="31719" tIns="31719" rIns="31719" bIns="101173" numCol="1" spcCol="1270" anchor="ctr" anchorCtr="0">
            <a:noAutofit/>
          </a:bodyPr>
          <a:lstStyle/>
          <a:p>
            <a:pPr lvl="0" algn="ctr" defTabSz="400050">
              <a:lnSpc>
                <a:spcPct val="90000"/>
              </a:lnSpc>
              <a:spcBef>
                <a:spcPct val="0"/>
              </a:spcBef>
              <a:spcAft>
                <a:spcPct val="35000"/>
              </a:spcAft>
            </a:pPr>
            <a:r>
              <a:rPr lang="es-ES_tradnl" sz="900" b="1" kern="1200"/>
              <a:t>Tasa de Paro</a:t>
            </a:r>
          </a:p>
        </xdr:txBody>
      </xdr:sp>
      <xdr:sp macro="" textlink="$U$47">
        <xdr:nvSpPr>
          <xdr:cNvPr id="40" name="Forma libre 39">
            <a:extLst>
              <a:ext uri="{FF2B5EF4-FFF2-40B4-BE49-F238E27FC236}">
                <a16:creationId xmlns:a16="http://schemas.microsoft.com/office/drawing/2014/main" id="{00000000-0008-0000-0100-000028000000}"/>
              </a:ext>
            </a:extLst>
          </xdr:cNvPr>
          <xdr:cNvSpPr/>
        </xdr:nvSpPr>
        <xdr:spPr>
          <a:xfrm>
            <a:off x="6145452" y="2742487"/>
            <a:ext cx="925961" cy="177563"/>
          </a:xfrm>
          <a:custGeom>
            <a:avLst/>
            <a:gdLst>
              <a:gd name="connsiteX0" fmla="*/ 0 w 925961"/>
              <a:gd name="connsiteY0" fmla="*/ 29594 h 177563"/>
              <a:gd name="connsiteX1" fmla="*/ 29594 w 925961"/>
              <a:gd name="connsiteY1" fmla="*/ 0 h 177563"/>
              <a:gd name="connsiteX2" fmla="*/ 896367 w 925961"/>
              <a:gd name="connsiteY2" fmla="*/ 0 h 177563"/>
              <a:gd name="connsiteX3" fmla="*/ 925961 w 925961"/>
              <a:gd name="connsiteY3" fmla="*/ 29594 h 177563"/>
              <a:gd name="connsiteX4" fmla="*/ 925961 w 925961"/>
              <a:gd name="connsiteY4" fmla="*/ 147969 h 177563"/>
              <a:gd name="connsiteX5" fmla="*/ 896367 w 925961"/>
              <a:gd name="connsiteY5" fmla="*/ 177563 h 177563"/>
              <a:gd name="connsiteX6" fmla="*/ 29594 w 925961"/>
              <a:gd name="connsiteY6" fmla="*/ 177563 h 177563"/>
              <a:gd name="connsiteX7" fmla="*/ 0 w 925961"/>
              <a:gd name="connsiteY7" fmla="*/ 147969 h 177563"/>
              <a:gd name="connsiteX8" fmla="*/ 0 w 925961"/>
              <a:gd name="connsiteY8" fmla="*/ 29594 h 1775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ln w="25400">
            <a:solidFill>
              <a:schemeClr val="accent1">
                <a:lumMod val="40000"/>
                <a:lumOff val="60000"/>
              </a:schemeClr>
            </a:solidFill>
          </a:ln>
        </xdr:spPr>
        <xdr:style>
          <a:lnRef idx="1">
            <a:scrgbClr r="0" g="0" b="0"/>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34068" tIns="15018" rIns="34068" bIns="15018" numCol="1" spcCol="1270" anchor="ctr" anchorCtr="0">
            <a:noAutofit/>
          </a:bodyPr>
          <a:lstStyle/>
          <a:p>
            <a:pPr lvl="0" algn="ctr" defTabSz="444500">
              <a:lnSpc>
                <a:spcPct val="90000"/>
              </a:lnSpc>
              <a:spcBef>
                <a:spcPct val="0"/>
              </a:spcBef>
              <a:spcAft>
                <a:spcPct val="35000"/>
              </a:spcAft>
            </a:pPr>
            <a:fld id="{5B9E17EC-F16A-D848-B2DF-F713BABD4AF4}" type="TxLink">
              <a:rPr lang="en-US" sz="1200" b="0" i="0" u="none" strike="noStrike" kern="1200">
                <a:solidFill>
                  <a:srgbClr val="000000"/>
                </a:solidFill>
                <a:latin typeface="Calibri"/>
                <a:ea typeface="Calibri"/>
                <a:cs typeface="Calibri"/>
              </a:rPr>
              <a:pPr lvl="0" algn="ctr" defTabSz="444500">
                <a:lnSpc>
                  <a:spcPct val="90000"/>
                </a:lnSpc>
                <a:spcBef>
                  <a:spcPct val="0"/>
                </a:spcBef>
                <a:spcAft>
                  <a:spcPct val="35000"/>
                </a:spcAft>
              </a:pPr>
              <a:t>16,9%</a:t>
            </a:fld>
            <a:endParaRPr lang="es-ES_tradnl" sz="1000" b="1" kern="1200"/>
          </a:p>
        </xdr:txBody>
      </xdr:sp>
      <xdr:sp macro="" textlink="">
        <xdr:nvSpPr>
          <xdr:cNvPr id="41" name="Forma libre 40">
            <a:extLst>
              <a:ext uri="{FF2B5EF4-FFF2-40B4-BE49-F238E27FC236}">
                <a16:creationId xmlns:a16="http://schemas.microsoft.com/office/drawing/2014/main" id="{00000000-0008-0000-0100-000029000000}"/>
              </a:ext>
            </a:extLst>
          </xdr:cNvPr>
          <xdr:cNvSpPr/>
        </xdr:nvSpPr>
        <xdr:spPr>
          <a:xfrm>
            <a:off x="7320002" y="2328172"/>
            <a:ext cx="1028845" cy="532690"/>
          </a:xfrm>
          <a:custGeom>
            <a:avLst/>
            <a:gdLst>
              <a:gd name="connsiteX0" fmla="*/ 0 w 1028845"/>
              <a:gd name="connsiteY0" fmla="*/ 88783 h 532690"/>
              <a:gd name="connsiteX1" fmla="*/ 88783 w 1028845"/>
              <a:gd name="connsiteY1" fmla="*/ 0 h 532690"/>
              <a:gd name="connsiteX2" fmla="*/ 940062 w 1028845"/>
              <a:gd name="connsiteY2" fmla="*/ 0 h 532690"/>
              <a:gd name="connsiteX3" fmla="*/ 1028845 w 1028845"/>
              <a:gd name="connsiteY3" fmla="*/ 88783 h 532690"/>
              <a:gd name="connsiteX4" fmla="*/ 1028845 w 1028845"/>
              <a:gd name="connsiteY4" fmla="*/ 443907 h 532690"/>
              <a:gd name="connsiteX5" fmla="*/ 940062 w 1028845"/>
              <a:gd name="connsiteY5" fmla="*/ 532690 h 532690"/>
              <a:gd name="connsiteX6" fmla="*/ 88783 w 1028845"/>
              <a:gd name="connsiteY6" fmla="*/ 532690 h 532690"/>
              <a:gd name="connsiteX7" fmla="*/ 0 w 1028845"/>
              <a:gd name="connsiteY7" fmla="*/ 443907 h 532690"/>
              <a:gd name="connsiteX8" fmla="*/ 0 w 1028845"/>
              <a:gd name="connsiteY8" fmla="*/ 88783 h 53269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28845" h="532690">
                <a:moveTo>
                  <a:pt x="0" y="88783"/>
                </a:moveTo>
                <a:cubicBezTo>
                  <a:pt x="0" y="39750"/>
                  <a:pt x="39750" y="0"/>
                  <a:pt x="88783" y="0"/>
                </a:cubicBezTo>
                <a:lnTo>
                  <a:pt x="940062" y="0"/>
                </a:lnTo>
                <a:cubicBezTo>
                  <a:pt x="989095" y="0"/>
                  <a:pt x="1028845" y="39750"/>
                  <a:pt x="1028845" y="88783"/>
                </a:cubicBezTo>
                <a:lnTo>
                  <a:pt x="1028845" y="443907"/>
                </a:lnTo>
                <a:cubicBezTo>
                  <a:pt x="1028845" y="492940"/>
                  <a:pt x="989095" y="532690"/>
                  <a:pt x="940062" y="532690"/>
                </a:cubicBezTo>
                <a:lnTo>
                  <a:pt x="88783" y="532690"/>
                </a:lnTo>
                <a:cubicBezTo>
                  <a:pt x="39750" y="532690"/>
                  <a:pt x="0" y="492940"/>
                  <a:pt x="0" y="443907"/>
                </a:cubicBezTo>
                <a:lnTo>
                  <a:pt x="0" y="88783"/>
                </a:lnTo>
                <a:close/>
              </a:path>
            </a:pathLst>
          </a:custGeom>
          <a:solidFill>
            <a:schemeClr val="accent1">
              <a:lumMod val="40000"/>
              <a:lumOff val="60000"/>
            </a:schemeClr>
          </a:solidFill>
          <a:scene3d>
            <a:camera prst="orthographicFront"/>
            <a:lightRig rig="flat" dir="t"/>
          </a:scene3d>
          <a:sp3d prstMaterial="dkEdge">
            <a:bevelT w="8200" h="38100"/>
          </a:sp3d>
        </xdr:spPr>
        <xdr:style>
          <a:lnRef idx="0">
            <a:schemeClr val="lt1">
              <a:hueOff val="0"/>
              <a:satOff val="0"/>
              <a:lumOff val="0"/>
              <a:alphaOff val="0"/>
            </a:schemeClr>
          </a:lnRef>
          <a:fillRef idx="2">
            <a:scrgbClr r="0" g="0" b="0"/>
          </a:fillRef>
          <a:effectRef idx="1">
            <a:schemeClr val="accent1">
              <a:hueOff val="0"/>
              <a:satOff val="0"/>
              <a:lumOff val="0"/>
              <a:alphaOff val="0"/>
            </a:schemeClr>
          </a:effectRef>
          <a:fontRef idx="minor">
            <a:schemeClr val="dk1"/>
          </a:fontRef>
        </xdr:style>
        <xdr:txBody>
          <a:bodyPr spcFirstLastPara="0" vert="horz" wrap="square" lIns="31719" tIns="31719" rIns="31719" bIns="101173" numCol="1" spcCol="1270" anchor="ctr" anchorCtr="0">
            <a:noAutofit/>
          </a:bodyPr>
          <a:lstStyle/>
          <a:p>
            <a:pPr lvl="0" algn="ctr" defTabSz="400050">
              <a:lnSpc>
                <a:spcPct val="90000"/>
              </a:lnSpc>
              <a:spcBef>
                <a:spcPct val="0"/>
              </a:spcBef>
              <a:spcAft>
                <a:spcPct val="35000"/>
              </a:spcAft>
            </a:pPr>
            <a:r>
              <a:rPr lang="es-ES_tradnl" sz="900" b="1" kern="1200"/>
              <a:t>Tasa de Paro Mayores 45 años</a:t>
            </a:r>
          </a:p>
        </xdr:txBody>
      </xdr:sp>
      <xdr:sp macro="" textlink="$U$48">
        <xdr:nvSpPr>
          <xdr:cNvPr id="42" name="Forma libre 41">
            <a:extLst>
              <a:ext uri="{FF2B5EF4-FFF2-40B4-BE49-F238E27FC236}">
                <a16:creationId xmlns:a16="http://schemas.microsoft.com/office/drawing/2014/main" id="{00000000-0008-0000-0100-00002A000000}"/>
              </a:ext>
            </a:extLst>
          </xdr:cNvPr>
          <xdr:cNvSpPr/>
        </xdr:nvSpPr>
        <xdr:spPr>
          <a:xfrm>
            <a:off x="7525771" y="2742487"/>
            <a:ext cx="925961" cy="177563"/>
          </a:xfrm>
          <a:custGeom>
            <a:avLst/>
            <a:gdLst>
              <a:gd name="connsiteX0" fmla="*/ 0 w 925961"/>
              <a:gd name="connsiteY0" fmla="*/ 29594 h 177563"/>
              <a:gd name="connsiteX1" fmla="*/ 29594 w 925961"/>
              <a:gd name="connsiteY1" fmla="*/ 0 h 177563"/>
              <a:gd name="connsiteX2" fmla="*/ 896367 w 925961"/>
              <a:gd name="connsiteY2" fmla="*/ 0 h 177563"/>
              <a:gd name="connsiteX3" fmla="*/ 925961 w 925961"/>
              <a:gd name="connsiteY3" fmla="*/ 29594 h 177563"/>
              <a:gd name="connsiteX4" fmla="*/ 925961 w 925961"/>
              <a:gd name="connsiteY4" fmla="*/ 147969 h 177563"/>
              <a:gd name="connsiteX5" fmla="*/ 896367 w 925961"/>
              <a:gd name="connsiteY5" fmla="*/ 177563 h 177563"/>
              <a:gd name="connsiteX6" fmla="*/ 29594 w 925961"/>
              <a:gd name="connsiteY6" fmla="*/ 177563 h 177563"/>
              <a:gd name="connsiteX7" fmla="*/ 0 w 925961"/>
              <a:gd name="connsiteY7" fmla="*/ 147969 h 177563"/>
              <a:gd name="connsiteX8" fmla="*/ 0 w 925961"/>
              <a:gd name="connsiteY8" fmla="*/ 29594 h 1775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ln w="25400">
            <a:solidFill>
              <a:schemeClr val="accent1">
                <a:lumMod val="40000"/>
                <a:lumOff val="60000"/>
              </a:schemeClr>
            </a:solidFill>
          </a:ln>
        </xdr:spPr>
        <xdr:style>
          <a:lnRef idx="1">
            <a:scrgbClr r="0" g="0" b="0"/>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34068" tIns="15018" rIns="34068" bIns="15018" numCol="1" spcCol="1270" anchor="ctr" anchorCtr="0">
            <a:noAutofit/>
          </a:bodyPr>
          <a:lstStyle/>
          <a:p>
            <a:pPr lvl="0" algn="ctr" defTabSz="444500">
              <a:lnSpc>
                <a:spcPct val="90000"/>
              </a:lnSpc>
              <a:spcBef>
                <a:spcPct val="0"/>
              </a:spcBef>
              <a:spcAft>
                <a:spcPct val="35000"/>
              </a:spcAft>
            </a:pPr>
            <a:fld id="{64B1C6E7-F562-0546-A4E8-0B9CAD59DD87}" type="TxLink">
              <a:rPr lang="en-US" sz="1200" b="0" i="0" u="none" strike="noStrike" kern="1200">
                <a:solidFill>
                  <a:srgbClr val="000000"/>
                </a:solidFill>
                <a:latin typeface="Calibri"/>
                <a:ea typeface="Calibri"/>
                <a:cs typeface="Calibri"/>
              </a:rPr>
              <a:pPr lvl="0" algn="ctr" defTabSz="444500">
                <a:lnSpc>
                  <a:spcPct val="90000"/>
                </a:lnSpc>
                <a:spcBef>
                  <a:spcPct val="0"/>
                </a:spcBef>
                <a:spcAft>
                  <a:spcPct val="35000"/>
                </a:spcAft>
              </a:pPr>
              <a:t>44,3%</a:t>
            </a:fld>
            <a:endParaRPr lang="es-ES_tradnl" sz="1000" b="1" kern="1200">
              <a:solidFill>
                <a:schemeClr val="tx1"/>
              </a:solidFill>
            </a:endParaRPr>
          </a:p>
        </xdr:txBody>
      </xdr:sp>
      <xdr:sp macro="" textlink="">
        <xdr:nvSpPr>
          <xdr:cNvPr id="43" name="Forma libre 42">
            <a:extLst>
              <a:ext uri="{FF2B5EF4-FFF2-40B4-BE49-F238E27FC236}">
                <a16:creationId xmlns:a16="http://schemas.microsoft.com/office/drawing/2014/main" id="{00000000-0008-0000-0100-00002B000000}"/>
              </a:ext>
            </a:extLst>
          </xdr:cNvPr>
          <xdr:cNvSpPr/>
        </xdr:nvSpPr>
        <xdr:spPr>
          <a:xfrm>
            <a:off x="8700321" y="2328172"/>
            <a:ext cx="1028845" cy="532690"/>
          </a:xfrm>
          <a:custGeom>
            <a:avLst/>
            <a:gdLst>
              <a:gd name="connsiteX0" fmla="*/ 0 w 1028845"/>
              <a:gd name="connsiteY0" fmla="*/ 88783 h 532690"/>
              <a:gd name="connsiteX1" fmla="*/ 88783 w 1028845"/>
              <a:gd name="connsiteY1" fmla="*/ 0 h 532690"/>
              <a:gd name="connsiteX2" fmla="*/ 940062 w 1028845"/>
              <a:gd name="connsiteY2" fmla="*/ 0 h 532690"/>
              <a:gd name="connsiteX3" fmla="*/ 1028845 w 1028845"/>
              <a:gd name="connsiteY3" fmla="*/ 88783 h 532690"/>
              <a:gd name="connsiteX4" fmla="*/ 1028845 w 1028845"/>
              <a:gd name="connsiteY4" fmla="*/ 443907 h 532690"/>
              <a:gd name="connsiteX5" fmla="*/ 940062 w 1028845"/>
              <a:gd name="connsiteY5" fmla="*/ 532690 h 532690"/>
              <a:gd name="connsiteX6" fmla="*/ 88783 w 1028845"/>
              <a:gd name="connsiteY6" fmla="*/ 532690 h 532690"/>
              <a:gd name="connsiteX7" fmla="*/ 0 w 1028845"/>
              <a:gd name="connsiteY7" fmla="*/ 443907 h 532690"/>
              <a:gd name="connsiteX8" fmla="*/ 0 w 1028845"/>
              <a:gd name="connsiteY8" fmla="*/ 88783 h 53269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28845" h="532690">
                <a:moveTo>
                  <a:pt x="0" y="88783"/>
                </a:moveTo>
                <a:cubicBezTo>
                  <a:pt x="0" y="39750"/>
                  <a:pt x="39750" y="0"/>
                  <a:pt x="88783" y="0"/>
                </a:cubicBezTo>
                <a:lnTo>
                  <a:pt x="940062" y="0"/>
                </a:lnTo>
                <a:cubicBezTo>
                  <a:pt x="989095" y="0"/>
                  <a:pt x="1028845" y="39750"/>
                  <a:pt x="1028845" y="88783"/>
                </a:cubicBezTo>
                <a:lnTo>
                  <a:pt x="1028845" y="443907"/>
                </a:lnTo>
                <a:cubicBezTo>
                  <a:pt x="1028845" y="492940"/>
                  <a:pt x="989095" y="532690"/>
                  <a:pt x="940062" y="532690"/>
                </a:cubicBezTo>
                <a:lnTo>
                  <a:pt x="88783" y="532690"/>
                </a:lnTo>
                <a:cubicBezTo>
                  <a:pt x="39750" y="532690"/>
                  <a:pt x="0" y="492940"/>
                  <a:pt x="0" y="443907"/>
                </a:cubicBezTo>
                <a:lnTo>
                  <a:pt x="0" y="88783"/>
                </a:lnTo>
                <a:close/>
              </a:path>
            </a:pathLst>
          </a:custGeom>
          <a:solidFill>
            <a:schemeClr val="accent1">
              <a:lumMod val="40000"/>
              <a:lumOff val="60000"/>
            </a:schemeClr>
          </a:solidFill>
          <a:scene3d>
            <a:camera prst="orthographicFront"/>
            <a:lightRig rig="flat" dir="t"/>
          </a:scene3d>
          <a:sp3d prstMaterial="dkEdge">
            <a:bevelT w="8200" h="38100"/>
          </a:sp3d>
        </xdr:spPr>
        <xdr:style>
          <a:lnRef idx="0">
            <a:schemeClr val="lt1">
              <a:hueOff val="0"/>
              <a:satOff val="0"/>
              <a:lumOff val="0"/>
              <a:alphaOff val="0"/>
            </a:schemeClr>
          </a:lnRef>
          <a:fillRef idx="2">
            <a:scrgbClr r="0" g="0" b="0"/>
          </a:fillRef>
          <a:effectRef idx="1">
            <a:schemeClr val="accent1">
              <a:hueOff val="0"/>
              <a:satOff val="0"/>
              <a:lumOff val="0"/>
              <a:alphaOff val="0"/>
            </a:schemeClr>
          </a:effectRef>
          <a:fontRef idx="minor">
            <a:schemeClr val="dk1"/>
          </a:fontRef>
        </xdr:style>
        <xdr:txBody>
          <a:bodyPr spcFirstLastPara="0" vert="horz" wrap="square" lIns="31719" tIns="31719" rIns="31719" bIns="101173" numCol="1" spcCol="1270" anchor="ctr" anchorCtr="0">
            <a:noAutofit/>
          </a:bodyPr>
          <a:lstStyle/>
          <a:p>
            <a:pPr lvl="0" algn="ctr" defTabSz="400050">
              <a:lnSpc>
                <a:spcPct val="90000"/>
              </a:lnSpc>
              <a:spcBef>
                <a:spcPct val="0"/>
              </a:spcBef>
              <a:spcAft>
                <a:spcPct val="35000"/>
              </a:spcAft>
            </a:pPr>
            <a:r>
              <a:rPr lang="es-ES_tradnl" sz="900" b="1" kern="1200"/>
              <a:t>Tasa Parados sin Prestación</a:t>
            </a:r>
          </a:p>
        </xdr:txBody>
      </xdr:sp>
      <xdr:sp macro="" textlink="$U$49">
        <xdr:nvSpPr>
          <xdr:cNvPr id="44" name="Forma libre 43">
            <a:extLst>
              <a:ext uri="{FF2B5EF4-FFF2-40B4-BE49-F238E27FC236}">
                <a16:creationId xmlns:a16="http://schemas.microsoft.com/office/drawing/2014/main" id="{00000000-0008-0000-0100-00002C000000}"/>
              </a:ext>
            </a:extLst>
          </xdr:cNvPr>
          <xdr:cNvSpPr/>
        </xdr:nvSpPr>
        <xdr:spPr>
          <a:xfrm>
            <a:off x="8906090" y="2742487"/>
            <a:ext cx="925961" cy="177563"/>
          </a:xfrm>
          <a:custGeom>
            <a:avLst/>
            <a:gdLst>
              <a:gd name="connsiteX0" fmla="*/ 0 w 925961"/>
              <a:gd name="connsiteY0" fmla="*/ 29594 h 177563"/>
              <a:gd name="connsiteX1" fmla="*/ 29594 w 925961"/>
              <a:gd name="connsiteY1" fmla="*/ 0 h 177563"/>
              <a:gd name="connsiteX2" fmla="*/ 896367 w 925961"/>
              <a:gd name="connsiteY2" fmla="*/ 0 h 177563"/>
              <a:gd name="connsiteX3" fmla="*/ 925961 w 925961"/>
              <a:gd name="connsiteY3" fmla="*/ 29594 h 177563"/>
              <a:gd name="connsiteX4" fmla="*/ 925961 w 925961"/>
              <a:gd name="connsiteY4" fmla="*/ 147969 h 177563"/>
              <a:gd name="connsiteX5" fmla="*/ 896367 w 925961"/>
              <a:gd name="connsiteY5" fmla="*/ 177563 h 177563"/>
              <a:gd name="connsiteX6" fmla="*/ 29594 w 925961"/>
              <a:gd name="connsiteY6" fmla="*/ 177563 h 177563"/>
              <a:gd name="connsiteX7" fmla="*/ 0 w 925961"/>
              <a:gd name="connsiteY7" fmla="*/ 147969 h 177563"/>
              <a:gd name="connsiteX8" fmla="*/ 0 w 925961"/>
              <a:gd name="connsiteY8" fmla="*/ 29594 h 1775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ln w="25400">
            <a:solidFill>
              <a:schemeClr val="accent1">
                <a:lumMod val="40000"/>
                <a:lumOff val="60000"/>
              </a:schemeClr>
            </a:solidFill>
          </a:ln>
        </xdr:spPr>
        <xdr:style>
          <a:lnRef idx="1">
            <a:scrgbClr r="0" g="0" b="0"/>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34068" tIns="15018" rIns="34068" bIns="15018" numCol="1" spcCol="1270" anchor="ctr" anchorCtr="0">
            <a:noAutofit/>
          </a:bodyPr>
          <a:lstStyle/>
          <a:p>
            <a:pPr lvl="0" algn="ctr" defTabSz="444500">
              <a:lnSpc>
                <a:spcPct val="90000"/>
              </a:lnSpc>
              <a:spcBef>
                <a:spcPct val="0"/>
              </a:spcBef>
              <a:spcAft>
                <a:spcPct val="35000"/>
              </a:spcAft>
            </a:pPr>
            <a:fld id="{3A64D239-B616-9042-9B5D-E5505BBC4258}" type="TxLink">
              <a:rPr lang="en-US" sz="1200" b="0" i="0" u="none" strike="noStrike" kern="1200">
                <a:solidFill>
                  <a:srgbClr val="000000"/>
                </a:solidFill>
                <a:latin typeface="Calibri"/>
                <a:ea typeface="Calibri"/>
                <a:cs typeface="Calibri"/>
              </a:rPr>
              <a:pPr lvl="0" algn="ctr" defTabSz="444500">
                <a:lnSpc>
                  <a:spcPct val="90000"/>
                </a:lnSpc>
                <a:spcBef>
                  <a:spcPct val="0"/>
                </a:spcBef>
                <a:spcAft>
                  <a:spcPct val="35000"/>
                </a:spcAft>
              </a:pPr>
              <a:t>38,7%</a:t>
            </a:fld>
            <a:endParaRPr lang="es-ES_tradnl" sz="1000" b="1" kern="1200"/>
          </a:p>
        </xdr:txBody>
      </xdr:sp>
      <xdr:sp macro="" textlink="">
        <xdr:nvSpPr>
          <xdr:cNvPr id="45" name="Forma libre 44">
            <a:extLst>
              <a:ext uri="{FF2B5EF4-FFF2-40B4-BE49-F238E27FC236}">
                <a16:creationId xmlns:a16="http://schemas.microsoft.com/office/drawing/2014/main" id="{00000000-0008-0000-0100-00002D000000}"/>
              </a:ext>
            </a:extLst>
          </xdr:cNvPr>
          <xdr:cNvSpPr/>
        </xdr:nvSpPr>
        <xdr:spPr>
          <a:xfrm>
            <a:off x="10080640" y="1487705"/>
            <a:ext cx="1028845" cy="532690"/>
          </a:xfrm>
          <a:custGeom>
            <a:avLst/>
            <a:gdLst>
              <a:gd name="connsiteX0" fmla="*/ 0 w 1028845"/>
              <a:gd name="connsiteY0" fmla="*/ 88783 h 532690"/>
              <a:gd name="connsiteX1" fmla="*/ 88783 w 1028845"/>
              <a:gd name="connsiteY1" fmla="*/ 0 h 532690"/>
              <a:gd name="connsiteX2" fmla="*/ 940062 w 1028845"/>
              <a:gd name="connsiteY2" fmla="*/ 0 h 532690"/>
              <a:gd name="connsiteX3" fmla="*/ 1028845 w 1028845"/>
              <a:gd name="connsiteY3" fmla="*/ 88783 h 532690"/>
              <a:gd name="connsiteX4" fmla="*/ 1028845 w 1028845"/>
              <a:gd name="connsiteY4" fmla="*/ 443907 h 532690"/>
              <a:gd name="connsiteX5" fmla="*/ 940062 w 1028845"/>
              <a:gd name="connsiteY5" fmla="*/ 532690 h 532690"/>
              <a:gd name="connsiteX6" fmla="*/ 88783 w 1028845"/>
              <a:gd name="connsiteY6" fmla="*/ 532690 h 532690"/>
              <a:gd name="connsiteX7" fmla="*/ 0 w 1028845"/>
              <a:gd name="connsiteY7" fmla="*/ 443907 h 532690"/>
              <a:gd name="connsiteX8" fmla="*/ 0 w 1028845"/>
              <a:gd name="connsiteY8" fmla="*/ 88783 h 53269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28845" h="532690">
                <a:moveTo>
                  <a:pt x="0" y="88783"/>
                </a:moveTo>
                <a:cubicBezTo>
                  <a:pt x="0" y="39750"/>
                  <a:pt x="39750" y="0"/>
                  <a:pt x="88783" y="0"/>
                </a:cubicBezTo>
                <a:lnTo>
                  <a:pt x="940062" y="0"/>
                </a:lnTo>
                <a:cubicBezTo>
                  <a:pt x="989095" y="0"/>
                  <a:pt x="1028845" y="39750"/>
                  <a:pt x="1028845" y="88783"/>
                </a:cubicBezTo>
                <a:lnTo>
                  <a:pt x="1028845" y="443907"/>
                </a:lnTo>
                <a:cubicBezTo>
                  <a:pt x="1028845" y="492940"/>
                  <a:pt x="989095" y="532690"/>
                  <a:pt x="940062" y="532690"/>
                </a:cubicBezTo>
                <a:lnTo>
                  <a:pt x="88783" y="532690"/>
                </a:lnTo>
                <a:cubicBezTo>
                  <a:pt x="39750" y="532690"/>
                  <a:pt x="0" y="492940"/>
                  <a:pt x="0" y="443907"/>
                </a:cubicBezTo>
                <a:lnTo>
                  <a:pt x="0" y="88783"/>
                </a:lnTo>
                <a:close/>
              </a:path>
            </a:pathLst>
          </a:custGeom>
          <a:solidFill>
            <a:srgbClr val="FFC742"/>
          </a:solidFill>
          <a:ln>
            <a:solidFill>
              <a:schemeClr val="accent1">
                <a:shade val="60000"/>
                <a:hueOff val="0"/>
                <a:satOff val="0"/>
                <a:lumOff val="0"/>
              </a:schemeClr>
            </a:solidFill>
          </a:ln>
          <a:scene3d>
            <a:camera prst="orthographicFront"/>
            <a:lightRig rig="flat" dir="t"/>
          </a:scene3d>
          <a:sp3d prstMaterial="dkEdge">
            <a:bevelT w="8200" h="38100"/>
          </a:sp3d>
        </xdr:spPr>
        <xdr:style>
          <a:lnRef idx="0">
            <a:scrgbClr r="0" g="0" b="0"/>
          </a:lnRef>
          <a:fillRef idx="2">
            <a:scrgbClr r="0" g="0" b="0"/>
          </a:fillRef>
          <a:effectRef idx="1">
            <a:schemeClr val="accent1">
              <a:hueOff val="0"/>
              <a:satOff val="0"/>
              <a:lumOff val="0"/>
              <a:alphaOff val="0"/>
            </a:schemeClr>
          </a:effectRef>
          <a:fontRef idx="minor">
            <a:schemeClr val="dk1"/>
          </a:fontRef>
        </xdr:style>
        <xdr:txBody>
          <a:bodyPr spcFirstLastPara="0" vert="horz" wrap="square" lIns="31719" tIns="31719" rIns="31719" bIns="101173" numCol="1" spcCol="1270" anchor="ctr" anchorCtr="0">
            <a:noAutofit/>
          </a:bodyPr>
          <a:lstStyle/>
          <a:p>
            <a:pPr lvl="0" algn="ctr" defTabSz="400050">
              <a:lnSpc>
                <a:spcPct val="90000"/>
              </a:lnSpc>
              <a:spcBef>
                <a:spcPct val="0"/>
              </a:spcBef>
              <a:spcAft>
                <a:spcPct val="35000"/>
              </a:spcAft>
            </a:pPr>
            <a:r>
              <a:rPr lang="es-ES_tradnl" sz="900" b="1" kern="1200"/>
              <a:t>Desarrollo Urbanístico</a:t>
            </a:r>
          </a:p>
        </xdr:txBody>
      </xdr:sp>
      <xdr:sp macro="" textlink="$U$26">
        <xdr:nvSpPr>
          <xdr:cNvPr id="46" name="Forma libre 45">
            <a:extLst>
              <a:ext uri="{FF2B5EF4-FFF2-40B4-BE49-F238E27FC236}">
                <a16:creationId xmlns:a16="http://schemas.microsoft.com/office/drawing/2014/main" id="{00000000-0008-0000-0100-00002E000000}"/>
              </a:ext>
            </a:extLst>
          </xdr:cNvPr>
          <xdr:cNvSpPr/>
        </xdr:nvSpPr>
        <xdr:spPr>
          <a:xfrm>
            <a:off x="10286409" y="1902020"/>
            <a:ext cx="925961" cy="177563"/>
          </a:xfrm>
          <a:custGeom>
            <a:avLst/>
            <a:gdLst>
              <a:gd name="connsiteX0" fmla="*/ 0 w 925961"/>
              <a:gd name="connsiteY0" fmla="*/ 29594 h 177563"/>
              <a:gd name="connsiteX1" fmla="*/ 29594 w 925961"/>
              <a:gd name="connsiteY1" fmla="*/ 0 h 177563"/>
              <a:gd name="connsiteX2" fmla="*/ 896367 w 925961"/>
              <a:gd name="connsiteY2" fmla="*/ 0 h 177563"/>
              <a:gd name="connsiteX3" fmla="*/ 925961 w 925961"/>
              <a:gd name="connsiteY3" fmla="*/ 29594 h 177563"/>
              <a:gd name="connsiteX4" fmla="*/ 925961 w 925961"/>
              <a:gd name="connsiteY4" fmla="*/ 147969 h 177563"/>
              <a:gd name="connsiteX5" fmla="*/ 896367 w 925961"/>
              <a:gd name="connsiteY5" fmla="*/ 177563 h 177563"/>
              <a:gd name="connsiteX6" fmla="*/ 29594 w 925961"/>
              <a:gd name="connsiteY6" fmla="*/ 177563 h 177563"/>
              <a:gd name="connsiteX7" fmla="*/ 0 w 925961"/>
              <a:gd name="connsiteY7" fmla="*/ 147969 h 177563"/>
              <a:gd name="connsiteX8" fmla="*/ 0 w 925961"/>
              <a:gd name="connsiteY8" fmla="*/ 29594 h 1775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ln w="25400">
            <a:solidFill>
              <a:srgbClr val="FFC742"/>
            </a:solidFill>
          </a:ln>
        </xdr:spPr>
        <xdr:style>
          <a:lnRef idx="1">
            <a:scrgbClr r="0" g="0" b="0"/>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34068" tIns="15018" rIns="34068" bIns="15018" numCol="1" spcCol="1270" anchor="ctr" anchorCtr="0">
            <a:noAutofit/>
          </a:bodyPr>
          <a:lstStyle/>
          <a:p>
            <a:pPr lvl="0" algn="ctr" defTabSz="444500">
              <a:lnSpc>
                <a:spcPct val="90000"/>
              </a:lnSpc>
              <a:spcBef>
                <a:spcPct val="0"/>
              </a:spcBef>
              <a:spcAft>
                <a:spcPct val="35000"/>
              </a:spcAft>
            </a:pPr>
            <a:fld id="{0BAA62A8-FD66-7247-AFFD-F2D7524EFDFD}" type="TxLink">
              <a:rPr lang="en-US" sz="1200" b="0" i="0" u="none" strike="noStrike" kern="1200">
                <a:solidFill>
                  <a:srgbClr val="000000"/>
                </a:solidFill>
                <a:latin typeface="Calibri"/>
                <a:ea typeface="Calibri"/>
                <a:cs typeface="Calibri"/>
              </a:rPr>
              <a:pPr lvl="0" algn="ctr" defTabSz="444500">
                <a:lnSpc>
                  <a:spcPct val="90000"/>
                </a:lnSpc>
                <a:spcBef>
                  <a:spcPct val="0"/>
                </a:spcBef>
                <a:spcAft>
                  <a:spcPct val="35000"/>
                </a:spcAft>
              </a:pPr>
              <a:t>7,5%</a:t>
            </a:fld>
            <a:endParaRPr lang="es-ES_tradnl" sz="1000" b="1" kern="1200"/>
          </a:p>
        </xdr:txBody>
      </xdr:sp>
      <xdr:sp macro="" textlink="">
        <xdr:nvSpPr>
          <xdr:cNvPr id="47" name="Forma libre 46">
            <a:extLst>
              <a:ext uri="{FF2B5EF4-FFF2-40B4-BE49-F238E27FC236}">
                <a16:creationId xmlns:a16="http://schemas.microsoft.com/office/drawing/2014/main" id="{00000000-0008-0000-0100-00002F000000}"/>
              </a:ext>
            </a:extLst>
          </xdr:cNvPr>
          <xdr:cNvSpPr/>
        </xdr:nvSpPr>
        <xdr:spPr>
          <a:xfrm>
            <a:off x="10080640" y="2328172"/>
            <a:ext cx="1028845" cy="532690"/>
          </a:xfrm>
          <a:custGeom>
            <a:avLst/>
            <a:gdLst>
              <a:gd name="connsiteX0" fmla="*/ 0 w 1028845"/>
              <a:gd name="connsiteY0" fmla="*/ 88783 h 532690"/>
              <a:gd name="connsiteX1" fmla="*/ 88783 w 1028845"/>
              <a:gd name="connsiteY1" fmla="*/ 0 h 532690"/>
              <a:gd name="connsiteX2" fmla="*/ 940062 w 1028845"/>
              <a:gd name="connsiteY2" fmla="*/ 0 h 532690"/>
              <a:gd name="connsiteX3" fmla="*/ 1028845 w 1028845"/>
              <a:gd name="connsiteY3" fmla="*/ 88783 h 532690"/>
              <a:gd name="connsiteX4" fmla="*/ 1028845 w 1028845"/>
              <a:gd name="connsiteY4" fmla="*/ 443907 h 532690"/>
              <a:gd name="connsiteX5" fmla="*/ 940062 w 1028845"/>
              <a:gd name="connsiteY5" fmla="*/ 532690 h 532690"/>
              <a:gd name="connsiteX6" fmla="*/ 88783 w 1028845"/>
              <a:gd name="connsiteY6" fmla="*/ 532690 h 532690"/>
              <a:gd name="connsiteX7" fmla="*/ 0 w 1028845"/>
              <a:gd name="connsiteY7" fmla="*/ 443907 h 532690"/>
              <a:gd name="connsiteX8" fmla="*/ 0 w 1028845"/>
              <a:gd name="connsiteY8" fmla="*/ 88783 h 53269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28845" h="532690">
                <a:moveTo>
                  <a:pt x="0" y="88783"/>
                </a:moveTo>
                <a:cubicBezTo>
                  <a:pt x="0" y="39750"/>
                  <a:pt x="39750" y="0"/>
                  <a:pt x="88783" y="0"/>
                </a:cubicBezTo>
                <a:lnTo>
                  <a:pt x="940062" y="0"/>
                </a:lnTo>
                <a:cubicBezTo>
                  <a:pt x="989095" y="0"/>
                  <a:pt x="1028845" y="39750"/>
                  <a:pt x="1028845" y="88783"/>
                </a:cubicBezTo>
                <a:lnTo>
                  <a:pt x="1028845" y="443907"/>
                </a:lnTo>
                <a:cubicBezTo>
                  <a:pt x="1028845" y="492940"/>
                  <a:pt x="989095" y="532690"/>
                  <a:pt x="940062" y="532690"/>
                </a:cubicBezTo>
                <a:lnTo>
                  <a:pt x="88783" y="532690"/>
                </a:lnTo>
                <a:cubicBezTo>
                  <a:pt x="39750" y="532690"/>
                  <a:pt x="0" y="492940"/>
                  <a:pt x="0" y="443907"/>
                </a:cubicBezTo>
                <a:lnTo>
                  <a:pt x="0" y="88783"/>
                </a:lnTo>
                <a:close/>
              </a:path>
            </a:pathLst>
          </a:custGeom>
          <a:solidFill>
            <a:schemeClr val="accent1">
              <a:lumMod val="40000"/>
              <a:lumOff val="60000"/>
            </a:schemeClr>
          </a:solidFill>
          <a:scene3d>
            <a:camera prst="orthographicFront"/>
            <a:lightRig rig="flat" dir="t"/>
          </a:scene3d>
          <a:sp3d prstMaterial="dkEdge">
            <a:bevelT w="8200" h="38100"/>
          </a:sp3d>
        </xdr:spPr>
        <xdr:style>
          <a:lnRef idx="0">
            <a:schemeClr val="lt1">
              <a:hueOff val="0"/>
              <a:satOff val="0"/>
              <a:lumOff val="0"/>
              <a:alphaOff val="0"/>
            </a:schemeClr>
          </a:lnRef>
          <a:fillRef idx="2">
            <a:scrgbClr r="0" g="0" b="0"/>
          </a:fillRef>
          <a:effectRef idx="1">
            <a:schemeClr val="accent1">
              <a:hueOff val="0"/>
              <a:satOff val="0"/>
              <a:lumOff val="0"/>
              <a:alphaOff val="0"/>
            </a:schemeClr>
          </a:effectRef>
          <a:fontRef idx="minor">
            <a:schemeClr val="dk1"/>
          </a:fontRef>
        </xdr:style>
        <xdr:txBody>
          <a:bodyPr spcFirstLastPara="0" vert="horz" wrap="square" lIns="31719" tIns="31719" rIns="31719" bIns="101173" numCol="1" spcCol="1270" anchor="ctr" anchorCtr="0">
            <a:noAutofit/>
          </a:bodyPr>
          <a:lstStyle/>
          <a:p>
            <a:pPr lvl="0" algn="ctr" defTabSz="400050">
              <a:lnSpc>
                <a:spcPct val="90000"/>
              </a:lnSpc>
              <a:spcBef>
                <a:spcPct val="0"/>
              </a:spcBef>
              <a:spcAft>
                <a:spcPct val="35000"/>
              </a:spcAft>
            </a:pPr>
            <a:r>
              <a:rPr lang="es-ES_tradnl" sz="900" b="1" kern="1200"/>
              <a:t>Valor Catastral</a:t>
            </a:r>
          </a:p>
        </xdr:txBody>
      </xdr:sp>
      <xdr:sp macro="" textlink="$AC$57">
        <xdr:nvSpPr>
          <xdr:cNvPr id="48" name="Forma libre 47">
            <a:extLst>
              <a:ext uri="{FF2B5EF4-FFF2-40B4-BE49-F238E27FC236}">
                <a16:creationId xmlns:a16="http://schemas.microsoft.com/office/drawing/2014/main" id="{00000000-0008-0000-0100-000030000000}"/>
              </a:ext>
            </a:extLst>
          </xdr:cNvPr>
          <xdr:cNvSpPr/>
        </xdr:nvSpPr>
        <xdr:spPr>
          <a:xfrm>
            <a:off x="10286409" y="2742487"/>
            <a:ext cx="925961" cy="177563"/>
          </a:xfrm>
          <a:custGeom>
            <a:avLst/>
            <a:gdLst>
              <a:gd name="connsiteX0" fmla="*/ 0 w 925961"/>
              <a:gd name="connsiteY0" fmla="*/ 29594 h 177563"/>
              <a:gd name="connsiteX1" fmla="*/ 29594 w 925961"/>
              <a:gd name="connsiteY1" fmla="*/ 0 h 177563"/>
              <a:gd name="connsiteX2" fmla="*/ 896367 w 925961"/>
              <a:gd name="connsiteY2" fmla="*/ 0 h 177563"/>
              <a:gd name="connsiteX3" fmla="*/ 925961 w 925961"/>
              <a:gd name="connsiteY3" fmla="*/ 29594 h 177563"/>
              <a:gd name="connsiteX4" fmla="*/ 925961 w 925961"/>
              <a:gd name="connsiteY4" fmla="*/ 147969 h 177563"/>
              <a:gd name="connsiteX5" fmla="*/ 896367 w 925961"/>
              <a:gd name="connsiteY5" fmla="*/ 177563 h 177563"/>
              <a:gd name="connsiteX6" fmla="*/ 29594 w 925961"/>
              <a:gd name="connsiteY6" fmla="*/ 177563 h 177563"/>
              <a:gd name="connsiteX7" fmla="*/ 0 w 925961"/>
              <a:gd name="connsiteY7" fmla="*/ 147969 h 177563"/>
              <a:gd name="connsiteX8" fmla="*/ 0 w 925961"/>
              <a:gd name="connsiteY8" fmla="*/ 29594 h 1775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ln w="25400">
            <a:solidFill>
              <a:schemeClr val="accent1">
                <a:lumMod val="40000"/>
                <a:lumOff val="60000"/>
              </a:schemeClr>
            </a:solidFill>
          </a:ln>
        </xdr:spPr>
        <xdr:style>
          <a:lnRef idx="1">
            <a:scrgbClr r="0" g="0" b="0"/>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34068" tIns="15018" rIns="34068" bIns="15018" numCol="1" spcCol="1270" anchor="ctr" anchorCtr="0">
            <a:noAutofit/>
          </a:bodyPr>
          <a:lstStyle/>
          <a:p>
            <a:pPr lvl="0" algn="ctr" defTabSz="444500">
              <a:lnSpc>
                <a:spcPct val="90000"/>
              </a:lnSpc>
              <a:spcBef>
                <a:spcPct val="0"/>
              </a:spcBef>
              <a:spcAft>
                <a:spcPct val="35000"/>
              </a:spcAft>
            </a:pPr>
            <a:fld id="{82D61291-857E-5D40-88DC-E8CF3D76489A}" type="TxLink">
              <a:rPr lang="en-US" sz="1200" b="0" i="0" u="none" strike="noStrike" kern="1200">
                <a:solidFill>
                  <a:schemeClr val="tx1"/>
                </a:solidFill>
                <a:latin typeface="Calibri"/>
                <a:ea typeface="Calibri"/>
                <a:cs typeface="Calibri"/>
              </a:rPr>
              <a:pPr lvl="0" algn="ctr" defTabSz="444500">
                <a:lnSpc>
                  <a:spcPct val="90000"/>
                </a:lnSpc>
                <a:spcBef>
                  <a:spcPct val="0"/>
                </a:spcBef>
                <a:spcAft>
                  <a:spcPct val="35000"/>
                </a:spcAft>
              </a:pPr>
              <a:t>100%</a:t>
            </a:fld>
            <a:endParaRPr lang="es-ES_tradnl" sz="1000" b="1" kern="1200">
              <a:solidFill>
                <a:schemeClr val="tx1"/>
              </a:solidFill>
            </a:endParaRPr>
          </a:p>
        </xdr:txBody>
      </xdr:sp>
      <xdr:sp macro="" textlink="">
        <xdr:nvSpPr>
          <xdr:cNvPr id="49" name="Forma libre 48">
            <a:extLst>
              <a:ext uri="{FF2B5EF4-FFF2-40B4-BE49-F238E27FC236}">
                <a16:creationId xmlns:a16="http://schemas.microsoft.com/office/drawing/2014/main" id="{00000000-0008-0000-0100-000031000000}"/>
              </a:ext>
            </a:extLst>
          </xdr:cNvPr>
          <xdr:cNvSpPr/>
        </xdr:nvSpPr>
        <xdr:spPr>
          <a:xfrm>
            <a:off x="13531438" y="1487705"/>
            <a:ext cx="1028845" cy="532690"/>
          </a:xfrm>
          <a:custGeom>
            <a:avLst/>
            <a:gdLst>
              <a:gd name="connsiteX0" fmla="*/ 0 w 1028845"/>
              <a:gd name="connsiteY0" fmla="*/ 88783 h 532690"/>
              <a:gd name="connsiteX1" fmla="*/ 88783 w 1028845"/>
              <a:gd name="connsiteY1" fmla="*/ 0 h 532690"/>
              <a:gd name="connsiteX2" fmla="*/ 940062 w 1028845"/>
              <a:gd name="connsiteY2" fmla="*/ 0 h 532690"/>
              <a:gd name="connsiteX3" fmla="*/ 1028845 w 1028845"/>
              <a:gd name="connsiteY3" fmla="*/ 88783 h 532690"/>
              <a:gd name="connsiteX4" fmla="*/ 1028845 w 1028845"/>
              <a:gd name="connsiteY4" fmla="*/ 443907 h 532690"/>
              <a:gd name="connsiteX5" fmla="*/ 940062 w 1028845"/>
              <a:gd name="connsiteY5" fmla="*/ 532690 h 532690"/>
              <a:gd name="connsiteX6" fmla="*/ 88783 w 1028845"/>
              <a:gd name="connsiteY6" fmla="*/ 532690 h 532690"/>
              <a:gd name="connsiteX7" fmla="*/ 0 w 1028845"/>
              <a:gd name="connsiteY7" fmla="*/ 443907 h 532690"/>
              <a:gd name="connsiteX8" fmla="*/ 0 w 1028845"/>
              <a:gd name="connsiteY8" fmla="*/ 88783 h 53269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28845" h="532690">
                <a:moveTo>
                  <a:pt x="0" y="88783"/>
                </a:moveTo>
                <a:cubicBezTo>
                  <a:pt x="0" y="39750"/>
                  <a:pt x="39750" y="0"/>
                  <a:pt x="88783" y="0"/>
                </a:cubicBezTo>
                <a:lnTo>
                  <a:pt x="940062" y="0"/>
                </a:lnTo>
                <a:cubicBezTo>
                  <a:pt x="989095" y="0"/>
                  <a:pt x="1028845" y="39750"/>
                  <a:pt x="1028845" y="88783"/>
                </a:cubicBezTo>
                <a:lnTo>
                  <a:pt x="1028845" y="443907"/>
                </a:lnTo>
                <a:cubicBezTo>
                  <a:pt x="1028845" y="492940"/>
                  <a:pt x="989095" y="532690"/>
                  <a:pt x="940062" y="532690"/>
                </a:cubicBezTo>
                <a:lnTo>
                  <a:pt x="88783" y="532690"/>
                </a:lnTo>
                <a:cubicBezTo>
                  <a:pt x="39750" y="532690"/>
                  <a:pt x="0" y="492940"/>
                  <a:pt x="0" y="443907"/>
                </a:cubicBezTo>
                <a:lnTo>
                  <a:pt x="0" y="88783"/>
                </a:lnTo>
                <a:close/>
              </a:path>
            </a:pathLst>
          </a:custGeom>
          <a:solidFill>
            <a:srgbClr val="FFC742"/>
          </a:solidFill>
          <a:scene3d>
            <a:camera prst="orthographicFront"/>
            <a:lightRig rig="flat" dir="t"/>
          </a:scene3d>
          <a:sp3d prstMaterial="dkEdge">
            <a:bevelT w="8200" h="38100"/>
          </a:sp3d>
        </xdr:spPr>
        <xdr:style>
          <a:lnRef idx="0">
            <a:schemeClr val="lt1">
              <a:hueOff val="0"/>
              <a:satOff val="0"/>
              <a:lumOff val="0"/>
              <a:alphaOff val="0"/>
            </a:schemeClr>
          </a:lnRef>
          <a:fillRef idx="2">
            <a:scrgbClr r="0" g="0" b="0"/>
          </a:fillRef>
          <a:effectRef idx="1">
            <a:schemeClr val="accent1">
              <a:hueOff val="0"/>
              <a:satOff val="0"/>
              <a:lumOff val="0"/>
              <a:alphaOff val="0"/>
            </a:schemeClr>
          </a:effectRef>
          <a:fontRef idx="minor">
            <a:schemeClr val="dk1"/>
          </a:fontRef>
        </xdr:style>
        <xdr:txBody>
          <a:bodyPr spcFirstLastPara="0" vert="horz" wrap="square" lIns="31719" tIns="31719" rIns="31719" bIns="101173" numCol="1" spcCol="1270" anchor="ctr" anchorCtr="0">
            <a:noAutofit/>
          </a:bodyPr>
          <a:lstStyle/>
          <a:p>
            <a:pPr lvl="0" algn="ctr" defTabSz="400050">
              <a:lnSpc>
                <a:spcPct val="90000"/>
              </a:lnSpc>
              <a:spcBef>
                <a:spcPct val="0"/>
              </a:spcBef>
              <a:spcAft>
                <a:spcPct val="35000"/>
              </a:spcAft>
            </a:pPr>
            <a:r>
              <a:rPr lang="es-ES_tradnl" sz="900" b="1" kern="1200"/>
              <a:t>Necesidades Asistenciales</a:t>
            </a:r>
          </a:p>
        </xdr:txBody>
      </xdr:sp>
      <xdr:sp macro="" textlink="$U$27">
        <xdr:nvSpPr>
          <xdr:cNvPr id="50" name="Forma libre 49">
            <a:extLst>
              <a:ext uri="{FF2B5EF4-FFF2-40B4-BE49-F238E27FC236}">
                <a16:creationId xmlns:a16="http://schemas.microsoft.com/office/drawing/2014/main" id="{00000000-0008-0000-0100-000032000000}"/>
              </a:ext>
            </a:extLst>
          </xdr:cNvPr>
          <xdr:cNvSpPr/>
        </xdr:nvSpPr>
        <xdr:spPr>
          <a:xfrm>
            <a:off x="13737207" y="1902020"/>
            <a:ext cx="925961" cy="177563"/>
          </a:xfrm>
          <a:custGeom>
            <a:avLst/>
            <a:gdLst>
              <a:gd name="connsiteX0" fmla="*/ 0 w 925961"/>
              <a:gd name="connsiteY0" fmla="*/ 29594 h 177563"/>
              <a:gd name="connsiteX1" fmla="*/ 29594 w 925961"/>
              <a:gd name="connsiteY1" fmla="*/ 0 h 177563"/>
              <a:gd name="connsiteX2" fmla="*/ 896367 w 925961"/>
              <a:gd name="connsiteY2" fmla="*/ 0 h 177563"/>
              <a:gd name="connsiteX3" fmla="*/ 925961 w 925961"/>
              <a:gd name="connsiteY3" fmla="*/ 29594 h 177563"/>
              <a:gd name="connsiteX4" fmla="*/ 925961 w 925961"/>
              <a:gd name="connsiteY4" fmla="*/ 147969 h 177563"/>
              <a:gd name="connsiteX5" fmla="*/ 896367 w 925961"/>
              <a:gd name="connsiteY5" fmla="*/ 177563 h 177563"/>
              <a:gd name="connsiteX6" fmla="*/ 29594 w 925961"/>
              <a:gd name="connsiteY6" fmla="*/ 177563 h 177563"/>
              <a:gd name="connsiteX7" fmla="*/ 0 w 925961"/>
              <a:gd name="connsiteY7" fmla="*/ 147969 h 177563"/>
              <a:gd name="connsiteX8" fmla="*/ 0 w 925961"/>
              <a:gd name="connsiteY8" fmla="*/ 29594 h 1775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ln w="25400">
            <a:solidFill>
              <a:srgbClr val="FFC742"/>
            </a:solidFill>
          </a:ln>
        </xdr:spPr>
        <xdr:style>
          <a:lnRef idx="1">
            <a:scrgbClr r="0" g="0" b="0"/>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34068" tIns="15018" rIns="34068" bIns="15018" numCol="1" spcCol="1270" anchor="ctr" anchorCtr="0">
            <a:noAutofit/>
          </a:bodyPr>
          <a:lstStyle/>
          <a:p>
            <a:pPr lvl="0" algn="ctr" defTabSz="444500">
              <a:lnSpc>
                <a:spcPct val="90000"/>
              </a:lnSpc>
              <a:spcBef>
                <a:spcPct val="0"/>
              </a:spcBef>
              <a:spcAft>
                <a:spcPct val="35000"/>
              </a:spcAft>
            </a:pPr>
            <a:fld id="{6C098542-D81D-3647-AAFE-CEEA4C8D637F}" type="TxLink">
              <a:rPr lang="en-US" sz="1200" b="0" i="0" u="none" strike="noStrike" kern="1200">
                <a:solidFill>
                  <a:srgbClr val="000000"/>
                </a:solidFill>
                <a:latin typeface="Calibri"/>
                <a:ea typeface="Calibri"/>
                <a:cs typeface="Calibri"/>
              </a:rPr>
              <a:pPr lvl="0" algn="ctr" defTabSz="444500">
                <a:lnSpc>
                  <a:spcPct val="90000"/>
                </a:lnSpc>
                <a:spcBef>
                  <a:spcPct val="0"/>
                </a:spcBef>
                <a:spcAft>
                  <a:spcPct val="35000"/>
                </a:spcAft>
              </a:pPr>
              <a:t>9,4%</a:t>
            </a:fld>
            <a:endParaRPr lang="es-ES_tradnl" sz="1000" b="1" kern="1200"/>
          </a:p>
        </xdr:txBody>
      </xdr:sp>
      <xdr:sp macro="" textlink="">
        <xdr:nvSpPr>
          <xdr:cNvPr id="104" name="Forma libre 103">
            <a:extLst>
              <a:ext uri="{FF2B5EF4-FFF2-40B4-BE49-F238E27FC236}">
                <a16:creationId xmlns:a16="http://schemas.microsoft.com/office/drawing/2014/main" id="{00000000-0008-0000-0100-000068000000}"/>
              </a:ext>
            </a:extLst>
          </xdr:cNvPr>
          <xdr:cNvSpPr/>
        </xdr:nvSpPr>
        <xdr:spPr>
          <a:xfrm>
            <a:off x="11460959" y="2328172"/>
            <a:ext cx="1028845" cy="532690"/>
          </a:xfrm>
          <a:custGeom>
            <a:avLst/>
            <a:gdLst>
              <a:gd name="connsiteX0" fmla="*/ 0 w 1028845"/>
              <a:gd name="connsiteY0" fmla="*/ 88783 h 532690"/>
              <a:gd name="connsiteX1" fmla="*/ 88783 w 1028845"/>
              <a:gd name="connsiteY1" fmla="*/ 0 h 532690"/>
              <a:gd name="connsiteX2" fmla="*/ 940062 w 1028845"/>
              <a:gd name="connsiteY2" fmla="*/ 0 h 532690"/>
              <a:gd name="connsiteX3" fmla="*/ 1028845 w 1028845"/>
              <a:gd name="connsiteY3" fmla="*/ 88783 h 532690"/>
              <a:gd name="connsiteX4" fmla="*/ 1028845 w 1028845"/>
              <a:gd name="connsiteY4" fmla="*/ 443907 h 532690"/>
              <a:gd name="connsiteX5" fmla="*/ 940062 w 1028845"/>
              <a:gd name="connsiteY5" fmla="*/ 532690 h 532690"/>
              <a:gd name="connsiteX6" fmla="*/ 88783 w 1028845"/>
              <a:gd name="connsiteY6" fmla="*/ 532690 h 532690"/>
              <a:gd name="connsiteX7" fmla="*/ 0 w 1028845"/>
              <a:gd name="connsiteY7" fmla="*/ 443907 h 532690"/>
              <a:gd name="connsiteX8" fmla="*/ 0 w 1028845"/>
              <a:gd name="connsiteY8" fmla="*/ 88783 h 53269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28845" h="532690">
                <a:moveTo>
                  <a:pt x="0" y="88783"/>
                </a:moveTo>
                <a:cubicBezTo>
                  <a:pt x="0" y="39750"/>
                  <a:pt x="39750" y="0"/>
                  <a:pt x="88783" y="0"/>
                </a:cubicBezTo>
                <a:lnTo>
                  <a:pt x="940062" y="0"/>
                </a:lnTo>
                <a:cubicBezTo>
                  <a:pt x="989095" y="0"/>
                  <a:pt x="1028845" y="39750"/>
                  <a:pt x="1028845" y="88783"/>
                </a:cubicBezTo>
                <a:lnTo>
                  <a:pt x="1028845" y="443907"/>
                </a:lnTo>
                <a:cubicBezTo>
                  <a:pt x="1028845" y="492940"/>
                  <a:pt x="989095" y="532690"/>
                  <a:pt x="940062" y="532690"/>
                </a:cubicBezTo>
                <a:lnTo>
                  <a:pt x="88783" y="532690"/>
                </a:lnTo>
                <a:cubicBezTo>
                  <a:pt x="39750" y="532690"/>
                  <a:pt x="0" y="492940"/>
                  <a:pt x="0" y="443907"/>
                </a:cubicBezTo>
                <a:lnTo>
                  <a:pt x="0" y="88783"/>
                </a:lnTo>
                <a:close/>
              </a:path>
            </a:pathLst>
          </a:custGeom>
          <a:solidFill>
            <a:schemeClr val="accent1">
              <a:lumMod val="40000"/>
              <a:lumOff val="60000"/>
            </a:schemeClr>
          </a:solidFill>
          <a:scene3d>
            <a:camera prst="orthographicFront"/>
            <a:lightRig rig="flat" dir="t"/>
          </a:scene3d>
          <a:sp3d prstMaterial="dkEdge">
            <a:bevelT w="8200" h="38100"/>
          </a:sp3d>
        </xdr:spPr>
        <xdr:style>
          <a:lnRef idx="0">
            <a:schemeClr val="lt1">
              <a:hueOff val="0"/>
              <a:satOff val="0"/>
              <a:lumOff val="0"/>
              <a:alphaOff val="0"/>
            </a:schemeClr>
          </a:lnRef>
          <a:fillRef idx="2">
            <a:scrgbClr r="0" g="0" b="0"/>
          </a:fillRef>
          <a:effectRef idx="1">
            <a:schemeClr val="accent1">
              <a:hueOff val="0"/>
              <a:satOff val="0"/>
              <a:lumOff val="0"/>
              <a:alphaOff val="0"/>
            </a:schemeClr>
          </a:effectRef>
          <a:fontRef idx="minor">
            <a:schemeClr val="dk1"/>
          </a:fontRef>
        </xdr:style>
        <xdr:txBody>
          <a:bodyPr spcFirstLastPara="0" vert="horz" wrap="square" lIns="31719" tIns="31719" rIns="31719" bIns="101173" numCol="1" spcCol="1270" anchor="ctr" anchorCtr="0">
            <a:noAutofit/>
          </a:bodyPr>
          <a:lstStyle/>
          <a:p>
            <a:pPr lvl="0" algn="ctr" defTabSz="400050">
              <a:lnSpc>
                <a:spcPct val="90000"/>
              </a:lnSpc>
              <a:spcBef>
                <a:spcPct val="0"/>
              </a:spcBef>
              <a:spcAft>
                <a:spcPct val="35000"/>
              </a:spcAft>
            </a:pPr>
            <a:r>
              <a:rPr lang="es-ES_tradnl" sz="900" b="1" kern="1200"/>
              <a:t>Tasa Demanda Dependientes</a:t>
            </a:r>
          </a:p>
        </xdr:txBody>
      </xdr:sp>
      <xdr:sp macro="" textlink="$U$56">
        <xdr:nvSpPr>
          <xdr:cNvPr id="105" name="Forma libre 104">
            <a:extLst>
              <a:ext uri="{FF2B5EF4-FFF2-40B4-BE49-F238E27FC236}">
                <a16:creationId xmlns:a16="http://schemas.microsoft.com/office/drawing/2014/main" id="{00000000-0008-0000-0100-000069000000}"/>
              </a:ext>
            </a:extLst>
          </xdr:cNvPr>
          <xdr:cNvSpPr/>
        </xdr:nvSpPr>
        <xdr:spPr>
          <a:xfrm>
            <a:off x="11666728" y="2742487"/>
            <a:ext cx="925961" cy="177563"/>
          </a:xfrm>
          <a:custGeom>
            <a:avLst/>
            <a:gdLst>
              <a:gd name="connsiteX0" fmla="*/ 0 w 925961"/>
              <a:gd name="connsiteY0" fmla="*/ 29594 h 177563"/>
              <a:gd name="connsiteX1" fmla="*/ 29594 w 925961"/>
              <a:gd name="connsiteY1" fmla="*/ 0 h 177563"/>
              <a:gd name="connsiteX2" fmla="*/ 896367 w 925961"/>
              <a:gd name="connsiteY2" fmla="*/ 0 h 177563"/>
              <a:gd name="connsiteX3" fmla="*/ 925961 w 925961"/>
              <a:gd name="connsiteY3" fmla="*/ 29594 h 177563"/>
              <a:gd name="connsiteX4" fmla="*/ 925961 w 925961"/>
              <a:gd name="connsiteY4" fmla="*/ 147969 h 177563"/>
              <a:gd name="connsiteX5" fmla="*/ 896367 w 925961"/>
              <a:gd name="connsiteY5" fmla="*/ 177563 h 177563"/>
              <a:gd name="connsiteX6" fmla="*/ 29594 w 925961"/>
              <a:gd name="connsiteY6" fmla="*/ 177563 h 177563"/>
              <a:gd name="connsiteX7" fmla="*/ 0 w 925961"/>
              <a:gd name="connsiteY7" fmla="*/ 147969 h 177563"/>
              <a:gd name="connsiteX8" fmla="*/ 0 w 925961"/>
              <a:gd name="connsiteY8" fmla="*/ 29594 h 1775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ln w="25400">
            <a:solidFill>
              <a:schemeClr val="accent1">
                <a:lumMod val="40000"/>
                <a:lumOff val="60000"/>
              </a:schemeClr>
            </a:solidFill>
          </a:ln>
        </xdr:spPr>
        <xdr:style>
          <a:lnRef idx="1">
            <a:scrgbClr r="0" g="0" b="0"/>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34068" tIns="15018" rIns="34068" bIns="15018" numCol="1" spcCol="1270" anchor="ctr" anchorCtr="0">
            <a:noAutofit/>
          </a:bodyPr>
          <a:lstStyle/>
          <a:p>
            <a:pPr lvl="0" algn="ctr" defTabSz="444500">
              <a:lnSpc>
                <a:spcPct val="90000"/>
              </a:lnSpc>
              <a:spcBef>
                <a:spcPct val="0"/>
              </a:spcBef>
              <a:spcAft>
                <a:spcPct val="35000"/>
              </a:spcAft>
            </a:pPr>
            <a:fld id="{2B25616F-8E61-D34E-B459-A6413FCCC8F9}" type="TxLink">
              <a:rPr lang="en-US" sz="1200" b="0" i="0" u="none" strike="noStrike" kern="1200">
                <a:solidFill>
                  <a:srgbClr val="000000"/>
                </a:solidFill>
                <a:latin typeface="Calibri"/>
                <a:ea typeface="Calibri"/>
                <a:cs typeface="Calibri"/>
              </a:rPr>
              <a:pPr lvl="0" algn="ctr" defTabSz="444500">
                <a:lnSpc>
                  <a:spcPct val="90000"/>
                </a:lnSpc>
                <a:spcBef>
                  <a:spcPct val="0"/>
                </a:spcBef>
                <a:spcAft>
                  <a:spcPct val="35000"/>
                </a:spcAft>
              </a:pPr>
              <a:t>16,5%</a:t>
            </a:fld>
            <a:endParaRPr lang="es-ES_tradnl" sz="1000" b="1" kern="1200"/>
          </a:p>
        </xdr:txBody>
      </xdr:sp>
      <xdr:sp macro="" textlink="">
        <xdr:nvSpPr>
          <xdr:cNvPr id="106" name="Forma libre 105">
            <a:extLst>
              <a:ext uri="{FF2B5EF4-FFF2-40B4-BE49-F238E27FC236}">
                <a16:creationId xmlns:a16="http://schemas.microsoft.com/office/drawing/2014/main" id="{00000000-0008-0000-0100-00006A000000}"/>
              </a:ext>
            </a:extLst>
          </xdr:cNvPr>
          <xdr:cNvSpPr/>
        </xdr:nvSpPr>
        <xdr:spPr>
          <a:xfrm>
            <a:off x="12841278" y="2328172"/>
            <a:ext cx="1028845" cy="532690"/>
          </a:xfrm>
          <a:custGeom>
            <a:avLst/>
            <a:gdLst>
              <a:gd name="connsiteX0" fmla="*/ 0 w 1028845"/>
              <a:gd name="connsiteY0" fmla="*/ 88783 h 532690"/>
              <a:gd name="connsiteX1" fmla="*/ 88783 w 1028845"/>
              <a:gd name="connsiteY1" fmla="*/ 0 h 532690"/>
              <a:gd name="connsiteX2" fmla="*/ 940062 w 1028845"/>
              <a:gd name="connsiteY2" fmla="*/ 0 h 532690"/>
              <a:gd name="connsiteX3" fmla="*/ 1028845 w 1028845"/>
              <a:gd name="connsiteY3" fmla="*/ 88783 h 532690"/>
              <a:gd name="connsiteX4" fmla="*/ 1028845 w 1028845"/>
              <a:gd name="connsiteY4" fmla="*/ 443907 h 532690"/>
              <a:gd name="connsiteX5" fmla="*/ 940062 w 1028845"/>
              <a:gd name="connsiteY5" fmla="*/ 532690 h 532690"/>
              <a:gd name="connsiteX6" fmla="*/ 88783 w 1028845"/>
              <a:gd name="connsiteY6" fmla="*/ 532690 h 532690"/>
              <a:gd name="connsiteX7" fmla="*/ 0 w 1028845"/>
              <a:gd name="connsiteY7" fmla="*/ 443907 h 532690"/>
              <a:gd name="connsiteX8" fmla="*/ 0 w 1028845"/>
              <a:gd name="connsiteY8" fmla="*/ 88783 h 53269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28845" h="532690">
                <a:moveTo>
                  <a:pt x="0" y="88783"/>
                </a:moveTo>
                <a:cubicBezTo>
                  <a:pt x="0" y="39750"/>
                  <a:pt x="39750" y="0"/>
                  <a:pt x="88783" y="0"/>
                </a:cubicBezTo>
                <a:lnTo>
                  <a:pt x="940062" y="0"/>
                </a:lnTo>
                <a:cubicBezTo>
                  <a:pt x="989095" y="0"/>
                  <a:pt x="1028845" y="39750"/>
                  <a:pt x="1028845" y="88783"/>
                </a:cubicBezTo>
                <a:lnTo>
                  <a:pt x="1028845" y="443907"/>
                </a:lnTo>
                <a:cubicBezTo>
                  <a:pt x="1028845" y="492940"/>
                  <a:pt x="989095" y="532690"/>
                  <a:pt x="940062" y="532690"/>
                </a:cubicBezTo>
                <a:lnTo>
                  <a:pt x="88783" y="532690"/>
                </a:lnTo>
                <a:cubicBezTo>
                  <a:pt x="39750" y="532690"/>
                  <a:pt x="0" y="492940"/>
                  <a:pt x="0" y="443907"/>
                </a:cubicBezTo>
                <a:lnTo>
                  <a:pt x="0" y="88783"/>
                </a:lnTo>
                <a:close/>
              </a:path>
            </a:pathLst>
          </a:custGeom>
          <a:solidFill>
            <a:schemeClr val="accent1">
              <a:lumMod val="40000"/>
              <a:lumOff val="60000"/>
            </a:schemeClr>
          </a:solidFill>
          <a:scene3d>
            <a:camera prst="orthographicFront"/>
            <a:lightRig rig="flat" dir="t"/>
          </a:scene3d>
          <a:sp3d prstMaterial="dkEdge">
            <a:bevelT w="8200" h="38100"/>
          </a:sp3d>
        </xdr:spPr>
        <xdr:style>
          <a:lnRef idx="0">
            <a:schemeClr val="lt1">
              <a:hueOff val="0"/>
              <a:satOff val="0"/>
              <a:lumOff val="0"/>
              <a:alphaOff val="0"/>
            </a:schemeClr>
          </a:lnRef>
          <a:fillRef idx="2">
            <a:scrgbClr r="0" g="0" b="0"/>
          </a:fillRef>
          <a:effectRef idx="1">
            <a:schemeClr val="accent1">
              <a:hueOff val="0"/>
              <a:satOff val="0"/>
              <a:lumOff val="0"/>
              <a:alphaOff val="0"/>
            </a:schemeClr>
          </a:effectRef>
          <a:fontRef idx="minor">
            <a:schemeClr val="dk1"/>
          </a:fontRef>
        </xdr:style>
        <xdr:txBody>
          <a:bodyPr spcFirstLastPara="0" vert="horz" wrap="square" lIns="31719" tIns="31719" rIns="31719" bIns="101173" numCol="1" spcCol="1270" anchor="ctr" anchorCtr="0">
            <a:noAutofit/>
          </a:bodyPr>
          <a:lstStyle/>
          <a:p>
            <a:pPr lvl="0" algn="ctr" defTabSz="400050">
              <a:lnSpc>
                <a:spcPct val="90000"/>
              </a:lnSpc>
              <a:spcBef>
                <a:spcPct val="0"/>
              </a:spcBef>
              <a:spcAft>
                <a:spcPct val="35000"/>
              </a:spcAft>
            </a:pPr>
            <a:r>
              <a:rPr lang="es-ES_tradnl" sz="900" b="1" kern="1200"/>
              <a:t>Familias Perceptoras Renta Mínima</a:t>
            </a:r>
          </a:p>
        </xdr:txBody>
      </xdr:sp>
      <xdr:sp macro="" textlink="$U$57">
        <xdr:nvSpPr>
          <xdr:cNvPr id="107" name="Forma libre 106">
            <a:extLst>
              <a:ext uri="{FF2B5EF4-FFF2-40B4-BE49-F238E27FC236}">
                <a16:creationId xmlns:a16="http://schemas.microsoft.com/office/drawing/2014/main" id="{00000000-0008-0000-0100-00006B000000}"/>
              </a:ext>
            </a:extLst>
          </xdr:cNvPr>
          <xdr:cNvSpPr/>
        </xdr:nvSpPr>
        <xdr:spPr>
          <a:xfrm>
            <a:off x="13047047" y="2742487"/>
            <a:ext cx="925961" cy="177563"/>
          </a:xfrm>
          <a:custGeom>
            <a:avLst/>
            <a:gdLst>
              <a:gd name="connsiteX0" fmla="*/ 0 w 925961"/>
              <a:gd name="connsiteY0" fmla="*/ 29594 h 177563"/>
              <a:gd name="connsiteX1" fmla="*/ 29594 w 925961"/>
              <a:gd name="connsiteY1" fmla="*/ 0 h 177563"/>
              <a:gd name="connsiteX2" fmla="*/ 896367 w 925961"/>
              <a:gd name="connsiteY2" fmla="*/ 0 h 177563"/>
              <a:gd name="connsiteX3" fmla="*/ 925961 w 925961"/>
              <a:gd name="connsiteY3" fmla="*/ 29594 h 177563"/>
              <a:gd name="connsiteX4" fmla="*/ 925961 w 925961"/>
              <a:gd name="connsiteY4" fmla="*/ 147969 h 177563"/>
              <a:gd name="connsiteX5" fmla="*/ 896367 w 925961"/>
              <a:gd name="connsiteY5" fmla="*/ 177563 h 177563"/>
              <a:gd name="connsiteX6" fmla="*/ 29594 w 925961"/>
              <a:gd name="connsiteY6" fmla="*/ 177563 h 177563"/>
              <a:gd name="connsiteX7" fmla="*/ 0 w 925961"/>
              <a:gd name="connsiteY7" fmla="*/ 147969 h 177563"/>
              <a:gd name="connsiteX8" fmla="*/ 0 w 925961"/>
              <a:gd name="connsiteY8" fmla="*/ 29594 h 1775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ln w="25400">
            <a:solidFill>
              <a:schemeClr val="accent1">
                <a:lumMod val="40000"/>
                <a:lumOff val="60000"/>
              </a:schemeClr>
            </a:solidFill>
          </a:ln>
        </xdr:spPr>
        <xdr:style>
          <a:lnRef idx="1">
            <a:scrgbClr r="0" g="0" b="0"/>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34068" tIns="15018" rIns="34068" bIns="15018" numCol="1" spcCol="1270" anchor="ctr" anchorCtr="0">
            <a:noAutofit/>
          </a:bodyPr>
          <a:lstStyle/>
          <a:p>
            <a:pPr lvl="0" algn="ctr" defTabSz="444500">
              <a:lnSpc>
                <a:spcPct val="90000"/>
              </a:lnSpc>
              <a:spcBef>
                <a:spcPct val="0"/>
              </a:spcBef>
              <a:spcAft>
                <a:spcPct val="35000"/>
              </a:spcAft>
            </a:pPr>
            <a:fld id="{451D3248-08BE-F84E-B286-1AB790805330}" type="TxLink">
              <a:rPr lang="en-US" sz="1200" b="0" i="0" u="none" strike="noStrike" kern="1200">
                <a:solidFill>
                  <a:srgbClr val="000000"/>
                </a:solidFill>
                <a:latin typeface="Calibri"/>
                <a:ea typeface="Calibri"/>
                <a:cs typeface="Calibri"/>
              </a:rPr>
              <a:pPr lvl="0" algn="ctr" defTabSz="444500">
                <a:lnSpc>
                  <a:spcPct val="90000"/>
                </a:lnSpc>
                <a:spcBef>
                  <a:spcPct val="0"/>
                </a:spcBef>
                <a:spcAft>
                  <a:spcPct val="35000"/>
                </a:spcAft>
              </a:pPr>
              <a:t>49,4%</a:t>
            </a:fld>
            <a:endParaRPr lang="es-ES_tradnl" sz="1000" b="1" kern="1200"/>
          </a:p>
        </xdr:txBody>
      </xdr:sp>
      <xdr:sp macro="" textlink="">
        <xdr:nvSpPr>
          <xdr:cNvPr id="108" name="Forma libre 107">
            <a:extLst>
              <a:ext uri="{FF2B5EF4-FFF2-40B4-BE49-F238E27FC236}">
                <a16:creationId xmlns:a16="http://schemas.microsoft.com/office/drawing/2014/main" id="{00000000-0008-0000-0100-00006C000000}"/>
              </a:ext>
            </a:extLst>
          </xdr:cNvPr>
          <xdr:cNvSpPr/>
        </xdr:nvSpPr>
        <xdr:spPr>
          <a:xfrm>
            <a:off x="14221597" y="2328172"/>
            <a:ext cx="1028845" cy="532690"/>
          </a:xfrm>
          <a:custGeom>
            <a:avLst/>
            <a:gdLst>
              <a:gd name="connsiteX0" fmla="*/ 0 w 1028845"/>
              <a:gd name="connsiteY0" fmla="*/ 88783 h 532690"/>
              <a:gd name="connsiteX1" fmla="*/ 88783 w 1028845"/>
              <a:gd name="connsiteY1" fmla="*/ 0 h 532690"/>
              <a:gd name="connsiteX2" fmla="*/ 940062 w 1028845"/>
              <a:gd name="connsiteY2" fmla="*/ 0 h 532690"/>
              <a:gd name="connsiteX3" fmla="*/ 1028845 w 1028845"/>
              <a:gd name="connsiteY3" fmla="*/ 88783 h 532690"/>
              <a:gd name="connsiteX4" fmla="*/ 1028845 w 1028845"/>
              <a:gd name="connsiteY4" fmla="*/ 443907 h 532690"/>
              <a:gd name="connsiteX5" fmla="*/ 940062 w 1028845"/>
              <a:gd name="connsiteY5" fmla="*/ 532690 h 532690"/>
              <a:gd name="connsiteX6" fmla="*/ 88783 w 1028845"/>
              <a:gd name="connsiteY6" fmla="*/ 532690 h 532690"/>
              <a:gd name="connsiteX7" fmla="*/ 0 w 1028845"/>
              <a:gd name="connsiteY7" fmla="*/ 443907 h 532690"/>
              <a:gd name="connsiteX8" fmla="*/ 0 w 1028845"/>
              <a:gd name="connsiteY8" fmla="*/ 88783 h 53269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28845" h="532690">
                <a:moveTo>
                  <a:pt x="0" y="88783"/>
                </a:moveTo>
                <a:cubicBezTo>
                  <a:pt x="0" y="39750"/>
                  <a:pt x="39750" y="0"/>
                  <a:pt x="88783" y="0"/>
                </a:cubicBezTo>
                <a:lnTo>
                  <a:pt x="940062" y="0"/>
                </a:lnTo>
                <a:cubicBezTo>
                  <a:pt x="989095" y="0"/>
                  <a:pt x="1028845" y="39750"/>
                  <a:pt x="1028845" y="88783"/>
                </a:cubicBezTo>
                <a:lnTo>
                  <a:pt x="1028845" y="443907"/>
                </a:lnTo>
                <a:cubicBezTo>
                  <a:pt x="1028845" y="492940"/>
                  <a:pt x="989095" y="532690"/>
                  <a:pt x="940062" y="532690"/>
                </a:cubicBezTo>
                <a:lnTo>
                  <a:pt x="88783" y="532690"/>
                </a:lnTo>
                <a:cubicBezTo>
                  <a:pt x="39750" y="532690"/>
                  <a:pt x="0" y="492940"/>
                  <a:pt x="0" y="443907"/>
                </a:cubicBezTo>
                <a:lnTo>
                  <a:pt x="0" y="88783"/>
                </a:lnTo>
                <a:close/>
              </a:path>
            </a:pathLst>
          </a:custGeom>
          <a:solidFill>
            <a:schemeClr val="accent1">
              <a:lumMod val="40000"/>
              <a:lumOff val="60000"/>
            </a:schemeClr>
          </a:solidFill>
          <a:scene3d>
            <a:camera prst="orthographicFront"/>
            <a:lightRig rig="flat" dir="t"/>
          </a:scene3d>
          <a:sp3d prstMaterial="dkEdge">
            <a:bevelT w="8200" h="38100"/>
          </a:sp3d>
        </xdr:spPr>
        <xdr:style>
          <a:lnRef idx="0">
            <a:schemeClr val="lt1">
              <a:hueOff val="0"/>
              <a:satOff val="0"/>
              <a:lumOff val="0"/>
              <a:alphaOff val="0"/>
            </a:schemeClr>
          </a:lnRef>
          <a:fillRef idx="2">
            <a:scrgbClr r="0" g="0" b="0"/>
          </a:fillRef>
          <a:effectRef idx="1">
            <a:schemeClr val="accent1">
              <a:hueOff val="0"/>
              <a:satOff val="0"/>
              <a:lumOff val="0"/>
              <a:alphaOff val="0"/>
            </a:schemeClr>
          </a:effectRef>
          <a:fontRef idx="minor">
            <a:schemeClr val="dk1"/>
          </a:fontRef>
        </xdr:style>
        <xdr:txBody>
          <a:bodyPr spcFirstLastPara="0" vert="horz" wrap="square" lIns="31719" tIns="31719" rIns="31719" bIns="101173" numCol="1" spcCol="1270" anchor="ctr" anchorCtr="0">
            <a:noAutofit/>
          </a:bodyPr>
          <a:lstStyle/>
          <a:p>
            <a:pPr lvl="0" algn="ctr" defTabSz="400050">
              <a:lnSpc>
                <a:spcPct val="90000"/>
              </a:lnSpc>
              <a:spcBef>
                <a:spcPct val="0"/>
              </a:spcBef>
              <a:spcAft>
                <a:spcPct val="35000"/>
              </a:spcAft>
            </a:pPr>
            <a:r>
              <a:rPr lang="es-ES_tradnl" sz="900" b="1" kern="1200"/>
              <a:t>Tasa SAD Dependencia</a:t>
            </a:r>
          </a:p>
        </xdr:txBody>
      </xdr:sp>
      <xdr:sp macro="" textlink="$U$58">
        <xdr:nvSpPr>
          <xdr:cNvPr id="109" name="Forma libre 108">
            <a:extLst>
              <a:ext uri="{FF2B5EF4-FFF2-40B4-BE49-F238E27FC236}">
                <a16:creationId xmlns:a16="http://schemas.microsoft.com/office/drawing/2014/main" id="{00000000-0008-0000-0100-00006D000000}"/>
              </a:ext>
            </a:extLst>
          </xdr:cNvPr>
          <xdr:cNvSpPr/>
        </xdr:nvSpPr>
        <xdr:spPr>
          <a:xfrm>
            <a:off x="14427367" y="2742487"/>
            <a:ext cx="925961" cy="177563"/>
          </a:xfrm>
          <a:custGeom>
            <a:avLst/>
            <a:gdLst>
              <a:gd name="connsiteX0" fmla="*/ 0 w 925961"/>
              <a:gd name="connsiteY0" fmla="*/ 29594 h 177563"/>
              <a:gd name="connsiteX1" fmla="*/ 29594 w 925961"/>
              <a:gd name="connsiteY1" fmla="*/ 0 h 177563"/>
              <a:gd name="connsiteX2" fmla="*/ 896367 w 925961"/>
              <a:gd name="connsiteY2" fmla="*/ 0 h 177563"/>
              <a:gd name="connsiteX3" fmla="*/ 925961 w 925961"/>
              <a:gd name="connsiteY3" fmla="*/ 29594 h 177563"/>
              <a:gd name="connsiteX4" fmla="*/ 925961 w 925961"/>
              <a:gd name="connsiteY4" fmla="*/ 147969 h 177563"/>
              <a:gd name="connsiteX5" fmla="*/ 896367 w 925961"/>
              <a:gd name="connsiteY5" fmla="*/ 177563 h 177563"/>
              <a:gd name="connsiteX6" fmla="*/ 29594 w 925961"/>
              <a:gd name="connsiteY6" fmla="*/ 177563 h 177563"/>
              <a:gd name="connsiteX7" fmla="*/ 0 w 925961"/>
              <a:gd name="connsiteY7" fmla="*/ 147969 h 177563"/>
              <a:gd name="connsiteX8" fmla="*/ 0 w 925961"/>
              <a:gd name="connsiteY8" fmla="*/ 29594 h 1775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ln w="25400">
            <a:solidFill>
              <a:schemeClr val="accent1">
                <a:lumMod val="40000"/>
                <a:lumOff val="60000"/>
              </a:schemeClr>
            </a:solidFill>
          </a:ln>
        </xdr:spPr>
        <xdr:style>
          <a:lnRef idx="1">
            <a:scrgbClr r="0" g="0" b="0"/>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34068" tIns="15018" rIns="34068" bIns="15018" numCol="1" spcCol="1270" anchor="ctr" anchorCtr="0">
            <a:noAutofit/>
          </a:bodyPr>
          <a:lstStyle/>
          <a:p>
            <a:pPr lvl="0" algn="ctr" defTabSz="444500">
              <a:lnSpc>
                <a:spcPct val="90000"/>
              </a:lnSpc>
              <a:spcBef>
                <a:spcPct val="0"/>
              </a:spcBef>
              <a:spcAft>
                <a:spcPct val="35000"/>
              </a:spcAft>
            </a:pPr>
            <a:fld id="{57F0AE54-3A93-E141-80DD-EA6601BCE00C}" type="TxLink">
              <a:rPr lang="is-IS" sz="1200" b="0" i="0" u="none" strike="noStrike" kern="1200">
                <a:solidFill>
                  <a:srgbClr val="000000"/>
                </a:solidFill>
                <a:latin typeface="Calibri"/>
                <a:ea typeface="Calibri"/>
                <a:cs typeface="Calibri"/>
              </a:rPr>
              <a:pPr lvl="0" algn="ctr" defTabSz="444500">
                <a:lnSpc>
                  <a:spcPct val="90000"/>
                </a:lnSpc>
                <a:spcBef>
                  <a:spcPct val="0"/>
                </a:spcBef>
                <a:spcAft>
                  <a:spcPct val="35000"/>
                </a:spcAft>
              </a:pPr>
              <a:t>21,7%</a:t>
            </a:fld>
            <a:endParaRPr lang="es-ES_tradnl" sz="1000" b="1" kern="1200"/>
          </a:p>
        </xdr:txBody>
      </xdr:sp>
      <xdr:sp macro="" textlink="">
        <xdr:nvSpPr>
          <xdr:cNvPr id="110" name="Forma libre 109">
            <a:extLst>
              <a:ext uri="{FF2B5EF4-FFF2-40B4-BE49-F238E27FC236}">
                <a16:creationId xmlns:a16="http://schemas.microsoft.com/office/drawing/2014/main" id="{00000000-0008-0000-0100-00006E000000}"/>
              </a:ext>
            </a:extLst>
          </xdr:cNvPr>
          <xdr:cNvSpPr/>
        </xdr:nvSpPr>
        <xdr:spPr>
          <a:xfrm>
            <a:off x="15601917" y="2328172"/>
            <a:ext cx="1028845" cy="532690"/>
          </a:xfrm>
          <a:custGeom>
            <a:avLst/>
            <a:gdLst>
              <a:gd name="connsiteX0" fmla="*/ 0 w 1028845"/>
              <a:gd name="connsiteY0" fmla="*/ 88783 h 532690"/>
              <a:gd name="connsiteX1" fmla="*/ 88783 w 1028845"/>
              <a:gd name="connsiteY1" fmla="*/ 0 h 532690"/>
              <a:gd name="connsiteX2" fmla="*/ 940062 w 1028845"/>
              <a:gd name="connsiteY2" fmla="*/ 0 h 532690"/>
              <a:gd name="connsiteX3" fmla="*/ 1028845 w 1028845"/>
              <a:gd name="connsiteY3" fmla="*/ 88783 h 532690"/>
              <a:gd name="connsiteX4" fmla="*/ 1028845 w 1028845"/>
              <a:gd name="connsiteY4" fmla="*/ 443907 h 532690"/>
              <a:gd name="connsiteX5" fmla="*/ 940062 w 1028845"/>
              <a:gd name="connsiteY5" fmla="*/ 532690 h 532690"/>
              <a:gd name="connsiteX6" fmla="*/ 88783 w 1028845"/>
              <a:gd name="connsiteY6" fmla="*/ 532690 h 532690"/>
              <a:gd name="connsiteX7" fmla="*/ 0 w 1028845"/>
              <a:gd name="connsiteY7" fmla="*/ 443907 h 532690"/>
              <a:gd name="connsiteX8" fmla="*/ 0 w 1028845"/>
              <a:gd name="connsiteY8" fmla="*/ 88783 h 53269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28845" h="532690">
                <a:moveTo>
                  <a:pt x="0" y="88783"/>
                </a:moveTo>
                <a:cubicBezTo>
                  <a:pt x="0" y="39750"/>
                  <a:pt x="39750" y="0"/>
                  <a:pt x="88783" y="0"/>
                </a:cubicBezTo>
                <a:lnTo>
                  <a:pt x="940062" y="0"/>
                </a:lnTo>
                <a:cubicBezTo>
                  <a:pt x="989095" y="0"/>
                  <a:pt x="1028845" y="39750"/>
                  <a:pt x="1028845" y="88783"/>
                </a:cubicBezTo>
                <a:lnTo>
                  <a:pt x="1028845" y="443907"/>
                </a:lnTo>
                <a:cubicBezTo>
                  <a:pt x="1028845" y="492940"/>
                  <a:pt x="989095" y="532690"/>
                  <a:pt x="940062" y="532690"/>
                </a:cubicBezTo>
                <a:lnTo>
                  <a:pt x="88783" y="532690"/>
                </a:lnTo>
                <a:cubicBezTo>
                  <a:pt x="39750" y="532690"/>
                  <a:pt x="0" y="492940"/>
                  <a:pt x="0" y="443907"/>
                </a:cubicBezTo>
                <a:lnTo>
                  <a:pt x="0" y="88783"/>
                </a:lnTo>
                <a:close/>
              </a:path>
            </a:pathLst>
          </a:custGeom>
          <a:solidFill>
            <a:schemeClr val="accent1">
              <a:lumMod val="40000"/>
              <a:lumOff val="60000"/>
            </a:schemeClr>
          </a:solidFill>
          <a:scene3d>
            <a:camera prst="orthographicFront"/>
            <a:lightRig rig="flat" dir="t"/>
          </a:scene3d>
          <a:sp3d prstMaterial="dkEdge">
            <a:bevelT w="8200" h="38100"/>
          </a:sp3d>
        </xdr:spPr>
        <xdr:style>
          <a:lnRef idx="0">
            <a:schemeClr val="lt1">
              <a:hueOff val="0"/>
              <a:satOff val="0"/>
              <a:lumOff val="0"/>
              <a:alphaOff val="0"/>
            </a:schemeClr>
          </a:lnRef>
          <a:fillRef idx="2">
            <a:scrgbClr r="0" g="0" b="0"/>
          </a:fillRef>
          <a:effectRef idx="1">
            <a:schemeClr val="accent1">
              <a:hueOff val="0"/>
              <a:satOff val="0"/>
              <a:lumOff val="0"/>
              <a:alphaOff val="0"/>
            </a:schemeClr>
          </a:effectRef>
          <a:fontRef idx="minor">
            <a:schemeClr val="dk1"/>
          </a:fontRef>
        </xdr:style>
        <xdr:txBody>
          <a:bodyPr spcFirstLastPara="0" vert="horz" wrap="square" lIns="31719" tIns="31719" rIns="31719" bIns="101173" numCol="1" spcCol="1270" anchor="ctr" anchorCtr="0">
            <a:noAutofit/>
          </a:bodyPr>
          <a:lstStyle/>
          <a:p>
            <a:pPr lvl="0" algn="ctr" defTabSz="400050">
              <a:lnSpc>
                <a:spcPct val="90000"/>
              </a:lnSpc>
              <a:spcBef>
                <a:spcPct val="0"/>
              </a:spcBef>
              <a:spcAft>
                <a:spcPct val="35000"/>
              </a:spcAft>
            </a:pPr>
            <a:r>
              <a:rPr lang="es-ES_tradnl" sz="900" b="1" kern="1200"/>
              <a:t>Tasa Teleasistencia Dependencia</a:t>
            </a:r>
          </a:p>
        </xdr:txBody>
      </xdr:sp>
      <xdr:sp macro="" textlink="$U$59">
        <xdr:nvSpPr>
          <xdr:cNvPr id="111" name="Forma libre 110">
            <a:extLst>
              <a:ext uri="{FF2B5EF4-FFF2-40B4-BE49-F238E27FC236}">
                <a16:creationId xmlns:a16="http://schemas.microsoft.com/office/drawing/2014/main" id="{00000000-0008-0000-0100-00006F000000}"/>
              </a:ext>
            </a:extLst>
          </xdr:cNvPr>
          <xdr:cNvSpPr/>
        </xdr:nvSpPr>
        <xdr:spPr>
          <a:xfrm>
            <a:off x="15807686" y="2742487"/>
            <a:ext cx="925961" cy="177563"/>
          </a:xfrm>
          <a:custGeom>
            <a:avLst/>
            <a:gdLst>
              <a:gd name="connsiteX0" fmla="*/ 0 w 925961"/>
              <a:gd name="connsiteY0" fmla="*/ 29594 h 177563"/>
              <a:gd name="connsiteX1" fmla="*/ 29594 w 925961"/>
              <a:gd name="connsiteY1" fmla="*/ 0 h 177563"/>
              <a:gd name="connsiteX2" fmla="*/ 896367 w 925961"/>
              <a:gd name="connsiteY2" fmla="*/ 0 h 177563"/>
              <a:gd name="connsiteX3" fmla="*/ 925961 w 925961"/>
              <a:gd name="connsiteY3" fmla="*/ 29594 h 177563"/>
              <a:gd name="connsiteX4" fmla="*/ 925961 w 925961"/>
              <a:gd name="connsiteY4" fmla="*/ 147969 h 177563"/>
              <a:gd name="connsiteX5" fmla="*/ 896367 w 925961"/>
              <a:gd name="connsiteY5" fmla="*/ 177563 h 177563"/>
              <a:gd name="connsiteX6" fmla="*/ 29594 w 925961"/>
              <a:gd name="connsiteY6" fmla="*/ 177563 h 177563"/>
              <a:gd name="connsiteX7" fmla="*/ 0 w 925961"/>
              <a:gd name="connsiteY7" fmla="*/ 147969 h 177563"/>
              <a:gd name="connsiteX8" fmla="*/ 0 w 925961"/>
              <a:gd name="connsiteY8" fmla="*/ 29594 h 1775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ln w="25400">
            <a:solidFill>
              <a:schemeClr val="accent1">
                <a:lumMod val="40000"/>
                <a:lumOff val="60000"/>
              </a:schemeClr>
            </a:solidFill>
          </a:ln>
        </xdr:spPr>
        <xdr:style>
          <a:lnRef idx="1">
            <a:scrgbClr r="0" g="0" b="0"/>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34068" tIns="15018" rIns="34068" bIns="15018" numCol="1" spcCol="1270" anchor="ctr" anchorCtr="0">
            <a:noAutofit/>
          </a:bodyPr>
          <a:lstStyle/>
          <a:p>
            <a:pPr lvl="0" algn="ctr" defTabSz="444500">
              <a:lnSpc>
                <a:spcPct val="90000"/>
              </a:lnSpc>
              <a:spcBef>
                <a:spcPct val="0"/>
              </a:spcBef>
              <a:spcAft>
                <a:spcPct val="35000"/>
              </a:spcAft>
            </a:pPr>
            <a:fld id="{A4E87121-E385-5845-8477-A49DB4429712}" type="TxLink">
              <a:rPr lang="en-US" sz="1200" b="0" i="0" u="none" strike="noStrike" kern="1200">
                <a:solidFill>
                  <a:srgbClr val="000000"/>
                </a:solidFill>
                <a:latin typeface="Calibri"/>
                <a:ea typeface="Calibri"/>
                <a:cs typeface="Calibri"/>
              </a:rPr>
              <a:pPr lvl="0" algn="ctr" defTabSz="444500">
                <a:lnSpc>
                  <a:spcPct val="90000"/>
                </a:lnSpc>
                <a:spcBef>
                  <a:spcPct val="0"/>
                </a:spcBef>
                <a:spcAft>
                  <a:spcPct val="35000"/>
                </a:spcAft>
              </a:pPr>
              <a:t>12,5%</a:t>
            </a:fld>
            <a:endParaRPr lang="es-ES_tradnl" sz="1000" b="1" kern="1200"/>
          </a:p>
        </xdr:txBody>
      </xdr:sp>
    </xdr:grpSp>
    <xdr:clientData/>
  </xdr:twoCellAnchor>
  <xdr:twoCellAnchor>
    <xdr:from>
      <xdr:col>2</xdr:col>
      <xdr:colOff>48952</xdr:colOff>
      <xdr:row>9</xdr:row>
      <xdr:rowOff>148216</xdr:rowOff>
    </xdr:from>
    <xdr:to>
      <xdr:col>2</xdr:col>
      <xdr:colOff>516952</xdr:colOff>
      <xdr:row>10</xdr:row>
      <xdr:rowOff>128223</xdr:rowOff>
    </xdr:to>
    <xdr:sp macro="" textlink="Gráficos!S98">
      <xdr:nvSpPr>
        <xdr:cNvPr id="55" name="Forma libre 54">
          <a:extLst>
            <a:ext uri="{FF2B5EF4-FFF2-40B4-BE49-F238E27FC236}">
              <a16:creationId xmlns:a16="http://schemas.microsoft.com/office/drawing/2014/main" id="{00000000-0008-0000-0100-000037000000}"/>
            </a:ext>
          </a:extLst>
        </xdr:cNvPr>
        <xdr:cNvSpPr/>
      </xdr:nvSpPr>
      <xdr:spPr>
        <a:xfrm>
          <a:off x="3131588" y="2203307"/>
          <a:ext cx="468000" cy="187825"/>
        </a:xfrm>
        <a:custGeom>
          <a:avLst/>
          <a:gdLst>
            <a:gd name="connsiteX0" fmla="*/ 0 w 925961"/>
            <a:gd name="connsiteY0" fmla="*/ 29594 h 177563"/>
            <a:gd name="connsiteX1" fmla="*/ 29594 w 925961"/>
            <a:gd name="connsiteY1" fmla="*/ 0 h 177563"/>
            <a:gd name="connsiteX2" fmla="*/ 896367 w 925961"/>
            <a:gd name="connsiteY2" fmla="*/ 0 h 177563"/>
            <a:gd name="connsiteX3" fmla="*/ 925961 w 925961"/>
            <a:gd name="connsiteY3" fmla="*/ 29594 h 177563"/>
            <a:gd name="connsiteX4" fmla="*/ 925961 w 925961"/>
            <a:gd name="connsiteY4" fmla="*/ 147969 h 177563"/>
            <a:gd name="connsiteX5" fmla="*/ 896367 w 925961"/>
            <a:gd name="connsiteY5" fmla="*/ 177563 h 177563"/>
            <a:gd name="connsiteX6" fmla="*/ 29594 w 925961"/>
            <a:gd name="connsiteY6" fmla="*/ 177563 h 177563"/>
            <a:gd name="connsiteX7" fmla="*/ 0 w 925961"/>
            <a:gd name="connsiteY7" fmla="*/ 147969 h 177563"/>
            <a:gd name="connsiteX8" fmla="*/ 0 w 925961"/>
            <a:gd name="connsiteY8" fmla="*/ 29594 h 1775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ln w="25400">
          <a:solidFill>
            <a:srgbClr val="FFC742"/>
          </a:solidFill>
        </a:ln>
      </xdr:spPr>
      <xdr:style>
        <a:lnRef idx="1">
          <a:scrgbClr r="0" g="0" b="0"/>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34068" tIns="15018" rIns="34068" bIns="15018" numCol="1" spcCol="1270" anchor="ctr" anchorCtr="0">
          <a:noAutofit/>
        </a:bodyPr>
        <a:lstStyle/>
        <a:p>
          <a:pPr lvl="0" algn="ctr" defTabSz="444500">
            <a:lnSpc>
              <a:spcPct val="90000"/>
            </a:lnSpc>
            <a:spcBef>
              <a:spcPct val="0"/>
            </a:spcBef>
            <a:spcAft>
              <a:spcPct val="35000"/>
            </a:spcAft>
          </a:pPr>
          <a:fld id="{419453B7-FC5D-CA4F-9987-249841720C8F}" type="TxLink">
            <a:rPr lang="en-US" sz="1200" b="0" i="0" u="none" strike="noStrike" kern="1200">
              <a:solidFill>
                <a:srgbClr val="000000"/>
              </a:solidFill>
              <a:latin typeface="Calibri"/>
              <a:ea typeface="Calibri"/>
              <a:cs typeface="Calibri"/>
            </a:rPr>
            <a:pPr lvl="0" algn="ctr" defTabSz="444500">
              <a:lnSpc>
                <a:spcPct val="90000"/>
              </a:lnSpc>
              <a:spcBef>
                <a:spcPct val="0"/>
              </a:spcBef>
              <a:spcAft>
                <a:spcPct val="35000"/>
              </a:spcAft>
            </a:pPr>
            <a:t>0,92</a:t>
          </a:fld>
          <a:endParaRPr lang="es-ES_tradnl" sz="1000" b="1" kern="1200"/>
        </a:p>
      </xdr:txBody>
    </xdr:sp>
    <xdr:clientData/>
  </xdr:twoCellAnchor>
  <xdr:twoCellAnchor>
    <xdr:from>
      <xdr:col>6</xdr:col>
      <xdr:colOff>201352</xdr:colOff>
      <xdr:row>9</xdr:row>
      <xdr:rowOff>150525</xdr:rowOff>
    </xdr:from>
    <xdr:to>
      <xdr:col>7</xdr:col>
      <xdr:colOff>22806</xdr:colOff>
      <xdr:row>10</xdr:row>
      <xdr:rowOff>130532</xdr:rowOff>
    </xdr:to>
    <xdr:sp macro="" textlink="Gráficos!S99">
      <xdr:nvSpPr>
        <xdr:cNvPr id="56" name="Forma libre 55">
          <a:extLst>
            <a:ext uri="{FF2B5EF4-FFF2-40B4-BE49-F238E27FC236}">
              <a16:creationId xmlns:a16="http://schemas.microsoft.com/office/drawing/2014/main" id="{00000000-0008-0000-0100-000038000000}"/>
            </a:ext>
          </a:extLst>
        </xdr:cNvPr>
        <xdr:cNvSpPr/>
      </xdr:nvSpPr>
      <xdr:spPr>
        <a:xfrm>
          <a:off x="5870170" y="2205616"/>
          <a:ext cx="468000" cy="187825"/>
        </a:xfrm>
        <a:custGeom>
          <a:avLst/>
          <a:gdLst>
            <a:gd name="connsiteX0" fmla="*/ 0 w 925961"/>
            <a:gd name="connsiteY0" fmla="*/ 29594 h 177563"/>
            <a:gd name="connsiteX1" fmla="*/ 29594 w 925961"/>
            <a:gd name="connsiteY1" fmla="*/ 0 h 177563"/>
            <a:gd name="connsiteX2" fmla="*/ 896367 w 925961"/>
            <a:gd name="connsiteY2" fmla="*/ 0 h 177563"/>
            <a:gd name="connsiteX3" fmla="*/ 925961 w 925961"/>
            <a:gd name="connsiteY3" fmla="*/ 29594 h 177563"/>
            <a:gd name="connsiteX4" fmla="*/ 925961 w 925961"/>
            <a:gd name="connsiteY4" fmla="*/ 147969 h 177563"/>
            <a:gd name="connsiteX5" fmla="*/ 896367 w 925961"/>
            <a:gd name="connsiteY5" fmla="*/ 177563 h 177563"/>
            <a:gd name="connsiteX6" fmla="*/ 29594 w 925961"/>
            <a:gd name="connsiteY6" fmla="*/ 177563 h 177563"/>
            <a:gd name="connsiteX7" fmla="*/ 0 w 925961"/>
            <a:gd name="connsiteY7" fmla="*/ 147969 h 177563"/>
            <a:gd name="connsiteX8" fmla="*/ 0 w 925961"/>
            <a:gd name="connsiteY8" fmla="*/ 29594 h 1775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ln w="25400">
          <a:solidFill>
            <a:srgbClr val="FFC742"/>
          </a:solidFill>
        </a:ln>
      </xdr:spPr>
      <xdr:style>
        <a:lnRef idx="1">
          <a:scrgbClr r="0" g="0" b="0"/>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34068" tIns="15018" rIns="34068" bIns="15018" numCol="1" spcCol="1270" anchor="ctr" anchorCtr="0">
          <a:noAutofit/>
        </a:bodyPr>
        <a:lstStyle/>
        <a:p>
          <a:pPr lvl="0" algn="ctr" defTabSz="444500">
            <a:lnSpc>
              <a:spcPct val="90000"/>
            </a:lnSpc>
            <a:spcBef>
              <a:spcPct val="0"/>
            </a:spcBef>
            <a:spcAft>
              <a:spcPct val="35000"/>
            </a:spcAft>
          </a:pPr>
          <a:fld id="{2779C3F0-848B-7A4A-B48A-CD3537E69CE6}" type="TxLink">
            <a:rPr lang="en-US" sz="1200" b="0" i="0" u="none" strike="noStrike" kern="1200">
              <a:solidFill>
                <a:srgbClr val="000000"/>
              </a:solidFill>
              <a:latin typeface="Calibri"/>
              <a:ea typeface="Calibri"/>
              <a:cs typeface="Calibri"/>
            </a:rPr>
            <a:pPr lvl="0" algn="ctr" defTabSz="444500">
              <a:lnSpc>
                <a:spcPct val="90000"/>
              </a:lnSpc>
              <a:spcBef>
                <a:spcPct val="0"/>
              </a:spcBef>
              <a:spcAft>
                <a:spcPct val="35000"/>
              </a:spcAft>
            </a:pPr>
            <a:t>0,76</a:t>
          </a:fld>
          <a:endParaRPr lang="es-ES_tradnl" sz="1000" b="1" kern="1200"/>
        </a:p>
      </xdr:txBody>
    </xdr:sp>
    <xdr:clientData/>
  </xdr:twoCellAnchor>
  <xdr:twoCellAnchor>
    <xdr:from>
      <xdr:col>10</xdr:col>
      <xdr:colOff>353751</xdr:colOff>
      <xdr:row>9</xdr:row>
      <xdr:rowOff>141288</xdr:rowOff>
    </xdr:from>
    <xdr:to>
      <xdr:col>11</xdr:col>
      <xdr:colOff>175206</xdr:colOff>
      <xdr:row>10</xdr:row>
      <xdr:rowOff>121295</xdr:rowOff>
    </xdr:to>
    <xdr:sp macro="" textlink="Gráficos!S100">
      <xdr:nvSpPr>
        <xdr:cNvPr id="57" name="Forma libre 56">
          <a:extLst>
            <a:ext uri="{FF2B5EF4-FFF2-40B4-BE49-F238E27FC236}">
              <a16:creationId xmlns:a16="http://schemas.microsoft.com/office/drawing/2014/main" id="{00000000-0008-0000-0100-000039000000}"/>
            </a:ext>
          </a:extLst>
        </xdr:cNvPr>
        <xdr:cNvSpPr/>
      </xdr:nvSpPr>
      <xdr:spPr>
        <a:xfrm>
          <a:off x="8608751" y="2196379"/>
          <a:ext cx="468000" cy="187825"/>
        </a:xfrm>
        <a:custGeom>
          <a:avLst/>
          <a:gdLst>
            <a:gd name="connsiteX0" fmla="*/ 0 w 925961"/>
            <a:gd name="connsiteY0" fmla="*/ 29594 h 177563"/>
            <a:gd name="connsiteX1" fmla="*/ 29594 w 925961"/>
            <a:gd name="connsiteY1" fmla="*/ 0 h 177563"/>
            <a:gd name="connsiteX2" fmla="*/ 896367 w 925961"/>
            <a:gd name="connsiteY2" fmla="*/ 0 h 177563"/>
            <a:gd name="connsiteX3" fmla="*/ 925961 w 925961"/>
            <a:gd name="connsiteY3" fmla="*/ 29594 h 177563"/>
            <a:gd name="connsiteX4" fmla="*/ 925961 w 925961"/>
            <a:gd name="connsiteY4" fmla="*/ 147969 h 177563"/>
            <a:gd name="connsiteX5" fmla="*/ 896367 w 925961"/>
            <a:gd name="connsiteY5" fmla="*/ 177563 h 177563"/>
            <a:gd name="connsiteX6" fmla="*/ 29594 w 925961"/>
            <a:gd name="connsiteY6" fmla="*/ 177563 h 177563"/>
            <a:gd name="connsiteX7" fmla="*/ 0 w 925961"/>
            <a:gd name="connsiteY7" fmla="*/ 147969 h 177563"/>
            <a:gd name="connsiteX8" fmla="*/ 0 w 925961"/>
            <a:gd name="connsiteY8" fmla="*/ 29594 h 1775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ln w="25400">
          <a:solidFill>
            <a:srgbClr val="FFC742"/>
          </a:solidFill>
        </a:ln>
      </xdr:spPr>
      <xdr:style>
        <a:lnRef idx="1">
          <a:scrgbClr r="0" g="0" b="0"/>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34068" tIns="15018" rIns="34068" bIns="15018" numCol="1" spcCol="1270" anchor="ctr" anchorCtr="0">
          <a:noAutofit/>
        </a:bodyPr>
        <a:lstStyle/>
        <a:p>
          <a:pPr lvl="0" algn="ctr" defTabSz="444500">
            <a:lnSpc>
              <a:spcPct val="90000"/>
            </a:lnSpc>
            <a:spcBef>
              <a:spcPct val="0"/>
            </a:spcBef>
            <a:spcAft>
              <a:spcPct val="35000"/>
            </a:spcAft>
          </a:pPr>
          <a:fld id="{55722F0B-705B-7944-8699-DA657CE5332B}" type="TxLink">
            <a:rPr lang="en-US" sz="1200" b="0" i="0" u="none" strike="noStrike" kern="1200">
              <a:solidFill>
                <a:srgbClr val="000000"/>
              </a:solidFill>
              <a:latin typeface="Calibri"/>
              <a:ea typeface="Calibri"/>
              <a:cs typeface="Calibri"/>
            </a:rPr>
            <a:pPr lvl="0" algn="ctr" defTabSz="444500">
              <a:lnSpc>
                <a:spcPct val="90000"/>
              </a:lnSpc>
              <a:spcBef>
                <a:spcPct val="0"/>
              </a:spcBef>
              <a:spcAft>
                <a:spcPct val="35000"/>
              </a:spcAft>
            </a:pPr>
            <a:t>0,97</a:t>
          </a:fld>
          <a:endParaRPr lang="es-ES_tradnl" sz="1000" b="1" kern="1200"/>
        </a:p>
      </xdr:txBody>
    </xdr:sp>
    <xdr:clientData/>
  </xdr:twoCellAnchor>
  <xdr:twoCellAnchor>
    <xdr:from>
      <xdr:col>14</xdr:col>
      <xdr:colOff>552333</xdr:colOff>
      <xdr:row>9</xdr:row>
      <xdr:rowOff>143597</xdr:rowOff>
    </xdr:from>
    <xdr:to>
      <xdr:col>15</xdr:col>
      <xdr:colOff>373788</xdr:colOff>
      <xdr:row>10</xdr:row>
      <xdr:rowOff>123604</xdr:rowOff>
    </xdr:to>
    <xdr:sp macro="" textlink="Gráficos!S101">
      <xdr:nvSpPr>
        <xdr:cNvPr id="58" name="Forma libre 57">
          <a:extLst>
            <a:ext uri="{FF2B5EF4-FFF2-40B4-BE49-F238E27FC236}">
              <a16:creationId xmlns:a16="http://schemas.microsoft.com/office/drawing/2014/main" id="{00000000-0008-0000-0100-00003A000000}"/>
            </a:ext>
          </a:extLst>
        </xdr:cNvPr>
        <xdr:cNvSpPr/>
      </xdr:nvSpPr>
      <xdr:spPr>
        <a:xfrm>
          <a:off x="11393515" y="2198688"/>
          <a:ext cx="468000" cy="187825"/>
        </a:xfrm>
        <a:custGeom>
          <a:avLst/>
          <a:gdLst>
            <a:gd name="connsiteX0" fmla="*/ 0 w 925961"/>
            <a:gd name="connsiteY0" fmla="*/ 29594 h 177563"/>
            <a:gd name="connsiteX1" fmla="*/ 29594 w 925961"/>
            <a:gd name="connsiteY1" fmla="*/ 0 h 177563"/>
            <a:gd name="connsiteX2" fmla="*/ 896367 w 925961"/>
            <a:gd name="connsiteY2" fmla="*/ 0 h 177563"/>
            <a:gd name="connsiteX3" fmla="*/ 925961 w 925961"/>
            <a:gd name="connsiteY3" fmla="*/ 29594 h 177563"/>
            <a:gd name="connsiteX4" fmla="*/ 925961 w 925961"/>
            <a:gd name="connsiteY4" fmla="*/ 147969 h 177563"/>
            <a:gd name="connsiteX5" fmla="*/ 896367 w 925961"/>
            <a:gd name="connsiteY5" fmla="*/ 177563 h 177563"/>
            <a:gd name="connsiteX6" fmla="*/ 29594 w 925961"/>
            <a:gd name="connsiteY6" fmla="*/ 177563 h 177563"/>
            <a:gd name="connsiteX7" fmla="*/ 0 w 925961"/>
            <a:gd name="connsiteY7" fmla="*/ 147969 h 177563"/>
            <a:gd name="connsiteX8" fmla="*/ 0 w 925961"/>
            <a:gd name="connsiteY8" fmla="*/ 29594 h 1775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ln w="25400">
          <a:solidFill>
            <a:srgbClr val="FFC742"/>
          </a:solidFill>
        </a:ln>
      </xdr:spPr>
      <xdr:style>
        <a:lnRef idx="1">
          <a:scrgbClr r="0" g="0" b="0"/>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34068" tIns="15018" rIns="34068" bIns="15018" numCol="1" spcCol="1270" anchor="ctr" anchorCtr="0">
          <a:noAutofit/>
        </a:bodyPr>
        <a:lstStyle/>
        <a:p>
          <a:pPr lvl="0" algn="ctr" defTabSz="444500">
            <a:lnSpc>
              <a:spcPct val="90000"/>
            </a:lnSpc>
            <a:spcBef>
              <a:spcPct val="0"/>
            </a:spcBef>
            <a:spcAft>
              <a:spcPct val="35000"/>
            </a:spcAft>
          </a:pPr>
          <a:fld id="{8A93787E-3DB4-8649-B894-3ACE8B258E6D}" type="TxLink">
            <a:rPr lang="en-US" sz="1200" b="0" i="0" u="none" strike="noStrike" kern="1200">
              <a:solidFill>
                <a:srgbClr val="000000"/>
              </a:solidFill>
              <a:latin typeface="Calibri"/>
              <a:ea typeface="Calibri"/>
              <a:cs typeface="Calibri"/>
            </a:rPr>
            <a:pPr lvl="0" algn="ctr" defTabSz="444500">
              <a:lnSpc>
                <a:spcPct val="90000"/>
              </a:lnSpc>
              <a:spcBef>
                <a:spcPct val="0"/>
              </a:spcBef>
              <a:spcAft>
                <a:spcPct val="35000"/>
              </a:spcAft>
            </a:pPr>
            <a:t>0,71</a:t>
          </a:fld>
          <a:endParaRPr lang="es-ES_tradnl" sz="1000" b="1" kern="1200"/>
        </a:p>
      </xdr:txBody>
    </xdr:sp>
    <xdr:clientData/>
  </xdr:twoCellAnchor>
  <xdr:twoCellAnchor>
    <xdr:from>
      <xdr:col>19</xdr:col>
      <xdr:colOff>739369</xdr:colOff>
      <xdr:row>9</xdr:row>
      <xdr:rowOff>145906</xdr:rowOff>
    </xdr:from>
    <xdr:to>
      <xdr:col>20</xdr:col>
      <xdr:colOff>376096</xdr:colOff>
      <xdr:row>10</xdr:row>
      <xdr:rowOff>125913</xdr:rowOff>
    </xdr:to>
    <xdr:sp macro="" textlink="Gráficos!S102">
      <xdr:nvSpPr>
        <xdr:cNvPr id="59" name="Forma libre 58">
          <a:extLst>
            <a:ext uri="{FF2B5EF4-FFF2-40B4-BE49-F238E27FC236}">
              <a16:creationId xmlns:a16="http://schemas.microsoft.com/office/drawing/2014/main" id="{00000000-0008-0000-0100-00003B000000}"/>
            </a:ext>
          </a:extLst>
        </xdr:cNvPr>
        <xdr:cNvSpPr/>
      </xdr:nvSpPr>
      <xdr:spPr>
        <a:xfrm>
          <a:off x="14813278" y="2200997"/>
          <a:ext cx="468000" cy="187825"/>
        </a:xfrm>
        <a:custGeom>
          <a:avLst/>
          <a:gdLst>
            <a:gd name="connsiteX0" fmla="*/ 0 w 925961"/>
            <a:gd name="connsiteY0" fmla="*/ 29594 h 177563"/>
            <a:gd name="connsiteX1" fmla="*/ 29594 w 925961"/>
            <a:gd name="connsiteY1" fmla="*/ 0 h 177563"/>
            <a:gd name="connsiteX2" fmla="*/ 896367 w 925961"/>
            <a:gd name="connsiteY2" fmla="*/ 0 h 177563"/>
            <a:gd name="connsiteX3" fmla="*/ 925961 w 925961"/>
            <a:gd name="connsiteY3" fmla="*/ 29594 h 177563"/>
            <a:gd name="connsiteX4" fmla="*/ 925961 w 925961"/>
            <a:gd name="connsiteY4" fmla="*/ 147969 h 177563"/>
            <a:gd name="connsiteX5" fmla="*/ 896367 w 925961"/>
            <a:gd name="connsiteY5" fmla="*/ 177563 h 177563"/>
            <a:gd name="connsiteX6" fmla="*/ 29594 w 925961"/>
            <a:gd name="connsiteY6" fmla="*/ 177563 h 177563"/>
            <a:gd name="connsiteX7" fmla="*/ 0 w 925961"/>
            <a:gd name="connsiteY7" fmla="*/ 147969 h 177563"/>
            <a:gd name="connsiteX8" fmla="*/ 0 w 925961"/>
            <a:gd name="connsiteY8" fmla="*/ 29594 h 1775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ln w="25400">
          <a:solidFill>
            <a:srgbClr val="FFC742"/>
          </a:solidFill>
        </a:ln>
      </xdr:spPr>
      <xdr:style>
        <a:lnRef idx="1">
          <a:scrgbClr r="0" g="0" b="0"/>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34068" tIns="15018" rIns="34068" bIns="15018" numCol="1" spcCol="1270" anchor="ctr" anchorCtr="0">
          <a:noAutofit/>
        </a:bodyPr>
        <a:lstStyle/>
        <a:p>
          <a:pPr lvl="0" algn="ctr" defTabSz="444500">
            <a:lnSpc>
              <a:spcPct val="90000"/>
            </a:lnSpc>
            <a:spcBef>
              <a:spcPct val="0"/>
            </a:spcBef>
            <a:spcAft>
              <a:spcPct val="35000"/>
            </a:spcAft>
          </a:pPr>
          <a:fld id="{EDD70D67-886D-5B47-A6B9-21F59D2611CC}" type="TxLink">
            <a:rPr lang="en-US" sz="1200" b="0" i="0" u="none" strike="noStrike" kern="1200">
              <a:solidFill>
                <a:srgbClr val="000000"/>
              </a:solidFill>
              <a:latin typeface="Calibri"/>
              <a:ea typeface="Calibri"/>
              <a:cs typeface="Calibri"/>
            </a:rPr>
            <a:pPr lvl="0" algn="ctr" defTabSz="444500">
              <a:lnSpc>
                <a:spcPct val="90000"/>
              </a:lnSpc>
              <a:spcBef>
                <a:spcPct val="0"/>
              </a:spcBef>
              <a:spcAft>
                <a:spcPct val="35000"/>
              </a:spcAft>
            </a:pPr>
            <a:t>0,86</a:t>
          </a:fld>
          <a:endParaRPr lang="es-ES_tradnl" sz="1000" b="1" kern="1200"/>
        </a:p>
      </xdr:txBody>
    </xdr:sp>
    <xdr:clientData/>
  </xdr:twoCellAnchor>
  <xdr:twoCellAnchor>
    <xdr:from>
      <xdr:col>1</xdr:col>
      <xdr:colOff>880223</xdr:colOff>
      <xdr:row>14</xdr:row>
      <xdr:rowOff>99725</xdr:rowOff>
    </xdr:from>
    <xdr:to>
      <xdr:col>1</xdr:col>
      <xdr:colOff>1348223</xdr:colOff>
      <xdr:row>15</xdr:row>
      <xdr:rowOff>79732</xdr:rowOff>
    </xdr:to>
    <xdr:sp macro="" textlink="Gráficos!S86">
      <xdr:nvSpPr>
        <xdr:cNvPr id="60" name="Forma libre 59">
          <a:extLst>
            <a:ext uri="{FF2B5EF4-FFF2-40B4-BE49-F238E27FC236}">
              <a16:creationId xmlns:a16="http://schemas.microsoft.com/office/drawing/2014/main" id="{00000000-0008-0000-0100-00003C000000}"/>
            </a:ext>
          </a:extLst>
        </xdr:cNvPr>
        <xdr:cNvSpPr/>
      </xdr:nvSpPr>
      <xdr:spPr>
        <a:xfrm>
          <a:off x="1711496" y="3193907"/>
          <a:ext cx="468000" cy="187825"/>
        </a:xfrm>
        <a:custGeom>
          <a:avLst/>
          <a:gdLst>
            <a:gd name="connsiteX0" fmla="*/ 0 w 925961"/>
            <a:gd name="connsiteY0" fmla="*/ 29594 h 177563"/>
            <a:gd name="connsiteX1" fmla="*/ 29594 w 925961"/>
            <a:gd name="connsiteY1" fmla="*/ 0 h 177563"/>
            <a:gd name="connsiteX2" fmla="*/ 896367 w 925961"/>
            <a:gd name="connsiteY2" fmla="*/ 0 h 177563"/>
            <a:gd name="connsiteX3" fmla="*/ 925961 w 925961"/>
            <a:gd name="connsiteY3" fmla="*/ 29594 h 177563"/>
            <a:gd name="connsiteX4" fmla="*/ 925961 w 925961"/>
            <a:gd name="connsiteY4" fmla="*/ 147969 h 177563"/>
            <a:gd name="connsiteX5" fmla="*/ 896367 w 925961"/>
            <a:gd name="connsiteY5" fmla="*/ 177563 h 177563"/>
            <a:gd name="connsiteX6" fmla="*/ 29594 w 925961"/>
            <a:gd name="connsiteY6" fmla="*/ 177563 h 177563"/>
            <a:gd name="connsiteX7" fmla="*/ 0 w 925961"/>
            <a:gd name="connsiteY7" fmla="*/ 147969 h 177563"/>
            <a:gd name="connsiteX8" fmla="*/ 0 w 925961"/>
            <a:gd name="connsiteY8" fmla="*/ 29594 h 1775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ln w="25400">
          <a:solidFill>
            <a:schemeClr val="accent1">
              <a:lumMod val="40000"/>
              <a:lumOff val="60000"/>
            </a:schemeClr>
          </a:solidFill>
        </a:ln>
      </xdr:spPr>
      <xdr:style>
        <a:lnRef idx="1">
          <a:scrgbClr r="0" g="0" b="0"/>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34068" tIns="15018" rIns="34068" bIns="15018" numCol="1" spcCol="1270" anchor="ctr" anchorCtr="0">
          <a:noAutofit/>
        </a:bodyPr>
        <a:lstStyle/>
        <a:p>
          <a:pPr lvl="0" algn="ctr" defTabSz="444500">
            <a:lnSpc>
              <a:spcPct val="90000"/>
            </a:lnSpc>
            <a:spcBef>
              <a:spcPct val="0"/>
            </a:spcBef>
            <a:spcAft>
              <a:spcPct val="35000"/>
            </a:spcAft>
          </a:pPr>
          <a:fld id="{E9824E91-8D16-E844-BC96-3CDB909DDCD1}" type="TxLink">
            <a:rPr lang="en-US" sz="1200" b="0" i="0" u="none" strike="noStrike" kern="1200">
              <a:solidFill>
                <a:srgbClr val="000000"/>
              </a:solidFill>
              <a:latin typeface="Calibri"/>
              <a:ea typeface="Calibri"/>
              <a:cs typeface="Calibri"/>
            </a:rPr>
            <a:pPr lvl="0" algn="ctr" defTabSz="444500">
              <a:lnSpc>
                <a:spcPct val="90000"/>
              </a:lnSpc>
              <a:spcBef>
                <a:spcPct val="0"/>
              </a:spcBef>
              <a:spcAft>
                <a:spcPct val="35000"/>
              </a:spcAft>
            </a:pPr>
            <a:t>0,72</a:t>
          </a:fld>
          <a:endParaRPr lang="es-ES_tradnl" sz="1000" b="1" kern="1200"/>
        </a:p>
      </xdr:txBody>
    </xdr:sp>
    <xdr:clientData/>
  </xdr:twoCellAnchor>
  <xdr:twoCellAnchor>
    <xdr:from>
      <xdr:col>1</xdr:col>
      <xdr:colOff>2244896</xdr:colOff>
      <xdr:row>14</xdr:row>
      <xdr:rowOff>99725</xdr:rowOff>
    </xdr:from>
    <xdr:to>
      <xdr:col>2</xdr:col>
      <xdr:colOff>461533</xdr:colOff>
      <xdr:row>15</xdr:row>
      <xdr:rowOff>79732</xdr:rowOff>
    </xdr:to>
    <xdr:sp macro="" textlink="Gráficos!S87">
      <xdr:nvSpPr>
        <xdr:cNvPr id="61" name="Forma libre 60">
          <a:extLst>
            <a:ext uri="{FF2B5EF4-FFF2-40B4-BE49-F238E27FC236}">
              <a16:creationId xmlns:a16="http://schemas.microsoft.com/office/drawing/2014/main" id="{00000000-0008-0000-0100-00003D000000}"/>
            </a:ext>
          </a:extLst>
        </xdr:cNvPr>
        <xdr:cNvSpPr/>
      </xdr:nvSpPr>
      <xdr:spPr>
        <a:xfrm>
          <a:off x="3076169" y="3193907"/>
          <a:ext cx="468000" cy="187825"/>
        </a:xfrm>
        <a:custGeom>
          <a:avLst/>
          <a:gdLst>
            <a:gd name="connsiteX0" fmla="*/ 0 w 925961"/>
            <a:gd name="connsiteY0" fmla="*/ 29594 h 177563"/>
            <a:gd name="connsiteX1" fmla="*/ 29594 w 925961"/>
            <a:gd name="connsiteY1" fmla="*/ 0 h 177563"/>
            <a:gd name="connsiteX2" fmla="*/ 896367 w 925961"/>
            <a:gd name="connsiteY2" fmla="*/ 0 h 177563"/>
            <a:gd name="connsiteX3" fmla="*/ 925961 w 925961"/>
            <a:gd name="connsiteY3" fmla="*/ 29594 h 177563"/>
            <a:gd name="connsiteX4" fmla="*/ 925961 w 925961"/>
            <a:gd name="connsiteY4" fmla="*/ 147969 h 177563"/>
            <a:gd name="connsiteX5" fmla="*/ 896367 w 925961"/>
            <a:gd name="connsiteY5" fmla="*/ 177563 h 177563"/>
            <a:gd name="connsiteX6" fmla="*/ 29594 w 925961"/>
            <a:gd name="connsiteY6" fmla="*/ 177563 h 177563"/>
            <a:gd name="connsiteX7" fmla="*/ 0 w 925961"/>
            <a:gd name="connsiteY7" fmla="*/ 147969 h 177563"/>
            <a:gd name="connsiteX8" fmla="*/ 0 w 925961"/>
            <a:gd name="connsiteY8" fmla="*/ 29594 h 1775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ln w="25400">
          <a:solidFill>
            <a:schemeClr val="accent1">
              <a:lumMod val="40000"/>
              <a:lumOff val="60000"/>
            </a:schemeClr>
          </a:solidFill>
        </a:ln>
      </xdr:spPr>
      <xdr:style>
        <a:lnRef idx="1">
          <a:scrgbClr r="0" g="0" b="0"/>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34068" tIns="15018" rIns="34068" bIns="15018" numCol="1" spcCol="1270" anchor="ctr" anchorCtr="0">
          <a:noAutofit/>
        </a:bodyPr>
        <a:lstStyle/>
        <a:p>
          <a:pPr lvl="0" algn="ctr" defTabSz="444500">
            <a:lnSpc>
              <a:spcPct val="90000"/>
            </a:lnSpc>
            <a:spcBef>
              <a:spcPct val="0"/>
            </a:spcBef>
            <a:spcAft>
              <a:spcPct val="35000"/>
            </a:spcAft>
          </a:pPr>
          <a:fld id="{D97FC3A7-59F4-E244-895E-AFE21EA20134}" type="TxLink">
            <a:rPr lang="mr-IN" sz="1200" b="0" i="0" u="none" strike="noStrike" kern="1200">
              <a:solidFill>
                <a:srgbClr val="000000"/>
              </a:solidFill>
              <a:latin typeface="Calibri"/>
              <a:ea typeface="Calibri"/>
              <a:cs typeface="Calibri"/>
            </a:rPr>
            <a:pPr lvl="0" algn="ctr" defTabSz="444500">
              <a:lnSpc>
                <a:spcPct val="90000"/>
              </a:lnSpc>
              <a:spcBef>
                <a:spcPct val="0"/>
              </a:spcBef>
              <a:spcAft>
                <a:spcPct val="35000"/>
              </a:spcAft>
            </a:pPr>
            <a:t>-0,35</a:t>
          </a:fld>
          <a:endParaRPr lang="es-ES_tradnl" sz="1000" b="1" kern="1200"/>
        </a:p>
      </xdr:txBody>
    </xdr:sp>
    <xdr:clientData/>
  </xdr:twoCellAnchor>
  <xdr:twoCellAnchor>
    <xdr:from>
      <xdr:col>4</xdr:col>
      <xdr:colOff>88206</xdr:colOff>
      <xdr:row>14</xdr:row>
      <xdr:rowOff>99725</xdr:rowOff>
    </xdr:from>
    <xdr:to>
      <xdr:col>4</xdr:col>
      <xdr:colOff>556206</xdr:colOff>
      <xdr:row>15</xdr:row>
      <xdr:rowOff>79732</xdr:rowOff>
    </xdr:to>
    <xdr:sp macro="" textlink="Gráficos!S88">
      <xdr:nvSpPr>
        <xdr:cNvPr id="62" name="Forma libre 61">
          <a:extLst>
            <a:ext uri="{FF2B5EF4-FFF2-40B4-BE49-F238E27FC236}">
              <a16:creationId xmlns:a16="http://schemas.microsoft.com/office/drawing/2014/main" id="{00000000-0008-0000-0100-00003E000000}"/>
            </a:ext>
          </a:extLst>
        </xdr:cNvPr>
        <xdr:cNvSpPr/>
      </xdr:nvSpPr>
      <xdr:spPr>
        <a:xfrm>
          <a:off x="4463933" y="3193907"/>
          <a:ext cx="468000" cy="187825"/>
        </a:xfrm>
        <a:custGeom>
          <a:avLst/>
          <a:gdLst>
            <a:gd name="connsiteX0" fmla="*/ 0 w 925961"/>
            <a:gd name="connsiteY0" fmla="*/ 29594 h 177563"/>
            <a:gd name="connsiteX1" fmla="*/ 29594 w 925961"/>
            <a:gd name="connsiteY1" fmla="*/ 0 h 177563"/>
            <a:gd name="connsiteX2" fmla="*/ 896367 w 925961"/>
            <a:gd name="connsiteY2" fmla="*/ 0 h 177563"/>
            <a:gd name="connsiteX3" fmla="*/ 925961 w 925961"/>
            <a:gd name="connsiteY3" fmla="*/ 29594 h 177563"/>
            <a:gd name="connsiteX4" fmla="*/ 925961 w 925961"/>
            <a:gd name="connsiteY4" fmla="*/ 147969 h 177563"/>
            <a:gd name="connsiteX5" fmla="*/ 896367 w 925961"/>
            <a:gd name="connsiteY5" fmla="*/ 177563 h 177563"/>
            <a:gd name="connsiteX6" fmla="*/ 29594 w 925961"/>
            <a:gd name="connsiteY6" fmla="*/ 177563 h 177563"/>
            <a:gd name="connsiteX7" fmla="*/ 0 w 925961"/>
            <a:gd name="connsiteY7" fmla="*/ 147969 h 177563"/>
            <a:gd name="connsiteX8" fmla="*/ 0 w 925961"/>
            <a:gd name="connsiteY8" fmla="*/ 29594 h 1775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ln w="25400">
          <a:solidFill>
            <a:schemeClr val="accent1">
              <a:lumMod val="40000"/>
              <a:lumOff val="60000"/>
            </a:schemeClr>
          </a:solidFill>
        </a:ln>
      </xdr:spPr>
      <xdr:style>
        <a:lnRef idx="1">
          <a:scrgbClr r="0" g="0" b="0"/>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34068" tIns="15018" rIns="34068" bIns="15018" numCol="1" spcCol="1270" anchor="ctr" anchorCtr="0">
          <a:noAutofit/>
        </a:bodyPr>
        <a:lstStyle/>
        <a:p>
          <a:pPr lvl="0" algn="ctr" defTabSz="444500">
            <a:lnSpc>
              <a:spcPct val="90000"/>
            </a:lnSpc>
            <a:spcBef>
              <a:spcPct val="0"/>
            </a:spcBef>
            <a:spcAft>
              <a:spcPct val="35000"/>
            </a:spcAft>
          </a:pPr>
          <a:fld id="{517C3E77-B6B8-B343-A5E9-B216D334AD18}" type="TxLink">
            <a:rPr lang="en-US" sz="1200" b="0" i="0" u="none" strike="noStrike" kern="1200">
              <a:solidFill>
                <a:srgbClr val="000000"/>
              </a:solidFill>
              <a:latin typeface="Calibri"/>
              <a:ea typeface="Calibri"/>
              <a:cs typeface="Calibri"/>
            </a:rPr>
            <a:pPr lvl="0" algn="ctr" defTabSz="444500">
              <a:lnSpc>
                <a:spcPct val="90000"/>
              </a:lnSpc>
              <a:spcBef>
                <a:spcPct val="0"/>
              </a:spcBef>
              <a:spcAft>
                <a:spcPct val="35000"/>
              </a:spcAft>
            </a:pPr>
            <a:t>0,93</a:t>
          </a:fld>
          <a:endParaRPr lang="es-ES_tradnl" sz="1000" b="1" kern="1200"/>
        </a:p>
      </xdr:txBody>
    </xdr:sp>
    <xdr:clientData/>
  </xdr:twoCellAnchor>
  <xdr:twoCellAnchor>
    <xdr:from>
      <xdr:col>6</xdr:col>
      <xdr:colOff>159788</xdr:colOff>
      <xdr:row>14</xdr:row>
      <xdr:rowOff>99725</xdr:rowOff>
    </xdr:from>
    <xdr:to>
      <xdr:col>6</xdr:col>
      <xdr:colOff>627788</xdr:colOff>
      <xdr:row>15</xdr:row>
      <xdr:rowOff>79732</xdr:rowOff>
    </xdr:to>
    <xdr:sp macro="" textlink="Gráficos!S89">
      <xdr:nvSpPr>
        <xdr:cNvPr id="63" name="Forma libre 62">
          <a:extLst>
            <a:ext uri="{FF2B5EF4-FFF2-40B4-BE49-F238E27FC236}">
              <a16:creationId xmlns:a16="http://schemas.microsoft.com/office/drawing/2014/main" id="{00000000-0008-0000-0100-00003F000000}"/>
            </a:ext>
          </a:extLst>
        </xdr:cNvPr>
        <xdr:cNvSpPr/>
      </xdr:nvSpPr>
      <xdr:spPr>
        <a:xfrm>
          <a:off x="5828606" y="3193907"/>
          <a:ext cx="468000" cy="187825"/>
        </a:xfrm>
        <a:custGeom>
          <a:avLst/>
          <a:gdLst>
            <a:gd name="connsiteX0" fmla="*/ 0 w 925961"/>
            <a:gd name="connsiteY0" fmla="*/ 29594 h 177563"/>
            <a:gd name="connsiteX1" fmla="*/ 29594 w 925961"/>
            <a:gd name="connsiteY1" fmla="*/ 0 h 177563"/>
            <a:gd name="connsiteX2" fmla="*/ 896367 w 925961"/>
            <a:gd name="connsiteY2" fmla="*/ 0 h 177563"/>
            <a:gd name="connsiteX3" fmla="*/ 925961 w 925961"/>
            <a:gd name="connsiteY3" fmla="*/ 29594 h 177563"/>
            <a:gd name="connsiteX4" fmla="*/ 925961 w 925961"/>
            <a:gd name="connsiteY4" fmla="*/ 147969 h 177563"/>
            <a:gd name="connsiteX5" fmla="*/ 896367 w 925961"/>
            <a:gd name="connsiteY5" fmla="*/ 177563 h 177563"/>
            <a:gd name="connsiteX6" fmla="*/ 29594 w 925961"/>
            <a:gd name="connsiteY6" fmla="*/ 177563 h 177563"/>
            <a:gd name="connsiteX7" fmla="*/ 0 w 925961"/>
            <a:gd name="connsiteY7" fmla="*/ 147969 h 177563"/>
            <a:gd name="connsiteX8" fmla="*/ 0 w 925961"/>
            <a:gd name="connsiteY8" fmla="*/ 29594 h 1775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ln w="25400">
          <a:solidFill>
            <a:schemeClr val="accent1">
              <a:lumMod val="40000"/>
              <a:lumOff val="60000"/>
            </a:schemeClr>
          </a:solidFill>
        </a:ln>
      </xdr:spPr>
      <xdr:style>
        <a:lnRef idx="1">
          <a:scrgbClr r="0" g="0" b="0"/>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34068" tIns="15018" rIns="34068" bIns="15018" numCol="1" spcCol="1270" anchor="ctr" anchorCtr="0">
          <a:noAutofit/>
        </a:bodyPr>
        <a:lstStyle/>
        <a:p>
          <a:pPr lvl="0" algn="ctr" defTabSz="444500">
            <a:lnSpc>
              <a:spcPct val="90000"/>
            </a:lnSpc>
            <a:spcBef>
              <a:spcPct val="0"/>
            </a:spcBef>
            <a:spcAft>
              <a:spcPct val="35000"/>
            </a:spcAft>
          </a:pPr>
          <a:fld id="{7EA77CE5-133B-AC40-AA57-7726D38784AA}" type="TxLink">
            <a:rPr lang="mr-IN" sz="1200" b="0" i="0" u="none" strike="noStrike" kern="1200">
              <a:solidFill>
                <a:srgbClr val="000000"/>
              </a:solidFill>
              <a:latin typeface="Calibri"/>
              <a:ea typeface="Calibri"/>
              <a:cs typeface="Calibri"/>
            </a:rPr>
            <a:pPr lvl="0" algn="ctr" defTabSz="444500">
              <a:lnSpc>
                <a:spcPct val="90000"/>
              </a:lnSpc>
              <a:spcBef>
                <a:spcPct val="0"/>
              </a:spcBef>
              <a:spcAft>
                <a:spcPct val="35000"/>
              </a:spcAft>
            </a:pPr>
            <a:t>-0,77</a:t>
          </a:fld>
          <a:endParaRPr lang="es-ES_tradnl" sz="1000" b="1" kern="1200"/>
        </a:p>
      </xdr:txBody>
    </xdr:sp>
    <xdr:clientData/>
  </xdr:twoCellAnchor>
  <xdr:twoCellAnchor>
    <xdr:from>
      <xdr:col>8</xdr:col>
      <xdr:colOff>254461</xdr:colOff>
      <xdr:row>14</xdr:row>
      <xdr:rowOff>99725</xdr:rowOff>
    </xdr:from>
    <xdr:to>
      <xdr:col>9</xdr:col>
      <xdr:colOff>75915</xdr:colOff>
      <xdr:row>15</xdr:row>
      <xdr:rowOff>79732</xdr:rowOff>
    </xdr:to>
    <xdr:sp macro="" textlink="Gráficos!S90">
      <xdr:nvSpPr>
        <xdr:cNvPr id="64" name="Forma libre 63">
          <a:extLst>
            <a:ext uri="{FF2B5EF4-FFF2-40B4-BE49-F238E27FC236}">
              <a16:creationId xmlns:a16="http://schemas.microsoft.com/office/drawing/2014/main" id="{00000000-0008-0000-0100-000040000000}"/>
            </a:ext>
          </a:extLst>
        </xdr:cNvPr>
        <xdr:cNvSpPr/>
      </xdr:nvSpPr>
      <xdr:spPr>
        <a:xfrm>
          <a:off x="7216370" y="3193907"/>
          <a:ext cx="468000" cy="187825"/>
        </a:xfrm>
        <a:custGeom>
          <a:avLst/>
          <a:gdLst>
            <a:gd name="connsiteX0" fmla="*/ 0 w 925961"/>
            <a:gd name="connsiteY0" fmla="*/ 29594 h 177563"/>
            <a:gd name="connsiteX1" fmla="*/ 29594 w 925961"/>
            <a:gd name="connsiteY1" fmla="*/ 0 h 177563"/>
            <a:gd name="connsiteX2" fmla="*/ 896367 w 925961"/>
            <a:gd name="connsiteY2" fmla="*/ 0 h 177563"/>
            <a:gd name="connsiteX3" fmla="*/ 925961 w 925961"/>
            <a:gd name="connsiteY3" fmla="*/ 29594 h 177563"/>
            <a:gd name="connsiteX4" fmla="*/ 925961 w 925961"/>
            <a:gd name="connsiteY4" fmla="*/ 147969 h 177563"/>
            <a:gd name="connsiteX5" fmla="*/ 896367 w 925961"/>
            <a:gd name="connsiteY5" fmla="*/ 177563 h 177563"/>
            <a:gd name="connsiteX6" fmla="*/ 29594 w 925961"/>
            <a:gd name="connsiteY6" fmla="*/ 177563 h 177563"/>
            <a:gd name="connsiteX7" fmla="*/ 0 w 925961"/>
            <a:gd name="connsiteY7" fmla="*/ 147969 h 177563"/>
            <a:gd name="connsiteX8" fmla="*/ 0 w 925961"/>
            <a:gd name="connsiteY8" fmla="*/ 29594 h 1775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ln w="25400">
          <a:solidFill>
            <a:schemeClr val="accent1">
              <a:lumMod val="40000"/>
              <a:lumOff val="60000"/>
            </a:schemeClr>
          </a:solidFill>
        </a:ln>
      </xdr:spPr>
      <xdr:style>
        <a:lnRef idx="1">
          <a:scrgbClr r="0" g="0" b="0"/>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34068" tIns="15018" rIns="34068" bIns="15018" numCol="1" spcCol="1270" anchor="ctr" anchorCtr="0">
          <a:noAutofit/>
        </a:bodyPr>
        <a:lstStyle/>
        <a:p>
          <a:pPr lvl="0" algn="ctr" defTabSz="444500">
            <a:lnSpc>
              <a:spcPct val="90000"/>
            </a:lnSpc>
            <a:spcBef>
              <a:spcPct val="0"/>
            </a:spcBef>
            <a:spcAft>
              <a:spcPct val="35000"/>
            </a:spcAft>
          </a:pPr>
          <a:fld id="{E74FCD95-471E-964E-A01A-334D32579EF2}" type="TxLink">
            <a:rPr lang="en-US" sz="1200" b="0" i="0" u="none" strike="noStrike" kern="1200">
              <a:solidFill>
                <a:srgbClr val="000000"/>
              </a:solidFill>
              <a:latin typeface="Calibri"/>
              <a:ea typeface="Calibri"/>
              <a:cs typeface="Calibri"/>
            </a:rPr>
            <a:pPr lvl="0" algn="ctr" defTabSz="444500">
              <a:lnSpc>
                <a:spcPct val="90000"/>
              </a:lnSpc>
              <a:spcBef>
                <a:spcPct val="0"/>
              </a:spcBef>
              <a:spcAft>
                <a:spcPct val="35000"/>
              </a:spcAft>
            </a:pPr>
            <a:t>0,92</a:t>
          </a:fld>
          <a:endParaRPr lang="es-ES_tradnl" sz="1000" b="1" kern="1200"/>
        </a:p>
      </xdr:txBody>
    </xdr:sp>
    <xdr:clientData/>
  </xdr:twoCellAnchor>
  <xdr:twoCellAnchor>
    <xdr:from>
      <xdr:col>10</xdr:col>
      <xdr:colOff>337588</xdr:colOff>
      <xdr:row>14</xdr:row>
      <xdr:rowOff>99725</xdr:rowOff>
    </xdr:from>
    <xdr:to>
      <xdr:col>11</xdr:col>
      <xdr:colOff>159043</xdr:colOff>
      <xdr:row>15</xdr:row>
      <xdr:rowOff>79732</xdr:rowOff>
    </xdr:to>
    <xdr:sp macro="" textlink="Gráficos!S91">
      <xdr:nvSpPr>
        <xdr:cNvPr id="65" name="Forma libre 64">
          <a:extLst>
            <a:ext uri="{FF2B5EF4-FFF2-40B4-BE49-F238E27FC236}">
              <a16:creationId xmlns:a16="http://schemas.microsoft.com/office/drawing/2014/main" id="{00000000-0008-0000-0100-000041000000}"/>
            </a:ext>
          </a:extLst>
        </xdr:cNvPr>
        <xdr:cNvSpPr/>
      </xdr:nvSpPr>
      <xdr:spPr>
        <a:xfrm>
          <a:off x="8592588" y="3193907"/>
          <a:ext cx="468000" cy="187825"/>
        </a:xfrm>
        <a:custGeom>
          <a:avLst/>
          <a:gdLst>
            <a:gd name="connsiteX0" fmla="*/ 0 w 925961"/>
            <a:gd name="connsiteY0" fmla="*/ 29594 h 177563"/>
            <a:gd name="connsiteX1" fmla="*/ 29594 w 925961"/>
            <a:gd name="connsiteY1" fmla="*/ 0 h 177563"/>
            <a:gd name="connsiteX2" fmla="*/ 896367 w 925961"/>
            <a:gd name="connsiteY2" fmla="*/ 0 h 177563"/>
            <a:gd name="connsiteX3" fmla="*/ 925961 w 925961"/>
            <a:gd name="connsiteY3" fmla="*/ 29594 h 177563"/>
            <a:gd name="connsiteX4" fmla="*/ 925961 w 925961"/>
            <a:gd name="connsiteY4" fmla="*/ 147969 h 177563"/>
            <a:gd name="connsiteX5" fmla="*/ 896367 w 925961"/>
            <a:gd name="connsiteY5" fmla="*/ 177563 h 177563"/>
            <a:gd name="connsiteX6" fmla="*/ 29594 w 925961"/>
            <a:gd name="connsiteY6" fmla="*/ 177563 h 177563"/>
            <a:gd name="connsiteX7" fmla="*/ 0 w 925961"/>
            <a:gd name="connsiteY7" fmla="*/ 147969 h 177563"/>
            <a:gd name="connsiteX8" fmla="*/ 0 w 925961"/>
            <a:gd name="connsiteY8" fmla="*/ 29594 h 1775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ln w="25400">
          <a:solidFill>
            <a:schemeClr val="accent1">
              <a:lumMod val="40000"/>
              <a:lumOff val="60000"/>
            </a:schemeClr>
          </a:solidFill>
        </a:ln>
      </xdr:spPr>
      <xdr:style>
        <a:lnRef idx="1">
          <a:scrgbClr r="0" g="0" b="0"/>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34068" tIns="15018" rIns="34068" bIns="15018" numCol="1" spcCol="1270" anchor="ctr" anchorCtr="0">
          <a:noAutofit/>
        </a:bodyPr>
        <a:lstStyle/>
        <a:p>
          <a:pPr lvl="0" algn="ctr" defTabSz="444500">
            <a:lnSpc>
              <a:spcPct val="90000"/>
            </a:lnSpc>
            <a:spcBef>
              <a:spcPct val="0"/>
            </a:spcBef>
            <a:spcAft>
              <a:spcPct val="35000"/>
            </a:spcAft>
          </a:pPr>
          <a:fld id="{603165B5-9CEC-2446-85F8-3E6F0BE52BE3}" type="TxLink">
            <a:rPr lang="en-US" sz="1200" b="0" i="0" u="none" strike="noStrike" kern="1200">
              <a:solidFill>
                <a:srgbClr val="000000"/>
              </a:solidFill>
              <a:latin typeface="Calibri"/>
              <a:ea typeface="Calibri"/>
              <a:cs typeface="Calibri"/>
            </a:rPr>
            <a:pPr lvl="0" algn="ctr" defTabSz="444500">
              <a:lnSpc>
                <a:spcPct val="90000"/>
              </a:lnSpc>
              <a:spcBef>
                <a:spcPct val="0"/>
              </a:spcBef>
              <a:spcAft>
                <a:spcPct val="35000"/>
              </a:spcAft>
            </a:pPr>
            <a:t>0,91</a:t>
          </a:fld>
          <a:endParaRPr lang="es-ES_tradnl" sz="1000" b="1" kern="1200"/>
        </a:p>
      </xdr:txBody>
    </xdr:sp>
    <xdr:clientData/>
  </xdr:twoCellAnchor>
  <xdr:twoCellAnchor>
    <xdr:from>
      <xdr:col>12</xdr:col>
      <xdr:colOff>432261</xdr:colOff>
      <xdr:row>14</xdr:row>
      <xdr:rowOff>99725</xdr:rowOff>
    </xdr:from>
    <xdr:to>
      <xdr:col>13</xdr:col>
      <xdr:colOff>253716</xdr:colOff>
      <xdr:row>15</xdr:row>
      <xdr:rowOff>79732</xdr:rowOff>
    </xdr:to>
    <xdr:sp macro="" textlink="Gráficos!S92">
      <xdr:nvSpPr>
        <xdr:cNvPr id="66" name="Forma libre 65">
          <a:extLst>
            <a:ext uri="{FF2B5EF4-FFF2-40B4-BE49-F238E27FC236}">
              <a16:creationId xmlns:a16="http://schemas.microsoft.com/office/drawing/2014/main" id="{00000000-0008-0000-0100-000042000000}"/>
            </a:ext>
          </a:extLst>
        </xdr:cNvPr>
        <xdr:cNvSpPr/>
      </xdr:nvSpPr>
      <xdr:spPr>
        <a:xfrm>
          <a:off x="9980352" y="3193907"/>
          <a:ext cx="468000" cy="187825"/>
        </a:xfrm>
        <a:custGeom>
          <a:avLst/>
          <a:gdLst>
            <a:gd name="connsiteX0" fmla="*/ 0 w 925961"/>
            <a:gd name="connsiteY0" fmla="*/ 29594 h 177563"/>
            <a:gd name="connsiteX1" fmla="*/ 29594 w 925961"/>
            <a:gd name="connsiteY1" fmla="*/ 0 h 177563"/>
            <a:gd name="connsiteX2" fmla="*/ 896367 w 925961"/>
            <a:gd name="connsiteY2" fmla="*/ 0 h 177563"/>
            <a:gd name="connsiteX3" fmla="*/ 925961 w 925961"/>
            <a:gd name="connsiteY3" fmla="*/ 29594 h 177563"/>
            <a:gd name="connsiteX4" fmla="*/ 925961 w 925961"/>
            <a:gd name="connsiteY4" fmla="*/ 147969 h 177563"/>
            <a:gd name="connsiteX5" fmla="*/ 896367 w 925961"/>
            <a:gd name="connsiteY5" fmla="*/ 177563 h 177563"/>
            <a:gd name="connsiteX6" fmla="*/ 29594 w 925961"/>
            <a:gd name="connsiteY6" fmla="*/ 177563 h 177563"/>
            <a:gd name="connsiteX7" fmla="*/ 0 w 925961"/>
            <a:gd name="connsiteY7" fmla="*/ 147969 h 177563"/>
            <a:gd name="connsiteX8" fmla="*/ 0 w 925961"/>
            <a:gd name="connsiteY8" fmla="*/ 29594 h 1775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ln w="25400">
          <a:solidFill>
            <a:schemeClr val="accent1">
              <a:lumMod val="40000"/>
              <a:lumOff val="60000"/>
            </a:schemeClr>
          </a:solidFill>
        </a:ln>
      </xdr:spPr>
      <xdr:style>
        <a:lnRef idx="1">
          <a:scrgbClr r="0" g="0" b="0"/>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34068" tIns="15018" rIns="34068" bIns="15018" numCol="1" spcCol="1270" anchor="ctr" anchorCtr="0">
          <a:noAutofit/>
        </a:bodyPr>
        <a:lstStyle/>
        <a:p>
          <a:pPr lvl="0" algn="ctr" defTabSz="444500">
            <a:lnSpc>
              <a:spcPct val="90000"/>
            </a:lnSpc>
            <a:spcBef>
              <a:spcPct val="0"/>
            </a:spcBef>
            <a:spcAft>
              <a:spcPct val="35000"/>
            </a:spcAft>
          </a:pPr>
          <a:fld id="{BFFE2479-B505-204C-8B38-383D8EAE6C53}" type="TxLink">
            <a:rPr lang="en-US" sz="1200" b="0" i="0" u="none" strike="noStrike" kern="1200">
              <a:solidFill>
                <a:srgbClr val="000000"/>
              </a:solidFill>
              <a:latin typeface="Calibri"/>
              <a:ea typeface="Calibri"/>
              <a:cs typeface="Calibri"/>
            </a:rPr>
            <a:pPr lvl="0" algn="ctr" defTabSz="444500">
              <a:lnSpc>
                <a:spcPct val="90000"/>
              </a:lnSpc>
              <a:spcBef>
                <a:spcPct val="0"/>
              </a:spcBef>
              <a:spcAft>
                <a:spcPct val="35000"/>
              </a:spcAft>
            </a:pPr>
            <a:t>0,90</a:t>
          </a:fld>
          <a:endParaRPr lang="es-ES_tradnl" sz="1000" b="1" kern="1200"/>
        </a:p>
      </xdr:txBody>
    </xdr:sp>
    <xdr:clientData/>
  </xdr:twoCellAnchor>
  <xdr:twoCellAnchor>
    <xdr:from>
      <xdr:col>14</xdr:col>
      <xdr:colOff>492297</xdr:colOff>
      <xdr:row>14</xdr:row>
      <xdr:rowOff>99725</xdr:rowOff>
    </xdr:from>
    <xdr:to>
      <xdr:col>15</xdr:col>
      <xdr:colOff>313752</xdr:colOff>
      <xdr:row>15</xdr:row>
      <xdr:rowOff>79732</xdr:rowOff>
    </xdr:to>
    <xdr:sp macro="" textlink="Gráficos!S93">
      <xdr:nvSpPr>
        <xdr:cNvPr id="67" name="Forma libre 66">
          <a:extLst>
            <a:ext uri="{FF2B5EF4-FFF2-40B4-BE49-F238E27FC236}">
              <a16:creationId xmlns:a16="http://schemas.microsoft.com/office/drawing/2014/main" id="{00000000-0008-0000-0100-000043000000}"/>
            </a:ext>
          </a:extLst>
        </xdr:cNvPr>
        <xdr:cNvSpPr/>
      </xdr:nvSpPr>
      <xdr:spPr>
        <a:xfrm>
          <a:off x="11333479" y="3193907"/>
          <a:ext cx="468000" cy="187825"/>
        </a:xfrm>
        <a:custGeom>
          <a:avLst/>
          <a:gdLst>
            <a:gd name="connsiteX0" fmla="*/ 0 w 925961"/>
            <a:gd name="connsiteY0" fmla="*/ 29594 h 177563"/>
            <a:gd name="connsiteX1" fmla="*/ 29594 w 925961"/>
            <a:gd name="connsiteY1" fmla="*/ 0 h 177563"/>
            <a:gd name="connsiteX2" fmla="*/ 896367 w 925961"/>
            <a:gd name="connsiteY2" fmla="*/ 0 h 177563"/>
            <a:gd name="connsiteX3" fmla="*/ 925961 w 925961"/>
            <a:gd name="connsiteY3" fmla="*/ 29594 h 177563"/>
            <a:gd name="connsiteX4" fmla="*/ 925961 w 925961"/>
            <a:gd name="connsiteY4" fmla="*/ 147969 h 177563"/>
            <a:gd name="connsiteX5" fmla="*/ 896367 w 925961"/>
            <a:gd name="connsiteY5" fmla="*/ 177563 h 177563"/>
            <a:gd name="connsiteX6" fmla="*/ 29594 w 925961"/>
            <a:gd name="connsiteY6" fmla="*/ 177563 h 177563"/>
            <a:gd name="connsiteX7" fmla="*/ 0 w 925961"/>
            <a:gd name="connsiteY7" fmla="*/ 147969 h 177563"/>
            <a:gd name="connsiteX8" fmla="*/ 0 w 925961"/>
            <a:gd name="connsiteY8" fmla="*/ 29594 h 1775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ln w="25400">
          <a:solidFill>
            <a:schemeClr val="accent1">
              <a:lumMod val="40000"/>
              <a:lumOff val="60000"/>
            </a:schemeClr>
          </a:solidFill>
        </a:ln>
      </xdr:spPr>
      <xdr:style>
        <a:lnRef idx="1">
          <a:scrgbClr r="0" g="0" b="0"/>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34068" tIns="15018" rIns="34068" bIns="15018" numCol="1" spcCol="1270" anchor="ctr" anchorCtr="0">
          <a:noAutofit/>
        </a:bodyPr>
        <a:lstStyle/>
        <a:p>
          <a:pPr lvl="0" algn="ctr" defTabSz="444500">
            <a:lnSpc>
              <a:spcPct val="90000"/>
            </a:lnSpc>
            <a:spcBef>
              <a:spcPct val="0"/>
            </a:spcBef>
            <a:spcAft>
              <a:spcPct val="35000"/>
            </a:spcAft>
          </a:pPr>
          <a:fld id="{22DFB74B-21C1-7049-8BD1-7D48BB147610}" type="TxLink">
            <a:rPr lang="mr-IN" sz="1200" b="0" i="0" u="none" strike="noStrike" kern="1200">
              <a:solidFill>
                <a:srgbClr val="000000"/>
              </a:solidFill>
              <a:latin typeface="Calibri"/>
              <a:ea typeface="Calibri"/>
              <a:cs typeface="Calibri"/>
            </a:rPr>
            <a:pPr lvl="0" algn="ctr" defTabSz="444500">
              <a:lnSpc>
                <a:spcPct val="90000"/>
              </a:lnSpc>
              <a:spcBef>
                <a:spcPct val="0"/>
              </a:spcBef>
              <a:spcAft>
                <a:spcPct val="35000"/>
              </a:spcAft>
            </a:pPr>
            <a:t>-0,72</a:t>
          </a:fld>
          <a:endParaRPr lang="es-ES_tradnl" sz="1000" b="1" kern="1200"/>
        </a:p>
      </xdr:txBody>
    </xdr:sp>
    <xdr:clientData/>
  </xdr:twoCellAnchor>
  <xdr:twoCellAnchor>
    <xdr:from>
      <xdr:col>16</xdr:col>
      <xdr:colOff>598515</xdr:colOff>
      <xdr:row>14</xdr:row>
      <xdr:rowOff>99725</xdr:rowOff>
    </xdr:from>
    <xdr:to>
      <xdr:col>17</xdr:col>
      <xdr:colOff>419970</xdr:colOff>
      <xdr:row>15</xdr:row>
      <xdr:rowOff>79732</xdr:rowOff>
    </xdr:to>
    <xdr:sp macro="" textlink="Gráficos!S94">
      <xdr:nvSpPr>
        <xdr:cNvPr id="68" name="Forma libre 67">
          <a:extLst>
            <a:ext uri="{FF2B5EF4-FFF2-40B4-BE49-F238E27FC236}">
              <a16:creationId xmlns:a16="http://schemas.microsoft.com/office/drawing/2014/main" id="{00000000-0008-0000-0100-000044000000}"/>
            </a:ext>
          </a:extLst>
        </xdr:cNvPr>
        <xdr:cNvSpPr/>
      </xdr:nvSpPr>
      <xdr:spPr>
        <a:xfrm>
          <a:off x="12732788" y="3193907"/>
          <a:ext cx="468000" cy="187825"/>
        </a:xfrm>
        <a:custGeom>
          <a:avLst/>
          <a:gdLst>
            <a:gd name="connsiteX0" fmla="*/ 0 w 925961"/>
            <a:gd name="connsiteY0" fmla="*/ 29594 h 177563"/>
            <a:gd name="connsiteX1" fmla="*/ 29594 w 925961"/>
            <a:gd name="connsiteY1" fmla="*/ 0 h 177563"/>
            <a:gd name="connsiteX2" fmla="*/ 896367 w 925961"/>
            <a:gd name="connsiteY2" fmla="*/ 0 h 177563"/>
            <a:gd name="connsiteX3" fmla="*/ 925961 w 925961"/>
            <a:gd name="connsiteY3" fmla="*/ 29594 h 177563"/>
            <a:gd name="connsiteX4" fmla="*/ 925961 w 925961"/>
            <a:gd name="connsiteY4" fmla="*/ 147969 h 177563"/>
            <a:gd name="connsiteX5" fmla="*/ 896367 w 925961"/>
            <a:gd name="connsiteY5" fmla="*/ 177563 h 177563"/>
            <a:gd name="connsiteX6" fmla="*/ 29594 w 925961"/>
            <a:gd name="connsiteY6" fmla="*/ 177563 h 177563"/>
            <a:gd name="connsiteX7" fmla="*/ 0 w 925961"/>
            <a:gd name="connsiteY7" fmla="*/ 147969 h 177563"/>
            <a:gd name="connsiteX8" fmla="*/ 0 w 925961"/>
            <a:gd name="connsiteY8" fmla="*/ 29594 h 1775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ln w="25400">
          <a:solidFill>
            <a:schemeClr val="accent1">
              <a:lumMod val="40000"/>
              <a:lumOff val="60000"/>
            </a:schemeClr>
          </a:solidFill>
        </a:ln>
      </xdr:spPr>
      <xdr:style>
        <a:lnRef idx="1">
          <a:scrgbClr r="0" g="0" b="0"/>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34068" tIns="15018" rIns="34068" bIns="15018" numCol="1" spcCol="1270" anchor="ctr" anchorCtr="0">
          <a:noAutofit/>
        </a:bodyPr>
        <a:lstStyle/>
        <a:p>
          <a:pPr lvl="0" algn="ctr" defTabSz="444500">
            <a:lnSpc>
              <a:spcPct val="90000"/>
            </a:lnSpc>
            <a:spcBef>
              <a:spcPct val="0"/>
            </a:spcBef>
            <a:spcAft>
              <a:spcPct val="35000"/>
            </a:spcAft>
          </a:pPr>
          <a:fld id="{FDF69090-8726-3548-8E30-AFD9D975F771}" type="TxLink">
            <a:rPr lang="en-US" sz="1200" b="0" i="0" u="none" strike="noStrike" kern="1200">
              <a:solidFill>
                <a:srgbClr val="000000"/>
              </a:solidFill>
              <a:latin typeface="Calibri"/>
              <a:ea typeface="Calibri"/>
              <a:cs typeface="Calibri"/>
            </a:rPr>
            <a:pPr lvl="0" algn="ctr" defTabSz="444500">
              <a:lnSpc>
                <a:spcPct val="90000"/>
              </a:lnSpc>
              <a:spcBef>
                <a:spcPct val="0"/>
              </a:spcBef>
              <a:spcAft>
                <a:spcPct val="35000"/>
              </a:spcAft>
            </a:pPr>
            <a:t>0,65</a:t>
          </a:fld>
          <a:endParaRPr lang="es-ES_tradnl" sz="1000" b="1" kern="1200"/>
        </a:p>
      </xdr:txBody>
    </xdr:sp>
    <xdr:clientData/>
  </xdr:twoCellAnchor>
  <xdr:twoCellAnchor>
    <xdr:from>
      <xdr:col>19</xdr:col>
      <xdr:colOff>12006</xdr:colOff>
      <xdr:row>14</xdr:row>
      <xdr:rowOff>99725</xdr:rowOff>
    </xdr:from>
    <xdr:to>
      <xdr:col>19</xdr:col>
      <xdr:colOff>480006</xdr:colOff>
      <xdr:row>15</xdr:row>
      <xdr:rowOff>79732</xdr:rowOff>
    </xdr:to>
    <xdr:sp macro="" textlink="Gráficos!S95">
      <xdr:nvSpPr>
        <xdr:cNvPr id="69" name="Forma libre 68">
          <a:extLst>
            <a:ext uri="{FF2B5EF4-FFF2-40B4-BE49-F238E27FC236}">
              <a16:creationId xmlns:a16="http://schemas.microsoft.com/office/drawing/2014/main" id="{00000000-0008-0000-0100-000045000000}"/>
            </a:ext>
          </a:extLst>
        </xdr:cNvPr>
        <xdr:cNvSpPr/>
      </xdr:nvSpPr>
      <xdr:spPr>
        <a:xfrm>
          <a:off x="14085915" y="3193907"/>
          <a:ext cx="468000" cy="187825"/>
        </a:xfrm>
        <a:custGeom>
          <a:avLst/>
          <a:gdLst>
            <a:gd name="connsiteX0" fmla="*/ 0 w 925961"/>
            <a:gd name="connsiteY0" fmla="*/ 29594 h 177563"/>
            <a:gd name="connsiteX1" fmla="*/ 29594 w 925961"/>
            <a:gd name="connsiteY1" fmla="*/ 0 h 177563"/>
            <a:gd name="connsiteX2" fmla="*/ 896367 w 925961"/>
            <a:gd name="connsiteY2" fmla="*/ 0 h 177563"/>
            <a:gd name="connsiteX3" fmla="*/ 925961 w 925961"/>
            <a:gd name="connsiteY3" fmla="*/ 29594 h 177563"/>
            <a:gd name="connsiteX4" fmla="*/ 925961 w 925961"/>
            <a:gd name="connsiteY4" fmla="*/ 147969 h 177563"/>
            <a:gd name="connsiteX5" fmla="*/ 896367 w 925961"/>
            <a:gd name="connsiteY5" fmla="*/ 177563 h 177563"/>
            <a:gd name="connsiteX6" fmla="*/ 29594 w 925961"/>
            <a:gd name="connsiteY6" fmla="*/ 177563 h 177563"/>
            <a:gd name="connsiteX7" fmla="*/ 0 w 925961"/>
            <a:gd name="connsiteY7" fmla="*/ 147969 h 177563"/>
            <a:gd name="connsiteX8" fmla="*/ 0 w 925961"/>
            <a:gd name="connsiteY8" fmla="*/ 29594 h 1775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ln w="25400">
          <a:solidFill>
            <a:schemeClr val="accent1">
              <a:lumMod val="40000"/>
              <a:lumOff val="60000"/>
            </a:schemeClr>
          </a:solidFill>
        </a:ln>
      </xdr:spPr>
      <xdr:style>
        <a:lnRef idx="1">
          <a:scrgbClr r="0" g="0" b="0"/>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34068" tIns="15018" rIns="34068" bIns="15018" numCol="1" spcCol="1270" anchor="ctr" anchorCtr="0">
          <a:noAutofit/>
        </a:bodyPr>
        <a:lstStyle/>
        <a:p>
          <a:pPr lvl="0" algn="ctr" defTabSz="444500">
            <a:lnSpc>
              <a:spcPct val="90000"/>
            </a:lnSpc>
            <a:spcBef>
              <a:spcPct val="0"/>
            </a:spcBef>
            <a:spcAft>
              <a:spcPct val="35000"/>
            </a:spcAft>
          </a:pPr>
          <a:fld id="{179011D4-04B5-204F-B4D0-7286E3A3B7BA}" type="TxLink">
            <a:rPr lang="en-US" sz="1200" b="0" i="0" u="none" strike="noStrike" kern="1200">
              <a:solidFill>
                <a:srgbClr val="000000"/>
              </a:solidFill>
              <a:latin typeface="Calibri"/>
              <a:ea typeface="Calibri"/>
              <a:cs typeface="Calibri"/>
            </a:rPr>
            <a:pPr lvl="0" algn="ctr" defTabSz="444500">
              <a:lnSpc>
                <a:spcPct val="90000"/>
              </a:lnSpc>
              <a:spcBef>
                <a:spcPct val="0"/>
              </a:spcBef>
              <a:spcAft>
                <a:spcPct val="35000"/>
              </a:spcAft>
            </a:pPr>
            <a:t>0,88</a:t>
          </a:fld>
          <a:endParaRPr lang="es-ES_tradnl" sz="1000" b="1" kern="1200"/>
        </a:p>
      </xdr:txBody>
    </xdr:sp>
    <xdr:clientData/>
  </xdr:twoCellAnchor>
  <xdr:twoCellAnchor>
    <xdr:from>
      <xdr:col>20</xdr:col>
      <xdr:colOff>580043</xdr:colOff>
      <xdr:row>14</xdr:row>
      <xdr:rowOff>99725</xdr:rowOff>
    </xdr:from>
    <xdr:to>
      <xdr:col>20</xdr:col>
      <xdr:colOff>1048043</xdr:colOff>
      <xdr:row>15</xdr:row>
      <xdr:rowOff>79732</xdr:rowOff>
    </xdr:to>
    <xdr:sp macro="" textlink="Gráficos!S96">
      <xdr:nvSpPr>
        <xdr:cNvPr id="70" name="Forma libre 69">
          <a:extLst>
            <a:ext uri="{FF2B5EF4-FFF2-40B4-BE49-F238E27FC236}">
              <a16:creationId xmlns:a16="http://schemas.microsoft.com/office/drawing/2014/main" id="{00000000-0008-0000-0100-000046000000}"/>
            </a:ext>
          </a:extLst>
        </xdr:cNvPr>
        <xdr:cNvSpPr/>
      </xdr:nvSpPr>
      <xdr:spPr>
        <a:xfrm>
          <a:off x="15485225" y="3193907"/>
          <a:ext cx="468000" cy="187825"/>
        </a:xfrm>
        <a:custGeom>
          <a:avLst/>
          <a:gdLst>
            <a:gd name="connsiteX0" fmla="*/ 0 w 925961"/>
            <a:gd name="connsiteY0" fmla="*/ 29594 h 177563"/>
            <a:gd name="connsiteX1" fmla="*/ 29594 w 925961"/>
            <a:gd name="connsiteY1" fmla="*/ 0 h 177563"/>
            <a:gd name="connsiteX2" fmla="*/ 896367 w 925961"/>
            <a:gd name="connsiteY2" fmla="*/ 0 h 177563"/>
            <a:gd name="connsiteX3" fmla="*/ 925961 w 925961"/>
            <a:gd name="connsiteY3" fmla="*/ 29594 h 177563"/>
            <a:gd name="connsiteX4" fmla="*/ 925961 w 925961"/>
            <a:gd name="connsiteY4" fmla="*/ 147969 h 177563"/>
            <a:gd name="connsiteX5" fmla="*/ 896367 w 925961"/>
            <a:gd name="connsiteY5" fmla="*/ 177563 h 177563"/>
            <a:gd name="connsiteX6" fmla="*/ 29594 w 925961"/>
            <a:gd name="connsiteY6" fmla="*/ 177563 h 177563"/>
            <a:gd name="connsiteX7" fmla="*/ 0 w 925961"/>
            <a:gd name="connsiteY7" fmla="*/ 147969 h 177563"/>
            <a:gd name="connsiteX8" fmla="*/ 0 w 925961"/>
            <a:gd name="connsiteY8" fmla="*/ 29594 h 1775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ln w="25400">
          <a:solidFill>
            <a:schemeClr val="accent1">
              <a:lumMod val="40000"/>
              <a:lumOff val="60000"/>
            </a:schemeClr>
          </a:solidFill>
        </a:ln>
      </xdr:spPr>
      <xdr:style>
        <a:lnRef idx="1">
          <a:scrgbClr r="0" g="0" b="0"/>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34068" tIns="15018" rIns="34068" bIns="15018" numCol="1" spcCol="1270" anchor="ctr" anchorCtr="0">
          <a:noAutofit/>
        </a:bodyPr>
        <a:lstStyle/>
        <a:p>
          <a:pPr lvl="0" algn="ctr" defTabSz="444500">
            <a:lnSpc>
              <a:spcPct val="90000"/>
            </a:lnSpc>
            <a:spcBef>
              <a:spcPct val="0"/>
            </a:spcBef>
            <a:spcAft>
              <a:spcPct val="35000"/>
            </a:spcAft>
          </a:pPr>
          <a:fld id="{ECF98264-0D00-F242-B9DD-25837A2ED354}" type="TxLink">
            <a:rPr lang="en-US" sz="1200" b="0" i="0" u="none" strike="noStrike" kern="1200">
              <a:solidFill>
                <a:srgbClr val="000000"/>
              </a:solidFill>
              <a:latin typeface="Calibri"/>
              <a:ea typeface="Calibri"/>
              <a:cs typeface="Calibri"/>
            </a:rPr>
            <a:pPr lvl="0" algn="ctr" defTabSz="444500">
              <a:lnSpc>
                <a:spcPct val="90000"/>
              </a:lnSpc>
              <a:spcBef>
                <a:spcPct val="0"/>
              </a:spcBef>
              <a:spcAft>
                <a:spcPct val="35000"/>
              </a:spcAft>
            </a:pPr>
            <a:t>0,74</a:t>
          </a:fld>
          <a:endParaRPr lang="es-ES_tradnl" sz="1000" b="1" kern="1200"/>
        </a:p>
      </xdr:txBody>
    </xdr:sp>
    <xdr:clientData/>
  </xdr:twoCellAnchor>
  <xdr:twoCellAnchor>
    <xdr:from>
      <xdr:col>21</xdr:col>
      <xdr:colOff>686261</xdr:colOff>
      <xdr:row>14</xdr:row>
      <xdr:rowOff>99725</xdr:rowOff>
    </xdr:from>
    <xdr:to>
      <xdr:col>22</xdr:col>
      <xdr:colOff>68988</xdr:colOff>
      <xdr:row>15</xdr:row>
      <xdr:rowOff>79732</xdr:rowOff>
    </xdr:to>
    <xdr:sp macro="" textlink="Gráficos!S97">
      <xdr:nvSpPr>
        <xdr:cNvPr id="71" name="Forma libre 70">
          <a:extLst>
            <a:ext uri="{FF2B5EF4-FFF2-40B4-BE49-F238E27FC236}">
              <a16:creationId xmlns:a16="http://schemas.microsoft.com/office/drawing/2014/main" id="{00000000-0008-0000-0100-000047000000}"/>
            </a:ext>
          </a:extLst>
        </xdr:cNvPr>
        <xdr:cNvSpPr/>
      </xdr:nvSpPr>
      <xdr:spPr>
        <a:xfrm>
          <a:off x="16861443" y="3193907"/>
          <a:ext cx="468000" cy="187825"/>
        </a:xfrm>
        <a:custGeom>
          <a:avLst/>
          <a:gdLst>
            <a:gd name="connsiteX0" fmla="*/ 0 w 925961"/>
            <a:gd name="connsiteY0" fmla="*/ 29594 h 177563"/>
            <a:gd name="connsiteX1" fmla="*/ 29594 w 925961"/>
            <a:gd name="connsiteY1" fmla="*/ 0 h 177563"/>
            <a:gd name="connsiteX2" fmla="*/ 896367 w 925961"/>
            <a:gd name="connsiteY2" fmla="*/ 0 h 177563"/>
            <a:gd name="connsiteX3" fmla="*/ 925961 w 925961"/>
            <a:gd name="connsiteY3" fmla="*/ 29594 h 177563"/>
            <a:gd name="connsiteX4" fmla="*/ 925961 w 925961"/>
            <a:gd name="connsiteY4" fmla="*/ 147969 h 177563"/>
            <a:gd name="connsiteX5" fmla="*/ 896367 w 925961"/>
            <a:gd name="connsiteY5" fmla="*/ 177563 h 177563"/>
            <a:gd name="connsiteX6" fmla="*/ 29594 w 925961"/>
            <a:gd name="connsiteY6" fmla="*/ 177563 h 177563"/>
            <a:gd name="connsiteX7" fmla="*/ 0 w 925961"/>
            <a:gd name="connsiteY7" fmla="*/ 147969 h 177563"/>
            <a:gd name="connsiteX8" fmla="*/ 0 w 925961"/>
            <a:gd name="connsiteY8" fmla="*/ 29594 h 1775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ln w="25400">
          <a:solidFill>
            <a:schemeClr val="accent1">
              <a:lumMod val="40000"/>
              <a:lumOff val="60000"/>
            </a:schemeClr>
          </a:solidFill>
        </a:ln>
      </xdr:spPr>
      <xdr:style>
        <a:lnRef idx="1">
          <a:scrgbClr r="0" g="0" b="0"/>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34068" tIns="15018" rIns="34068" bIns="15018" numCol="1" spcCol="1270" anchor="ctr" anchorCtr="0">
          <a:noAutofit/>
        </a:bodyPr>
        <a:lstStyle/>
        <a:p>
          <a:pPr lvl="0" algn="ctr" defTabSz="444500">
            <a:lnSpc>
              <a:spcPct val="90000"/>
            </a:lnSpc>
            <a:spcBef>
              <a:spcPct val="0"/>
            </a:spcBef>
            <a:spcAft>
              <a:spcPct val="35000"/>
            </a:spcAft>
          </a:pPr>
          <a:fld id="{DD44617F-5C56-9841-88E3-5F4AA0FF5F6E}" type="TxLink">
            <a:rPr lang="en-US" sz="1200" b="0" i="0" u="none" strike="noStrike" kern="1200">
              <a:solidFill>
                <a:srgbClr val="000000"/>
              </a:solidFill>
              <a:latin typeface="Calibri"/>
              <a:ea typeface="Calibri"/>
              <a:cs typeface="Calibri"/>
            </a:rPr>
            <a:pPr lvl="0" algn="ctr" defTabSz="444500">
              <a:lnSpc>
                <a:spcPct val="90000"/>
              </a:lnSpc>
              <a:spcBef>
                <a:spcPct val="0"/>
              </a:spcBef>
              <a:spcAft>
                <a:spcPct val="35000"/>
              </a:spcAft>
            </a:pPr>
            <a:t>0,72</a:t>
          </a:fld>
          <a:endParaRPr lang="es-ES_tradnl" sz="1000" b="1" kern="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15</xdr:col>
      <xdr:colOff>473791</xdr:colOff>
      <xdr:row>0</xdr:row>
      <xdr:rowOff>76200</xdr:rowOff>
    </xdr:from>
    <xdr:to>
      <xdr:col>17</xdr:col>
      <xdr:colOff>219791</xdr:colOff>
      <xdr:row>11</xdr:row>
      <xdr:rowOff>181000</xdr:rowOff>
    </xdr:to>
    <xdr:graphicFrame macro="">
      <xdr:nvGraphicFramePr>
        <xdr:cNvPr id="2" name="Gráfico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253763</xdr:colOff>
      <xdr:row>12</xdr:row>
      <xdr:rowOff>101600</xdr:rowOff>
    </xdr:from>
    <xdr:to>
      <xdr:col>17</xdr:col>
      <xdr:colOff>248163</xdr:colOff>
      <xdr:row>23</xdr:row>
      <xdr:rowOff>201782</xdr:rowOff>
    </xdr:to>
    <xdr:graphicFrame macro="">
      <xdr:nvGraphicFramePr>
        <xdr:cNvPr id="4" name="Gráfico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698229</xdr:colOff>
      <xdr:row>0</xdr:row>
      <xdr:rowOff>76200</xdr:rowOff>
    </xdr:from>
    <xdr:to>
      <xdr:col>13</xdr:col>
      <xdr:colOff>444229</xdr:colOff>
      <xdr:row>11</xdr:row>
      <xdr:rowOff>181000</xdr:rowOff>
    </xdr:to>
    <xdr:graphicFrame macro="">
      <xdr:nvGraphicFramePr>
        <xdr:cNvPr id="5" name="Gráfico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586010</xdr:colOff>
      <xdr:row>0</xdr:row>
      <xdr:rowOff>76200</xdr:rowOff>
    </xdr:from>
    <xdr:to>
      <xdr:col>15</xdr:col>
      <xdr:colOff>332010</xdr:colOff>
      <xdr:row>11</xdr:row>
      <xdr:rowOff>181000</xdr:rowOff>
    </xdr:to>
    <xdr:graphicFrame macro="">
      <xdr:nvGraphicFramePr>
        <xdr:cNvPr id="6" name="Gráfico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70721</xdr:colOff>
      <xdr:row>12</xdr:row>
      <xdr:rowOff>101600</xdr:rowOff>
    </xdr:from>
    <xdr:to>
      <xdr:col>1</xdr:col>
      <xdr:colOff>616821</xdr:colOff>
      <xdr:row>24</xdr:row>
      <xdr:rowOff>3200</xdr:rowOff>
    </xdr:to>
    <xdr:graphicFrame macro="">
      <xdr:nvGraphicFramePr>
        <xdr:cNvPr id="9" name="Gráfico 8">
          <a:extLst>
            <a:ext uri="{FF2B5EF4-FFF2-40B4-BE49-F238E27FC236}">
              <a16:creationId xmlns:a16="http://schemas.microsoft.com/office/drawing/2014/main" id="{00000000-0008-0000-06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762524</xdr:colOff>
      <xdr:row>0</xdr:row>
      <xdr:rowOff>76200</xdr:rowOff>
    </xdr:from>
    <xdr:to>
      <xdr:col>3</xdr:col>
      <xdr:colOff>508524</xdr:colOff>
      <xdr:row>11</xdr:row>
      <xdr:rowOff>181000</xdr:rowOff>
    </xdr:to>
    <xdr:graphicFrame macro="">
      <xdr:nvGraphicFramePr>
        <xdr:cNvPr id="10" name="Gráfico 9">
          <a:extLst>
            <a:ext uri="{FF2B5EF4-FFF2-40B4-BE49-F238E27FC236}">
              <a16:creationId xmlns:a16="http://schemas.microsoft.com/office/drawing/2014/main" id="{00000000-0008-0000-06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74643</xdr:colOff>
      <xdr:row>0</xdr:row>
      <xdr:rowOff>76200</xdr:rowOff>
    </xdr:from>
    <xdr:to>
      <xdr:col>1</xdr:col>
      <xdr:colOff>620743</xdr:colOff>
      <xdr:row>11</xdr:row>
      <xdr:rowOff>181000</xdr:rowOff>
    </xdr:to>
    <xdr:graphicFrame macro="">
      <xdr:nvGraphicFramePr>
        <xdr:cNvPr id="11" name="Gráfico 10">
          <a:extLst>
            <a:ext uri="{FF2B5EF4-FFF2-40B4-BE49-F238E27FC236}">
              <a16:creationId xmlns:a16="http://schemas.microsoft.com/office/drawing/2014/main" id="{00000000-0008-0000-06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70721</xdr:colOff>
      <xdr:row>24</xdr:row>
      <xdr:rowOff>171450</xdr:rowOff>
    </xdr:from>
    <xdr:to>
      <xdr:col>8</xdr:col>
      <xdr:colOff>323621</xdr:colOff>
      <xdr:row>40</xdr:row>
      <xdr:rowOff>124250</xdr:rowOff>
    </xdr:to>
    <xdr:graphicFrame macro="">
      <xdr:nvGraphicFramePr>
        <xdr:cNvPr id="12" name="Gráfico 11">
          <a:extLst>
            <a:ext uri="{FF2B5EF4-FFF2-40B4-BE49-F238E27FC236}">
              <a16:creationId xmlns:a16="http://schemas.microsoft.com/office/drawing/2014/main" id="{00000000-0008-0000-06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495127</xdr:colOff>
      <xdr:row>12</xdr:row>
      <xdr:rowOff>101600</xdr:rowOff>
    </xdr:from>
    <xdr:to>
      <xdr:col>6</xdr:col>
      <xdr:colOff>241127</xdr:colOff>
      <xdr:row>24</xdr:row>
      <xdr:rowOff>3200</xdr:rowOff>
    </xdr:to>
    <xdr:graphicFrame macro="">
      <xdr:nvGraphicFramePr>
        <xdr:cNvPr id="15" name="Gráfico 14">
          <a:extLst>
            <a:ext uri="{FF2B5EF4-FFF2-40B4-BE49-F238E27FC236}">
              <a16:creationId xmlns:a16="http://schemas.microsoft.com/office/drawing/2014/main" id="{00000000-0008-0000-06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778186</xdr:colOff>
      <xdr:row>12</xdr:row>
      <xdr:rowOff>101600</xdr:rowOff>
    </xdr:from>
    <xdr:to>
      <xdr:col>12</xdr:col>
      <xdr:colOff>524186</xdr:colOff>
      <xdr:row>24</xdr:row>
      <xdr:rowOff>3200</xdr:rowOff>
    </xdr:to>
    <xdr:graphicFrame macro="">
      <xdr:nvGraphicFramePr>
        <xdr:cNvPr id="16" name="Gráfico 15">
          <a:extLst>
            <a:ext uri="{FF2B5EF4-FFF2-40B4-BE49-F238E27FC236}">
              <a16:creationId xmlns:a16="http://schemas.microsoft.com/office/drawing/2014/main" id="{00000000-0008-0000-06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674267</xdr:colOff>
      <xdr:row>0</xdr:row>
      <xdr:rowOff>76200</xdr:rowOff>
    </xdr:from>
    <xdr:to>
      <xdr:col>9</xdr:col>
      <xdr:colOff>420267</xdr:colOff>
      <xdr:row>11</xdr:row>
      <xdr:rowOff>181000</xdr:rowOff>
    </xdr:to>
    <xdr:graphicFrame macro="">
      <xdr:nvGraphicFramePr>
        <xdr:cNvPr id="17" name="Gráfico 16">
          <a:extLst>
            <a:ext uri="{FF2B5EF4-FFF2-40B4-BE49-F238E27FC236}">
              <a16:creationId xmlns:a16="http://schemas.microsoft.com/office/drawing/2014/main" id="{00000000-0008-0000-06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538086</xdr:colOff>
      <xdr:row>0</xdr:row>
      <xdr:rowOff>76200</xdr:rowOff>
    </xdr:from>
    <xdr:to>
      <xdr:col>7</xdr:col>
      <xdr:colOff>532486</xdr:colOff>
      <xdr:row>11</xdr:row>
      <xdr:rowOff>176382</xdr:rowOff>
    </xdr:to>
    <xdr:graphicFrame macro="">
      <xdr:nvGraphicFramePr>
        <xdr:cNvPr id="18" name="Gráfico 17">
          <a:extLst>
            <a:ext uri="{FF2B5EF4-FFF2-40B4-BE49-F238E27FC236}">
              <a16:creationId xmlns:a16="http://schemas.microsoft.com/office/drawing/2014/main" id="{00000000-0008-0000-06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562048</xdr:colOff>
      <xdr:row>0</xdr:row>
      <xdr:rowOff>76200</xdr:rowOff>
    </xdr:from>
    <xdr:to>
      <xdr:col>11</xdr:col>
      <xdr:colOff>556448</xdr:colOff>
      <xdr:row>11</xdr:row>
      <xdr:rowOff>176382</xdr:rowOff>
    </xdr:to>
    <xdr:graphicFrame macro="">
      <xdr:nvGraphicFramePr>
        <xdr:cNvPr id="19" name="Gráfico 18">
          <a:extLst>
            <a:ext uri="{FF2B5EF4-FFF2-40B4-BE49-F238E27FC236}">
              <a16:creationId xmlns:a16="http://schemas.microsoft.com/office/drawing/2014/main" id="{00000000-0008-0000-06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361570</xdr:colOff>
      <xdr:row>0</xdr:row>
      <xdr:rowOff>76200</xdr:rowOff>
    </xdr:from>
    <xdr:to>
      <xdr:col>19</xdr:col>
      <xdr:colOff>355970</xdr:colOff>
      <xdr:row>11</xdr:row>
      <xdr:rowOff>176382</xdr:rowOff>
    </xdr:to>
    <xdr:graphicFrame macro="">
      <xdr:nvGraphicFramePr>
        <xdr:cNvPr id="21" name="Gráfico 20">
          <a:extLst>
            <a:ext uri="{FF2B5EF4-FFF2-40B4-BE49-F238E27FC236}">
              <a16:creationId xmlns:a16="http://schemas.microsoft.com/office/drawing/2014/main" id="{00000000-0008-0000-06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152374</xdr:colOff>
      <xdr:row>12</xdr:row>
      <xdr:rowOff>101600</xdr:rowOff>
    </xdr:from>
    <xdr:to>
      <xdr:col>4</xdr:col>
      <xdr:colOff>146774</xdr:colOff>
      <xdr:row>23</xdr:row>
      <xdr:rowOff>201782</xdr:rowOff>
    </xdr:to>
    <xdr:graphicFrame macro="">
      <xdr:nvGraphicFramePr>
        <xdr:cNvPr id="22" name="Gráfico 21">
          <a:extLst>
            <a:ext uri="{FF2B5EF4-FFF2-40B4-BE49-F238E27FC236}">
              <a16:creationId xmlns:a16="http://schemas.microsoft.com/office/drawing/2014/main" id="{00000000-0008-0000-06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59736</xdr:colOff>
      <xdr:row>12</xdr:row>
      <xdr:rowOff>101600</xdr:rowOff>
    </xdr:from>
    <xdr:to>
      <xdr:col>15</xdr:col>
      <xdr:colOff>54136</xdr:colOff>
      <xdr:row>23</xdr:row>
      <xdr:rowOff>201782</xdr:rowOff>
    </xdr:to>
    <xdr:graphicFrame macro="">
      <xdr:nvGraphicFramePr>
        <xdr:cNvPr id="23" name="Gráfico 22">
          <a:extLst>
            <a:ext uri="{FF2B5EF4-FFF2-40B4-BE49-F238E27FC236}">
              <a16:creationId xmlns:a16="http://schemas.microsoft.com/office/drawing/2014/main" id="{00000000-0008-0000-06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xdr:col>
      <xdr:colOff>589480</xdr:colOff>
      <xdr:row>12</xdr:row>
      <xdr:rowOff>101600</xdr:rowOff>
    </xdr:from>
    <xdr:to>
      <xdr:col>8</xdr:col>
      <xdr:colOff>335480</xdr:colOff>
      <xdr:row>24</xdr:row>
      <xdr:rowOff>3200</xdr:rowOff>
    </xdr:to>
    <xdr:graphicFrame macro="">
      <xdr:nvGraphicFramePr>
        <xdr:cNvPr id="24" name="Gráfico 23">
          <a:extLst>
            <a:ext uri="{FF2B5EF4-FFF2-40B4-BE49-F238E27FC236}">
              <a16:creationId xmlns:a16="http://schemas.microsoft.com/office/drawing/2014/main" id="{00000000-0008-0000-06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xdr:col>
      <xdr:colOff>683833</xdr:colOff>
      <xdr:row>12</xdr:row>
      <xdr:rowOff>101600</xdr:rowOff>
    </xdr:from>
    <xdr:to>
      <xdr:col>10</xdr:col>
      <xdr:colOff>429833</xdr:colOff>
      <xdr:row>24</xdr:row>
      <xdr:rowOff>3200</xdr:rowOff>
    </xdr:to>
    <xdr:graphicFrame macro="">
      <xdr:nvGraphicFramePr>
        <xdr:cNvPr id="25" name="Gráfico 24">
          <a:extLst>
            <a:ext uri="{FF2B5EF4-FFF2-40B4-BE49-F238E27FC236}">
              <a16:creationId xmlns:a16="http://schemas.microsoft.com/office/drawing/2014/main" id="{00000000-0008-0000-06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650305</xdr:colOff>
      <xdr:row>0</xdr:row>
      <xdr:rowOff>76200</xdr:rowOff>
    </xdr:from>
    <xdr:to>
      <xdr:col>5</xdr:col>
      <xdr:colOff>396305</xdr:colOff>
      <xdr:row>11</xdr:row>
      <xdr:rowOff>181000</xdr:rowOff>
    </xdr:to>
    <xdr:graphicFrame macro="">
      <xdr:nvGraphicFramePr>
        <xdr:cNvPr id="26" name="Gráfico 25">
          <a:extLst>
            <a:ext uri="{FF2B5EF4-FFF2-40B4-BE49-F238E27FC236}">
              <a16:creationId xmlns:a16="http://schemas.microsoft.com/office/drawing/2014/main" id="{00000000-0008-0000-06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0</xdr:col>
      <xdr:colOff>76200</xdr:colOff>
      <xdr:row>42</xdr:row>
      <xdr:rowOff>127000</xdr:rowOff>
    </xdr:from>
    <xdr:to>
      <xdr:col>19</xdr:col>
      <xdr:colOff>1003300</xdr:colOff>
      <xdr:row>52</xdr:row>
      <xdr:rowOff>14241</xdr:rowOff>
    </xdr:to>
    <xdr:pic>
      <xdr:nvPicPr>
        <xdr:cNvPr id="32" name="Imagen 31">
          <a:extLst>
            <a:ext uri="{FF2B5EF4-FFF2-40B4-BE49-F238E27FC236}">
              <a16:creationId xmlns:a16="http://schemas.microsoft.com/office/drawing/2014/main" id="{00000000-0008-0000-0600-000020000000}"/>
            </a:ext>
          </a:extLst>
        </xdr:cNvPr>
        <xdr:cNvPicPr>
          <a:picLocks noChangeAspect="1"/>
        </xdr:cNvPicPr>
      </xdr:nvPicPr>
      <xdr:blipFill rotWithShape="1">
        <a:blip xmlns:r="http://schemas.openxmlformats.org/officeDocument/2006/relationships" r:embed="rId20">
          <a:alphaModFix amt="29000"/>
        </a:blip>
        <a:srcRect/>
        <a:stretch/>
      </xdr:blipFill>
      <xdr:spPr>
        <a:xfrm>
          <a:off x="76200" y="8128000"/>
          <a:ext cx="16383000" cy="179224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a2" displayName="Tabla2" ref="A1:U132" totalsRowShown="0" headerRowDxfId="28" dataDxfId="26" headerRowBorderDxfId="27" tableBorderDxfId="25">
  <autoFilter ref="A1:U132" xr:uid="{00000000-0009-0000-0100-000002000000}"/>
  <sortState xmlns:xlrd2="http://schemas.microsoft.com/office/spreadsheetml/2017/richdata2" ref="A2:U129">
    <sortCondition ref="C1:C129"/>
  </sortState>
  <tableColumns count="21">
    <tableColumn id="1" xr3:uid="{00000000-0010-0000-0000-000001000000}" name="Ranking Vulnerabilidad" dataDxfId="24">
      <calculatedColumnFormula>_xlfn.RANK.EQ(U2,U$2:U$132)</calculatedColumnFormula>
    </tableColumn>
    <tableColumn id="2" xr3:uid="{00000000-0010-0000-0000-000002000000}" name="DISTRITO" dataDxfId="23"/>
    <tableColumn id="3" xr3:uid="{00000000-0010-0000-0000-000003000000}" name="BARRIO" dataDxfId="22"/>
    <tableColumn id="4" xr3:uid="{00000000-0010-0000-0000-000004000000}" name="Tasa Inmigrantes" dataDxfId="21"/>
    <tableColumn id="5" xr3:uid="{00000000-0010-0000-0000-000005000000}" name="Esperanza de Vida" dataDxfId="20"/>
    <tableColumn id="14" xr3:uid="{00000000-0010-0000-0000-00000E000000}" name="Sin Estudios o Primarios" dataDxfId="19"/>
    <tableColumn id="28" xr3:uid="{00000000-0010-0000-0000-00001C000000}" name="Renta media hogar" dataDxfId="18"/>
    <tableColumn id="7" xr3:uid="{00000000-0010-0000-0000-000007000000}" name="Tasa Paro Absoluto" dataDxfId="17"/>
    <tableColumn id="8" xr3:uid="{00000000-0010-0000-0000-000008000000}" name="Tasa Paro mayores 45" dataDxfId="16"/>
    <tableColumn id="9" xr3:uid="{00000000-0010-0000-0000-000009000000}" name="Tasa de Parados Sin Prestación" dataDxfId="15"/>
    <tableColumn id="10" xr3:uid="{00000000-0010-0000-0000-00000A000000}" name="Valor Catastral" dataDxfId="14"/>
    <tableColumn id="6" xr3:uid="{00000000-0010-0000-0000-000006000000}" name="Tasa demanda Dependientes" dataDxfId="13"/>
    <tableColumn id="29" xr3:uid="{00000000-0010-0000-0000-00001D000000}" name="Familas perceptoras renta mínima" dataDxfId="12"/>
    <tableColumn id="13" xr3:uid="{00000000-0010-0000-0000-00000D000000}" name="Tasa SAD Dependencia" dataDxfId="11"/>
    <tableColumn id="12" xr3:uid="{00000000-0010-0000-0000-00000C000000}" name="Tasa Teleasistencia Dependencia" dataDxfId="10"/>
    <tableColumn id="20" xr3:uid="{00000000-0010-0000-0000-000014000000}" name="Población" dataDxfId="9">
      <calculatedColumnFormula>('Modelo AHP'!$U$37*aux!P5)+('Modelo AHP'!$U$38*aux!R5)+('Modelo AHP'!$U$39*aux!S5)</calculatedColumnFormula>
    </tableColumn>
    <tableColumn id="21" xr3:uid="{00000000-0010-0000-0000-000015000000}" name="Estatus Socio-Económico" dataDxfId="8">
      <calculatedColumnFormula>aux!U5</calculatedColumnFormula>
    </tableColumn>
    <tableColumn id="22" xr3:uid="{00000000-0010-0000-0000-000016000000}" name="Actividad Económica" dataDxfId="7">
      <calculatedColumnFormula>('Modelo AHP'!$U$47*aux!V5)+('Modelo AHP'!$U$48*aux!W5)+('Modelo AHP'!$U$49*aux!X5)</calculatedColumnFormula>
    </tableColumn>
    <tableColumn id="23" xr3:uid="{00000000-0010-0000-0000-000017000000}" name="Desarrollo Urbanístico" dataDxfId="6">
      <calculatedColumnFormula>aux!Z5</calculatedColumnFormula>
    </tableColumn>
    <tableColumn id="11" xr3:uid="{00000000-0010-0000-0000-00000B000000}" name="Necesidades Asistenciales" dataDxfId="5">
      <calculatedColumnFormula>('Modelo AHP'!$U$56*aux!AA5)+('Modelo AHP'!$U$57*aux!AB5)+('Modelo AHP'!$U$58*aux!AC5)+('Modelo AHP'!$U$59*aux!AD5)</calculatedColumnFormula>
    </tableColumn>
    <tableColumn id="24" xr3:uid="{00000000-0010-0000-0000-000018000000}" name="Vulnerabilidad" dataDxfId="4">
      <calculatedColumnFormula>('Modelo AHP'!$U$23*aux!AE5)+('Modelo AHP'!$U$24*aux!AF5)+('Modelo AHP'!$U$25*aux!AG5)+('Modelo AHP'!$U$26*aux!AH5)+('Modelo AHP'!$U$27*aux!AI5)</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giaa.inf.uc3m.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2:U89"/>
  <sheetViews>
    <sheetView showGridLines="0" zoomScale="50" zoomScaleNormal="50" workbookViewId="0">
      <selection activeCell="Y9" sqref="Y9"/>
    </sheetView>
  </sheetViews>
  <sheetFormatPr defaultColWidth="11.19921875" defaultRowHeight="15.6"/>
  <cols>
    <col min="2" max="18" width="9.5" customWidth="1"/>
    <col min="21" max="21" width="14" customWidth="1"/>
  </cols>
  <sheetData>
    <row r="2" spans="1:21" ht="23.4">
      <c r="M2" s="299" t="s">
        <v>190</v>
      </c>
      <c r="N2" s="300"/>
      <c r="O2" s="300"/>
      <c r="P2" s="300"/>
      <c r="Q2" s="300"/>
      <c r="R2" s="300"/>
      <c r="S2" s="300"/>
    </row>
    <row r="3" spans="1:21" ht="23.4">
      <c r="M3" s="300"/>
      <c r="N3" s="300"/>
      <c r="O3" s="300"/>
      <c r="P3" s="301" t="s">
        <v>191</v>
      </c>
      <c r="Q3" s="300"/>
      <c r="R3" s="300"/>
      <c r="S3" s="300"/>
    </row>
    <row r="5" spans="1:21" ht="4.5" customHeight="1"/>
    <row r="6" spans="1:21" s="288" customFormat="1" ht="129.75" customHeight="1">
      <c r="A6" s="295" t="s">
        <v>351</v>
      </c>
      <c r="B6" s="302" t="s">
        <v>352</v>
      </c>
      <c r="C6" s="302"/>
      <c r="D6" s="302"/>
      <c r="E6" s="302"/>
      <c r="F6" s="302"/>
      <c r="G6" s="302"/>
      <c r="H6" s="302"/>
      <c r="I6" s="302"/>
      <c r="J6" s="302"/>
      <c r="K6" s="302"/>
      <c r="L6" s="302"/>
      <c r="M6" s="302"/>
      <c r="N6" s="302"/>
      <c r="O6" s="302"/>
      <c r="P6" s="302"/>
      <c r="Q6" s="302"/>
      <c r="R6" s="302"/>
      <c r="S6" s="302"/>
    </row>
    <row r="7" spans="1:21">
      <c r="A7" s="295"/>
      <c r="B7" s="296"/>
      <c r="C7" s="297"/>
      <c r="D7" s="297"/>
      <c r="E7" s="297"/>
      <c r="F7" s="297"/>
      <c r="G7" s="297"/>
      <c r="H7" s="297"/>
      <c r="I7" s="297"/>
      <c r="J7" s="297"/>
      <c r="K7" s="297"/>
      <c r="L7" s="297"/>
      <c r="M7" s="297"/>
      <c r="N7" s="297"/>
      <c r="O7" s="297"/>
      <c r="P7" s="297"/>
      <c r="Q7" s="297"/>
      <c r="R7" s="297"/>
      <c r="S7" s="297"/>
    </row>
    <row r="8" spans="1:21">
      <c r="A8" s="298"/>
      <c r="P8" s="82"/>
    </row>
    <row r="9" spans="1:21" ht="46.2">
      <c r="A9" s="67" t="s">
        <v>172</v>
      </c>
    </row>
    <row r="10" spans="1:21" ht="23.4">
      <c r="A10" s="89" t="s">
        <v>204</v>
      </c>
      <c r="B10" s="90"/>
      <c r="C10" s="90"/>
      <c r="D10" s="90"/>
      <c r="E10" s="90"/>
      <c r="F10" s="90"/>
      <c r="G10" s="90"/>
      <c r="H10" s="90"/>
      <c r="I10" s="90"/>
      <c r="J10" s="90"/>
      <c r="K10" s="90"/>
      <c r="L10" s="90"/>
      <c r="M10" s="90"/>
      <c r="N10" s="90"/>
      <c r="O10" s="90"/>
      <c r="P10" s="90"/>
      <c r="Q10" s="90"/>
      <c r="R10" s="90"/>
      <c r="S10" s="90"/>
      <c r="T10" s="90"/>
      <c r="U10" s="90"/>
    </row>
    <row r="11" spans="1:21" ht="18">
      <c r="A11" s="66" t="s">
        <v>173</v>
      </c>
    </row>
    <row r="12" spans="1:21" ht="18">
      <c r="A12" s="66" t="s">
        <v>184</v>
      </c>
    </row>
    <row r="13" spans="1:21" ht="18">
      <c r="A13" s="66" t="s">
        <v>185</v>
      </c>
    </row>
    <row r="14" spans="1:21" s="66" customFormat="1" ht="18"/>
    <row r="15" spans="1:21" s="66" customFormat="1" ht="18">
      <c r="A15" s="66" t="s">
        <v>181</v>
      </c>
    </row>
    <row r="16" spans="1:21" ht="18">
      <c r="A16" s="66" t="s">
        <v>174</v>
      </c>
    </row>
    <row r="18" spans="1:18">
      <c r="A18" s="4"/>
      <c r="B18" s="303" t="s">
        <v>162</v>
      </c>
      <c r="C18" s="303"/>
      <c r="D18" s="303"/>
      <c r="E18" s="303"/>
      <c r="F18" s="303"/>
      <c r="G18" s="303"/>
      <c r="H18" s="303"/>
      <c r="I18" s="303"/>
      <c r="J18" s="303"/>
      <c r="K18" s="303"/>
      <c r="L18" s="303"/>
      <c r="M18" s="303"/>
      <c r="N18" s="303"/>
      <c r="O18" s="303"/>
      <c r="P18" s="303"/>
      <c r="Q18" s="303"/>
      <c r="R18" s="303"/>
    </row>
    <row r="19" spans="1:18">
      <c r="A19" s="30"/>
      <c r="B19" s="304" t="s">
        <v>170</v>
      </c>
      <c r="C19" s="305"/>
      <c r="D19" s="305"/>
      <c r="E19" s="305"/>
      <c r="F19" s="305"/>
      <c r="G19" s="305"/>
      <c r="H19" s="305"/>
      <c r="I19" s="306"/>
      <c r="J19" s="76" t="s">
        <v>163</v>
      </c>
      <c r="K19" s="307" t="s">
        <v>169</v>
      </c>
      <c r="L19" s="308"/>
      <c r="M19" s="308"/>
      <c r="N19" s="308"/>
      <c r="O19" s="308"/>
      <c r="P19" s="308"/>
      <c r="Q19" s="308"/>
      <c r="R19" s="309"/>
    </row>
    <row r="20" spans="1:18" ht="16.2" thickBot="1">
      <c r="A20" s="68" t="s">
        <v>175</v>
      </c>
      <c r="B20" s="69" t="s">
        <v>167</v>
      </c>
      <c r="C20" s="70"/>
      <c r="D20" s="70" t="s">
        <v>164</v>
      </c>
      <c r="E20" s="70"/>
      <c r="F20" s="70" t="s">
        <v>165</v>
      </c>
      <c r="G20" s="70"/>
      <c r="H20" s="70" t="s">
        <v>166</v>
      </c>
      <c r="I20" s="71"/>
      <c r="J20" s="72" t="s">
        <v>168</v>
      </c>
      <c r="K20" s="73"/>
      <c r="L20" s="74" t="s">
        <v>166</v>
      </c>
      <c r="M20" s="74"/>
      <c r="N20" s="74" t="s">
        <v>165</v>
      </c>
      <c r="O20" s="74"/>
      <c r="P20" s="74" t="s">
        <v>164</v>
      </c>
      <c r="Q20" s="74"/>
      <c r="R20" s="75" t="s">
        <v>167</v>
      </c>
    </row>
    <row r="21" spans="1:18" ht="26.4" thickTop="1">
      <c r="A21" s="3" t="s">
        <v>176</v>
      </c>
      <c r="B21" s="34"/>
      <c r="C21" s="35"/>
      <c r="D21" s="35"/>
      <c r="E21" s="35"/>
      <c r="F21" s="35"/>
      <c r="G21" s="35"/>
      <c r="H21" s="35" t="s">
        <v>1</v>
      </c>
      <c r="I21" s="36"/>
      <c r="J21" s="42"/>
      <c r="K21" s="47"/>
      <c r="L21" s="48"/>
      <c r="M21" s="48"/>
      <c r="N21" s="48"/>
      <c r="O21" s="48"/>
      <c r="P21" s="48"/>
      <c r="Q21" s="48"/>
      <c r="R21" s="49"/>
    </row>
    <row r="22" spans="1:18" ht="18">
      <c r="A22" s="66" t="s">
        <v>182</v>
      </c>
    </row>
    <row r="23" spans="1:18" ht="18">
      <c r="A23" s="66" t="s">
        <v>338</v>
      </c>
      <c r="M23" s="66"/>
    </row>
    <row r="26" spans="1:18">
      <c r="B26" s="14" t="s">
        <v>9</v>
      </c>
      <c r="C26" s="59" t="s">
        <v>175</v>
      </c>
      <c r="D26" s="78" t="s">
        <v>177</v>
      </c>
      <c r="E26" s="79" t="s">
        <v>178</v>
      </c>
    </row>
    <row r="27" spans="1:18">
      <c r="B27" s="289">
        <v>0.25</v>
      </c>
      <c r="C27" s="80" t="s">
        <v>177</v>
      </c>
      <c r="D27" s="77">
        <v>1</v>
      </c>
      <c r="E27" s="77">
        <v>0.33333333333333331</v>
      </c>
    </row>
    <row r="28" spans="1:18">
      <c r="B28" s="289">
        <v>0.75</v>
      </c>
      <c r="C28" s="81" t="s">
        <v>178</v>
      </c>
      <c r="D28" s="77">
        <v>3</v>
      </c>
      <c r="E28" s="77">
        <v>1</v>
      </c>
    </row>
    <row r="29" spans="1:18" ht="18">
      <c r="A29" s="66" t="s">
        <v>179</v>
      </c>
    </row>
    <row r="30" spans="1:18" s="66" customFormat="1" ht="18">
      <c r="A30" s="66" t="s">
        <v>183</v>
      </c>
      <c r="J30" s="66" t="s">
        <v>180</v>
      </c>
    </row>
    <row r="31" spans="1:18" ht="18">
      <c r="A31" s="66" t="s">
        <v>192</v>
      </c>
    </row>
    <row r="32" spans="1:18" ht="18">
      <c r="A32" s="66" t="s">
        <v>288</v>
      </c>
    </row>
    <row r="33" spans="1:21" ht="18">
      <c r="A33" s="66"/>
    </row>
    <row r="34" spans="1:21" ht="23.4">
      <c r="A34" s="89" t="s">
        <v>205</v>
      </c>
      <c r="B34" s="90"/>
      <c r="C34" s="90"/>
      <c r="D34" s="90"/>
      <c r="E34" s="90"/>
      <c r="F34" s="90"/>
      <c r="G34" s="90"/>
      <c r="H34" s="90"/>
      <c r="I34" s="90"/>
      <c r="J34" s="90"/>
      <c r="K34" s="90"/>
      <c r="L34" s="90"/>
      <c r="M34" s="90"/>
      <c r="N34" s="90"/>
      <c r="O34" s="90"/>
      <c r="P34" s="90"/>
      <c r="Q34" s="90"/>
      <c r="R34" s="90"/>
      <c r="S34" s="90"/>
      <c r="T34" s="90"/>
      <c r="U34" s="90"/>
    </row>
    <row r="35" spans="1:21" ht="18">
      <c r="A35" s="66" t="s">
        <v>200</v>
      </c>
    </row>
    <row r="36" spans="1:21" ht="18">
      <c r="A36" s="66" t="s">
        <v>186</v>
      </c>
    </row>
    <row r="37" spans="1:21" ht="18">
      <c r="A37" s="66" t="s">
        <v>206</v>
      </c>
    </row>
    <row r="38" spans="1:21" ht="18">
      <c r="A38" s="66" t="s">
        <v>193</v>
      </c>
    </row>
    <row r="39" spans="1:21" ht="18">
      <c r="A39" s="66"/>
    </row>
    <row r="40" spans="1:21" ht="23.4">
      <c r="A40" s="89" t="s">
        <v>339</v>
      </c>
      <c r="B40" s="89"/>
      <c r="C40" s="89"/>
      <c r="D40" s="89"/>
      <c r="E40" s="89"/>
      <c r="F40" s="89"/>
      <c r="G40" s="89"/>
      <c r="H40" s="89"/>
      <c r="I40" s="89"/>
      <c r="J40" s="89"/>
      <c r="K40" s="89"/>
      <c r="L40" s="89"/>
      <c r="M40" s="89"/>
      <c r="N40" s="89"/>
      <c r="O40" s="89"/>
      <c r="P40" s="89"/>
      <c r="Q40" s="89"/>
      <c r="R40" s="89"/>
      <c r="S40" s="89"/>
      <c r="T40" s="89"/>
      <c r="U40" s="89"/>
    </row>
    <row r="41" spans="1:21" ht="23.4">
      <c r="A41" s="290" t="s">
        <v>340</v>
      </c>
      <c r="B41" s="291"/>
      <c r="C41" s="291"/>
      <c r="D41" s="291"/>
      <c r="E41" s="291"/>
      <c r="F41" s="291"/>
      <c r="G41" s="291"/>
      <c r="H41" s="291"/>
      <c r="I41" s="291"/>
      <c r="J41" s="291"/>
      <c r="K41" s="291"/>
      <c r="L41" s="291"/>
      <c r="M41" s="291"/>
      <c r="N41" s="291"/>
      <c r="O41" s="291"/>
      <c r="P41" s="291"/>
      <c r="Q41" s="291"/>
      <c r="R41" s="291"/>
      <c r="S41" s="291"/>
      <c r="T41" s="291"/>
      <c r="U41" s="291"/>
    </row>
    <row r="42" spans="1:21" ht="18">
      <c r="A42" s="66"/>
    </row>
    <row r="43" spans="1:21" ht="23.4">
      <c r="A43" s="89" t="s">
        <v>341</v>
      </c>
      <c r="B43" s="89"/>
      <c r="C43" s="89"/>
      <c r="D43" s="89"/>
      <c r="E43" s="89"/>
      <c r="F43" s="89"/>
      <c r="G43" s="89"/>
      <c r="H43" s="89"/>
      <c r="I43" s="89"/>
      <c r="J43" s="89"/>
      <c r="K43" s="89"/>
      <c r="L43" s="89"/>
      <c r="M43" s="89"/>
      <c r="N43" s="89"/>
      <c r="O43" s="89"/>
      <c r="P43" s="89"/>
      <c r="Q43" s="89"/>
      <c r="R43" s="89"/>
      <c r="S43" s="89"/>
      <c r="T43" s="89"/>
      <c r="U43" s="89"/>
    </row>
    <row r="44" spans="1:21" ht="18">
      <c r="A44" s="66" t="s">
        <v>342</v>
      </c>
    </row>
    <row r="45" spans="1:21" ht="18">
      <c r="A45" s="66"/>
      <c r="B45" s="7"/>
      <c r="C45" s="7"/>
      <c r="D45" s="7"/>
      <c r="E45" s="7"/>
      <c r="F45" s="7"/>
      <c r="G45" s="7"/>
      <c r="H45" s="7"/>
      <c r="I45" s="7"/>
      <c r="J45" s="7"/>
      <c r="K45" s="7"/>
      <c r="L45" s="7"/>
      <c r="M45" s="7"/>
      <c r="N45" s="7"/>
      <c r="O45" s="7"/>
      <c r="P45" s="7"/>
      <c r="Q45" s="7"/>
      <c r="R45" s="7"/>
      <c r="S45" s="7"/>
      <c r="T45" s="7"/>
      <c r="U45" s="7"/>
    </row>
    <row r="46" spans="1:21" ht="23.4">
      <c r="A46" s="89" t="s">
        <v>268</v>
      </c>
      <c r="B46" s="90"/>
      <c r="C46" s="90"/>
      <c r="D46" s="90"/>
      <c r="E46" s="90"/>
      <c r="F46" s="90"/>
      <c r="G46" s="90"/>
      <c r="H46" s="90"/>
      <c r="I46" s="90"/>
      <c r="J46" s="90"/>
      <c r="K46" s="90"/>
      <c r="L46" s="90"/>
      <c r="M46" s="90"/>
      <c r="N46" s="90"/>
      <c r="O46" s="90"/>
      <c r="P46" s="90"/>
      <c r="Q46" s="90"/>
      <c r="R46" s="90"/>
      <c r="S46" s="90"/>
      <c r="T46" s="90"/>
      <c r="U46" s="90"/>
    </row>
    <row r="47" spans="1:21" ht="18">
      <c r="A47" s="66" t="s">
        <v>269</v>
      </c>
    </row>
    <row r="49" spans="1:21" ht="23.4">
      <c r="A49" s="89" t="s">
        <v>343</v>
      </c>
      <c r="B49" s="90"/>
      <c r="C49" s="90"/>
      <c r="D49" s="90"/>
      <c r="E49" s="90"/>
      <c r="F49" s="90"/>
      <c r="G49" s="90"/>
      <c r="H49" s="90"/>
      <c r="I49" s="90"/>
      <c r="J49" s="90"/>
      <c r="K49" s="90"/>
      <c r="L49" s="90"/>
      <c r="M49" s="90"/>
      <c r="N49" s="90"/>
      <c r="O49" s="90"/>
      <c r="P49" s="90"/>
      <c r="Q49" s="90"/>
      <c r="R49" s="90"/>
      <c r="S49" s="90"/>
      <c r="T49" s="90"/>
      <c r="U49" s="90"/>
    </row>
    <row r="50" spans="1:21">
      <c r="A50" s="83" t="s">
        <v>194</v>
      </c>
    </row>
    <row r="51" spans="1:21">
      <c r="A51" s="83" t="s">
        <v>195</v>
      </c>
    </row>
    <row r="52" spans="1:21">
      <c r="A52" s="83"/>
    </row>
    <row r="53" spans="1:21">
      <c r="A53" s="83" t="s">
        <v>189</v>
      </c>
    </row>
    <row r="54" spans="1:21">
      <c r="A54" s="83"/>
    </row>
    <row r="55" spans="1:21">
      <c r="A55" s="83" t="s">
        <v>187</v>
      </c>
    </row>
    <row r="56" spans="1:21">
      <c r="A56" s="83" t="s">
        <v>188</v>
      </c>
    </row>
    <row r="58" spans="1:21" ht="23.4">
      <c r="A58" s="89" t="s">
        <v>196</v>
      </c>
      <c r="B58" s="90"/>
      <c r="C58" s="90"/>
      <c r="D58" s="90"/>
      <c r="E58" s="90"/>
      <c r="F58" s="90"/>
      <c r="G58" s="90"/>
      <c r="H58" s="90"/>
      <c r="I58" s="90"/>
      <c r="J58" s="90"/>
      <c r="K58" s="90"/>
      <c r="L58" s="90"/>
      <c r="M58" s="90"/>
      <c r="N58" s="90"/>
      <c r="O58" s="90"/>
      <c r="P58" s="90"/>
      <c r="Q58" s="90"/>
      <c r="R58" s="90"/>
      <c r="S58" s="90"/>
      <c r="T58" s="90"/>
      <c r="U58" s="90"/>
    </row>
    <row r="59" spans="1:21">
      <c r="A59" s="83" t="s">
        <v>293</v>
      </c>
      <c r="D59" t="s">
        <v>292</v>
      </c>
      <c r="H59" t="s">
        <v>291</v>
      </c>
    </row>
    <row r="60" spans="1:21">
      <c r="A60" s="83" t="s">
        <v>197</v>
      </c>
      <c r="D60" t="s">
        <v>286</v>
      </c>
      <c r="H60" t="s">
        <v>290</v>
      </c>
    </row>
    <row r="61" spans="1:21">
      <c r="A61" s="83" t="s">
        <v>198</v>
      </c>
      <c r="D61" t="s">
        <v>287</v>
      </c>
    </row>
    <row r="62" spans="1:21">
      <c r="A62" s="83" t="s">
        <v>199</v>
      </c>
      <c r="D62" s="83" t="s">
        <v>285</v>
      </c>
    </row>
    <row r="63" spans="1:21">
      <c r="A63" s="83"/>
      <c r="D63" s="83" t="s">
        <v>284</v>
      </c>
    </row>
    <row r="64" spans="1:21">
      <c r="A64" s="83"/>
      <c r="D64" s="83"/>
    </row>
    <row r="65" spans="1:21" ht="23.4">
      <c r="A65" s="89" t="s">
        <v>344</v>
      </c>
      <c r="B65" s="90"/>
      <c r="C65" s="90"/>
      <c r="D65" s="90"/>
      <c r="E65" s="90"/>
      <c r="F65" s="90"/>
      <c r="G65" s="90"/>
      <c r="H65" s="90"/>
      <c r="I65" s="90"/>
      <c r="J65" s="90"/>
      <c r="K65" s="90"/>
      <c r="L65" s="90"/>
      <c r="M65" s="90"/>
      <c r="N65" s="90"/>
      <c r="O65" s="90"/>
      <c r="P65" s="90"/>
      <c r="Q65" s="90"/>
      <c r="R65" s="90"/>
      <c r="S65" s="90"/>
      <c r="T65" s="90"/>
      <c r="U65" s="90"/>
    </row>
    <row r="66" spans="1:21">
      <c r="A66" s="83" t="s">
        <v>345</v>
      </c>
      <c r="D66" s="83"/>
    </row>
    <row r="67" spans="1:21">
      <c r="A67" s="83" t="s">
        <v>346</v>
      </c>
      <c r="D67" s="83"/>
    </row>
    <row r="68" spans="1:21">
      <c r="A68" s="83" t="s">
        <v>347</v>
      </c>
      <c r="D68" s="83"/>
    </row>
    <row r="69" spans="1:21">
      <c r="A69" s="83"/>
      <c r="D69" s="83"/>
    </row>
    <row r="70" spans="1:21" ht="23.4">
      <c r="A70" s="89" t="s">
        <v>348</v>
      </c>
      <c r="B70" s="90"/>
      <c r="C70" s="90"/>
      <c r="D70" s="90"/>
      <c r="E70" s="90"/>
      <c r="F70" s="90"/>
      <c r="G70" s="90"/>
      <c r="H70" s="90"/>
      <c r="I70" s="90"/>
      <c r="J70" s="90"/>
      <c r="K70" s="90"/>
      <c r="L70" s="90"/>
      <c r="M70" s="90"/>
      <c r="N70" s="90"/>
      <c r="O70" s="90"/>
      <c r="P70" s="90"/>
      <c r="Q70" s="90"/>
      <c r="R70" s="90"/>
      <c r="S70" s="90"/>
      <c r="T70" s="90"/>
      <c r="U70" s="90"/>
    </row>
    <row r="71" spans="1:21" s="293" customFormat="1">
      <c r="A71" s="292" t="s">
        <v>349</v>
      </c>
      <c r="D71" s="292"/>
    </row>
    <row r="72" spans="1:21" s="293" customFormat="1">
      <c r="A72" s="292"/>
      <c r="D72" s="292"/>
    </row>
    <row r="73" spans="1:21" s="293" customFormat="1">
      <c r="A73"/>
      <c r="B73"/>
      <c r="C73"/>
      <c r="D73"/>
      <c r="E73"/>
      <c r="F73"/>
    </row>
    <row r="74" spans="1:21" s="293" customFormat="1" ht="23.4">
      <c r="A74" s="294" t="s">
        <v>350</v>
      </c>
      <c r="B74" s="90"/>
      <c r="C74" s="90"/>
      <c r="D74" s="89"/>
      <c r="E74" s="90"/>
      <c r="F74" s="90"/>
      <c r="G74" s="89"/>
      <c r="H74" s="90"/>
      <c r="I74" s="90"/>
      <c r="J74" s="89"/>
      <c r="K74" s="90"/>
      <c r="L74" s="90"/>
      <c r="M74" s="89"/>
      <c r="N74" s="90"/>
      <c r="O74" s="90"/>
      <c r="P74" s="89"/>
      <c r="Q74" s="90"/>
      <c r="R74" s="90"/>
      <c r="S74" s="89"/>
      <c r="T74" s="90"/>
      <c r="U74" s="90"/>
    </row>
    <row r="75" spans="1:21">
      <c r="A75" s="292"/>
    </row>
    <row r="76" spans="1:21">
      <c r="A76" s="292"/>
    </row>
    <row r="77" spans="1:21" ht="15.75" customHeight="1">
      <c r="A77" s="83"/>
      <c r="D77" s="83"/>
      <c r="F77" s="310"/>
      <c r="G77" s="310"/>
      <c r="H77" s="310"/>
      <c r="I77" s="310"/>
      <c r="J77" s="310"/>
      <c r="K77" s="310"/>
      <c r="L77" s="310"/>
      <c r="M77" s="310"/>
      <c r="N77" s="310"/>
      <c r="O77" s="311"/>
      <c r="P77" s="311"/>
      <c r="Q77" s="311"/>
      <c r="R77" s="311"/>
    </row>
    <row r="78" spans="1:21" ht="15.75" customHeight="1">
      <c r="A78" s="83"/>
      <c r="D78" s="83"/>
      <c r="F78" s="310"/>
      <c r="G78" s="310"/>
      <c r="H78" s="310"/>
      <c r="I78" s="310"/>
      <c r="J78" s="310"/>
      <c r="K78" s="310"/>
      <c r="L78" s="310"/>
      <c r="M78" s="310"/>
      <c r="N78" s="310"/>
      <c r="O78" s="311"/>
      <c r="P78" s="311"/>
      <c r="Q78" s="311"/>
      <c r="R78" s="311"/>
    </row>
    <row r="79" spans="1:21" ht="15.75" customHeight="1">
      <c r="A79" s="83"/>
      <c r="D79" s="83"/>
      <c r="F79" s="310"/>
      <c r="G79" s="310"/>
      <c r="H79" s="310"/>
      <c r="I79" s="310"/>
      <c r="J79" s="310"/>
      <c r="K79" s="310"/>
      <c r="L79" s="310"/>
      <c r="M79" s="310"/>
      <c r="N79" s="310"/>
      <c r="O79" s="311"/>
      <c r="P79" s="311"/>
      <c r="Q79" s="311"/>
      <c r="R79" s="311"/>
    </row>
    <row r="80" spans="1:21" ht="15.75" customHeight="1">
      <c r="A80" s="83"/>
      <c r="D80" s="83"/>
      <c r="F80" s="310"/>
      <c r="G80" s="310"/>
      <c r="H80" s="310"/>
      <c r="I80" s="310"/>
      <c r="J80" s="310"/>
      <c r="K80" s="310"/>
      <c r="L80" s="310"/>
      <c r="M80" s="310"/>
      <c r="N80" s="310"/>
      <c r="O80" s="311"/>
      <c r="P80" s="311"/>
      <c r="Q80" s="311"/>
      <c r="R80" s="311"/>
    </row>
    <row r="81" spans="1:4">
      <c r="A81" s="83"/>
      <c r="D81" s="83"/>
    </row>
    <row r="82" spans="1:4">
      <c r="A82" s="83"/>
      <c r="D82" s="83"/>
    </row>
    <row r="83" spans="1:4" ht="15.75" customHeight="1">
      <c r="A83" s="83"/>
      <c r="D83" s="83"/>
    </row>
    <row r="84" spans="1:4">
      <c r="A84" s="83"/>
      <c r="D84" s="83"/>
    </row>
    <row r="85" spans="1:4">
      <c r="A85" s="83"/>
      <c r="D85" s="83"/>
    </row>
    <row r="86" spans="1:4">
      <c r="A86" s="83"/>
      <c r="D86" s="83"/>
    </row>
    <row r="87" spans="1:4">
      <c r="A87" s="83"/>
      <c r="D87" s="83"/>
    </row>
    <row r="89" spans="1:4">
      <c r="D89" s="83"/>
    </row>
  </sheetData>
  <mergeCells count="5">
    <mergeCell ref="B6:S6"/>
    <mergeCell ref="B18:R18"/>
    <mergeCell ref="B19:I19"/>
    <mergeCell ref="K19:R19"/>
    <mergeCell ref="F77:R80"/>
  </mergeCells>
  <conditionalFormatting sqref="B27:B28">
    <cfRule type="dataBar" priority="1">
      <dataBar>
        <cfvo type="num" val="0"/>
        <cfvo type="num" val="1"/>
        <color theme="9"/>
      </dataBar>
      <extLst>
        <ext xmlns:x14="http://schemas.microsoft.com/office/spreadsheetml/2009/9/main" uri="{B025F937-C7B1-47D3-B67F-A62EFF666E3E}">
          <x14:id>{496E28A7-BFB0-4FA0-8B25-FD501A1F20A5}</x14:id>
        </ext>
      </extLst>
    </cfRule>
  </conditionalFormatting>
  <hyperlinks>
    <hyperlink ref="P3" r:id="rId1" xr:uid="{00000000-0004-0000-0000-000000000000}"/>
  </hyperlinks>
  <pageMargins left="0.7" right="0.7" top="0.75" bottom="0.75" header="0.3" footer="0.3"/>
  <pageSetup paperSize="9" orientation="landscape" r:id="rId2"/>
  <drawing r:id="rId3"/>
  <extLst>
    <ext xmlns:x14="http://schemas.microsoft.com/office/spreadsheetml/2009/9/main" uri="{78C0D931-6437-407d-A8EE-F0AAD7539E65}">
      <x14:conditionalFormattings>
        <x14:conditionalFormatting xmlns:xm="http://schemas.microsoft.com/office/excel/2006/main">
          <x14:cfRule type="dataBar" id="{496E28A7-BFB0-4FA0-8B25-FD501A1F20A5}">
            <x14:dataBar minLength="0" maxLength="100" border="1" direction="rightToLeft" negativeBarBorderColorSameAsPositive="0">
              <x14:cfvo type="num">
                <xm:f>0</xm:f>
              </x14:cfvo>
              <x14:cfvo type="num">
                <xm:f>1</xm:f>
              </x14:cfvo>
              <x14:borderColor theme="9" tint="-0.499984740745262"/>
              <x14:negativeFillColor rgb="FFFF0000"/>
              <x14:negativeBorderColor rgb="FFFF0000"/>
              <x14:axisColor rgb="FF000000"/>
            </x14:dataBar>
          </x14:cfRule>
          <xm:sqref>B27:B28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AF67"/>
  <sheetViews>
    <sheetView showGridLines="0" showRowColHeaders="0" zoomScale="50" zoomScaleNormal="50" zoomScalePageLayoutView="60" workbookViewId="0">
      <selection activeCell="X12" sqref="X12"/>
    </sheetView>
  </sheetViews>
  <sheetFormatPr defaultColWidth="11.19921875" defaultRowHeight="15.6"/>
  <cols>
    <col min="2" max="2" width="29.5" customWidth="1"/>
    <col min="3" max="19" width="8.5" customWidth="1"/>
    <col min="21" max="21" width="16.69921875" customWidth="1"/>
    <col min="22" max="27" width="14.19921875" customWidth="1"/>
    <col min="28" max="29" width="12.19921875" bestFit="1" customWidth="1"/>
    <col min="30" max="30" width="11.19921875" bestFit="1" customWidth="1"/>
    <col min="31" max="31" width="3.5" bestFit="1" customWidth="1"/>
    <col min="32" max="32" width="16.5" bestFit="1" customWidth="1"/>
  </cols>
  <sheetData>
    <row r="2" spans="1:30" ht="31.2">
      <c r="B2" s="176" t="s">
        <v>172</v>
      </c>
    </row>
    <row r="16" spans="1:30">
      <c r="A16" s="54"/>
      <c r="B16" s="54"/>
      <c r="C16" s="54"/>
      <c r="D16" s="54"/>
      <c r="E16" s="54"/>
      <c r="F16" s="54"/>
      <c r="G16" s="54"/>
      <c r="H16" s="54"/>
      <c r="I16" s="54"/>
      <c r="J16" s="54"/>
      <c r="K16" s="54"/>
      <c r="L16" s="54"/>
      <c r="M16" s="54"/>
      <c r="N16" s="54"/>
      <c r="O16" s="54"/>
      <c r="P16" s="54"/>
      <c r="Q16" s="54"/>
      <c r="R16" s="54"/>
      <c r="S16" s="54"/>
      <c r="T16" s="54"/>
      <c r="U16" s="54"/>
      <c r="V16" s="54"/>
      <c r="W16" s="54"/>
      <c r="X16" s="54"/>
      <c r="Y16" s="54"/>
      <c r="Z16" s="54"/>
      <c r="AA16" s="54"/>
      <c r="AB16" s="54"/>
      <c r="AC16" s="54"/>
      <c r="AD16" s="54"/>
    </row>
    <row r="17" spans="1:32">
      <c r="A17" s="54"/>
      <c r="B17" s="54"/>
      <c r="C17" s="54"/>
      <c r="D17" s="54"/>
      <c r="E17" s="54"/>
      <c r="F17" s="54"/>
      <c r="G17" s="54"/>
      <c r="H17" s="54"/>
      <c r="I17" s="54"/>
      <c r="J17" s="54"/>
      <c r="K17" s="54"/>
      <c r="L17" s="54"/>
      <c r="M17" s="54"/>
      <c r="N17" s="54"/>
      <c r="O17" s="54"/>
      <c r="P17" s="54"/>
      <c r="Q17" s="54"/>
      <c r="R17" s="54"/>
      <c r="S17" s="54"/>
      <c r="T17" s="54"/>
      <c r="U17" s="54"/>
      <c r="V17" s="54"/>
      <c r="W17" s="54"/>
      <c r="X17" s="54"/>
      <c r="Y17" s="54"/>
      <c r="Z17" s="54"/>
      <c r="AA17" s="54"/>
      <c r="AB17" s="54"/>
      <c r="AC17" s="54"/>
      <c r="AD17" s="54"/>
    </row>
    <row r="18" spans="1:32">
      <c r="A18" s="54"/>
      <c r="B18" s="54"/>
      <c r="C18" s="54"/>
      <c r="D18" s="54"/>
      <c r="E18" s="54"/>
      <c r="F18" s="54"/>
      <c r="G18" s="54"/>
      <c r="H18" s="54"/>
      <c r="I18" s="54"/>
      <c r="J18" s="54"/>
      <c r="K18" s="54"/>
      <c r="L18" s="54"/>
      <c r="M18" s="54"/>
      <c r="N18" s="54"/>
      <c r="O18" s="54"/>
      <c r="P18" s="54"/>
      <c r="Q18" s="54"/>
      <c r="R18" s="54"/>
      <c r="S18" s="54"/>
      <c r="T18" s="54"/>
      <c r="U18" s="54"/>
      <c r="V18" s="54"/>
      <c r="W18" s="54"/>
      <c r="X18" s="54"/>
      <c r="Y18" s="54"/>
      <c r="Z18" s="54"/>
      <c r="AA18" s="54"/>
      <c r="AB18" s="54"/>
      <c r="AC18" s="54"/>
      <c r="AD18" s="54"/>
    </row>
    <row r="19" spans="1:32">
      <c r="A19" s="54"/>
      <c r="B19" s="54"/>
      <c r="C19" s="54"/>
      <c r="D19" s="54"/>
      <c r="E19" s="54"/>
      <c r="F19" s="54"/>
      <c r="G19" s="54"/>
      <c r="H19" s="54"/>
      <c r="I19" s="54"/>
      <c r="J19" s="54"/>
      <c r="K19" s="54"/>
      <c r="L19" s="54"/>
      <c r="M19" s="54"/>
      <c r="N19" s="54"/>
      <c r="O19" s="54"/>
      <c r="P19" s="54"/>
      <c r="Q19" s="54"/>
      <c r="R19" s="54"/>
      <c r="S19" s="54"/>
      <c r="T19" s="54"/>
      <c r="U19" s="54"/>
      <c r="V19" s="54"/>
      <c r="W19" s="54"/>
      <c r="X19" s="54"/>
      <c r="Y19" s="54"/>
      <c r="Z19" s="54"/>
      <c r="AA19" s="54"/>
      <c r="AB19" s="54"/>
      <c r="AC19" s="54"/>
      <c r="AD19" s="54"/>
    </row>
    <row r="20" spans="1:32">
      <c r="A20" s="54"/>
      <c r="B20" s="93"/>
      <c r="C20" s="303" t="s">
        <v>162</v>
      </c>
      <c r="D20" s="303"/>
      <c r="E20" s="303"/>
      <c r="F20" s="303"/>
      <c r="G20" s="303"/>
      <c r="H20" s="303"/>
      <c r="I20" s="303"/>
      <c r="J20" s="303"/>
      <c r="K20" s="303"/>
      <c r="L20" s="303"/>
      <c r="M20" s="303"/>
      <c r="N20" s="303"/>
      <c r="O20" s="303"/>
      <c r="P20" s="303"/>
      <c r="Q20" s="303"/>
      <c r="R20" s="303"/>
      <c r="S20" s="303"/>
      <c r="T20" s="54"/>
      <c r="U20" s="91"/>
      <c r="V20" s="54"/>
      <c r="W20" s="54"/>
      <c r="X20" s="54"/>
      <c r="Y20" s="54"/>
      <c r="Z20" s="54"/>
      <c r="AA20" s="54"/>
      <c r="AB20" s="54"/>
      <c r="AC20" s="54"/>
      <c r="AD20" s="54"/>
    </row>
    <row r="21" spans="1:32" ht="16.2" thickBot="1">
      <c r="A21" s="54"/>
      <c r="B21" s="94"/>
      <c r="C21" s="313" t="s">
        <v>170</v>
      </c>
      <c r="D21" s="314"/>
      <c r="E21" s="314"/>
      <c r="F21" s="314"/>
      <c r="G21" s="314"/>
      <c r="H21" s="314"/>
      <c r="I21" s="314"/>
      <c r="J21" s="315"/>
      <c r="K21" s="40" t="s">
        <v>163</v>
      </c>
      <c r="L21" s="316" t="s">
        <v>169</v>
      </c>
      <c r="M21" s="317"/>
      <c r="N21" s="317"/>
      <c r="O21" s="317"/>
      <c r="P21" s="317"/>
      <c r="Q21" s="317"/>
      <c r="R21" s="317"/>
      <c r="S21" s="318"/>
      <c r="T21" s="54"/>
      <c r="U21" s="54"/>
      <c r="V21" s="54"/>
      <c r="W21" s="54"/>
      <c r="X21" s="54"/>
      <c r="Y21" s="54"/>
      <c r="Z21" s="54"/>
      <c r="AA21" s="54"/>
      <c r="AB21" s="54"/>
      <c r="AC21" s="54"/>
      <c r="AD21" s="54"/>
    </row>
    <row r="22" spans="1:32" ht="32.4" thickTop="1" thickBot="1">
      <c r="A22" s="54"/>
      <c r="B22" s="127" t="s">
        <v>0</v>
      </c>
      <c r="C22" s="31" t="s">
        <v>167</v>
      </c>
      <c r="D22" s="32"/>
      <c r="E22" s="32" t="s">
        <v>164</v>
      </c>
      <c r="F22" s="32"/>
      <c r="G22" s="32" t="s">
        <v>165</v>
      </c>
      <c r="H22" s="32"/>
      <c r="I22" s="32" t="s">
        <v>166</v>
      </c>
      <c r="J22" s="33"/>
      <c r="K22" s="41" t="s">
        <v>168</v>
      </c>
      <c r="L22" s="44"/>
      <c r="M22" s="45" t="s">
        <v>166</v>
      </c>
      <c r="N22" s="45"/>
      <c r="O22" s="45" t="s">
        <v>165</v>
      </c>
      <c r="P22" s="45"/>
      <c r="Q22" s="45" t="s">
        <v>164</v>
      </c>
      <c r="R22" s="45"/>
      <c r="S22" s="46" t="s">
        <v>167</v>
      </c>
      <c r="T22" s="8"/>
      <c r="U22" s="115"/>
      <c r="V22" s="128" t="s">
        <v>0</v>
      </c>
      <c r="W22" s="113" t="s">
        <v>2</v>
      </c>
      <c r="X22" s="113" t="s">
        <v>3</v>
      </c>
      <c r="Y22" s="113" t="s">
        <v>4</v>
      </c>
      <c r="Z22" s="113" t="s">
        <v>217</v>
      </c>
      <c r="AA22" s="113" t="s">
        <v>220</v>
      </c>
      <c r="AB22" s="129"/>
      <c r="AC22" s="54"/>
      <c r="AD22" s="54"/>
      <c r="AE22" s="8" t="s">
        <v>10</v>
      </c>
    </row>
    <row r="23" spans="1:32" ht="32.4" thickTop="1" thickBot="1">
      <c r="A23" s="95" t="str">
        <f t="shared" ref="A23:A30" si="0">IF(T23=0,"Marcar una 'x'",IF(T23&gt;1,"Sobran 'x'",""))</f>
        <v/>
      </c>
      <c r="B23" s="3" t="s">
        <v>6</v>
      </c>
      <c r="C23" s="34"/>
      <c r="D23" s="35"/>
      <c r="E23" s="35"/>
      <c r="F23" s="35"/>
      <c r="G23" s="35"/>
      <c r="H23" s="35"/>
      <c r="I23" s="35" t="s">
        <v>1</v>
      </c>
      <c r="J23" s="36"/>
      <c r="K23" s="42"/>
      <c r="L23" s="47"/>
      <c r="M23" s="48"/>
      <c r="N23" s="48"/>
      <c r="O23" s="48"/>
      <c r="P23" s="48"/>
      <c r="Q23" s="48"/>
      <c r="R23" s="48"/>
      <c r="S23" s="49"/>
      <c r="T23" s="129">
        <f t="shared" ref="T23:T30" si="1">COUNTIF(C23:S23,"x")</f>
        <v>1</v>
      </c>
      <c r="U23" s="6">
        <f>AB23/SUM(AB$23:AB$27)</f>
        <v>0.1668849482411966</v>
      </c>
      <c r="V23" s="114" t="s">
        <v>2</v>
      </c>
      <c r="W23" s="87">
        <v>1</v>
      </c>
      <c r="X23" s="5">
        <f>IF( OR(C23="X",C23="x"),1/9,IF(OR(D23="x",D23="X"),1/8,IF(OR(E23="x",E23="X"),1/7,IF(OR(F23="x",F23="X"),1/6,IF(OR(G23="x",G23="X"),1/5,IF(OR(H23="x",H23="X"),1/4,IF(OR(I23="x",I23="X"),1/3,IF(OR(J23="x",J23="X"),1/2,IF(OR(K23="x",K23="X"),1,IF(OR(L23="x",L23="X"),2,IF(OR(M23="x",M23="X"),3,IF(OR(N23="x",N23="X"),4,IF(OR(O23="x",O23="X"),5,IF(OR(P23="x",P23="X"),6,IF(OR(Q23="x",Q23="X"),7,IF(OR(R23="x",R23="X"),8,IF(OR(S23="x",S23="X"),9,"???")))))))))))))))))</f>
        <v>0.33333333333333331</v>
      </c>
      <c r="Y23" s="5">
        <f>IF( OR(C24="X",C24="x"),1/9,IF(OR(D24="x",D24="X"),1/8,IF(OR(E24="x",E24="X"),1/7,IF(OR(F24="x",F24="X"),1/6,IF(OR(G24="x",G24="X"),1/5,IF(OR(H24="x",H24="X"),1/4,IF(OR(I24="x",I24="X"),1/3,IF(OR(J24="x",J24="X"),1/2,IF(OR(K24="x",K24="X"),1,IF(OR(L24="x",L24="X"),2,IF(OR(M24="x",M24="X"),3,IF(OR(N24="x",N24="X"),4,IF(OR(O24="x",O24="X"),5,IF(OR(P24="x",P24="X"),6,IF(OR(Q24="x",Q24="X"),7,IF(OR(R24="x",R24="X"),8,IF(OR(S24="x",S24="X"),9,"???")))))))))))))))))</f>
        <v>0.33333333333333331</v>
      </c>
      <c r="Z23" s="5">
        <f>IF( OR(C25="X",C25="x"),1/9,IF(OR(D25="x",D25="X"),1/8,IF(OR(E25="x",E25="X"),1/7,IF(OR(F25="x",F25="X"),1/6,IF(OR(G25="x",G25="X"),1/5,IF(OR(H25="x",H25="X"),1/4,IF(OR(I25="x",I25="X"),1/3,IF(OR(J25="x",J25="X"),1/2,IF(OR(K25="x",K25="X"),1,IF(OR(L25="x",L25="X"),2,IF(OR(M25="x",M25="X"),3,IF(OR(N25="x",N25="X"),4,IF(OR(O25="x",O25="X"),5,IF(OR(P25="x",P25="X"),6,IF(OR(Q25="x",Q25="X"),7,IF(OR(R25="x",R25="X"),8,IF(OR(S25="x",S25="X"),9,"???")))))))))))))))))</f>
        <v>3</v>
      </c>
      <c r="AA23" s="88">
        <f>IF( OR(C26="X",C26="x"),1/9,IF(OR(D26="x",D26="X"),1/8,IF(OR(E26="x",E26="X"),1/7,IF(OR(F26="x",F26="X"),1/6,IF(OR(G26="x",G26="X"),1/5,IF(OR(H26="x",H26="X"),1/4,IF(OR(I26="x",I26="X"),1/3,IF(OR(J26="x",J26="X"),1/2,IF(OR(K26="x",K26="X"),1,IF(OR(L26="x",L26="X"),2,IF(OR(M26="x",M26="X"),3,IF(OR(N26="x",N26="X"),4,IF(OR(O26="x",O26="X"),5,IF(OR(P26="x",P26="X"),6,IF(OR(Q26="x",Q26="X"),7,IF(OR(R26="x",R26="X"),8,IF(OR(S26="x",S26="X"),9,"???")))))))))))))))))</f>
        <v>3</v>
      </c>
      <c r="AB23" s="132">
        <f>POWER(W23*X23*Y23*Z23*AA23,1/5)</f>
        <v>1</v>
      </c>
      <c r="AC23" s="54"/>
      <c r="AD23" s="54"/>
      <c r="AE23" s="8" t="s">
        <v>12</v>
      </c>
    </row>
    <row r="24" spans="1:32" ht="32.4" thickTop="1" thickBot="1">
      <c r="A24" s="95" t="str">
        <f t="shared" si="0"/>
        <v/>
      </c>
      <c r="B24" s="2" t="s">
        <v>7</v>
      </c>
      <c r="C24" s="37"/>
      <c r="D24" s="38"/>
      <c r="E24" s="38"/>
      <c r="F24" s="38"/>
      <c r="G24" s="38"/>
      <c r="H24" s="38"/>
      <c r="I24" s="38" t="s">
        <v>1</v>
      </c>
      <c r="J24" s="39"/>
      <c r="K24" s="43"/>
      <c r="L24" s="50"/>
      <c r="M24" s="51"/>
      <c r="N24" s="51"/>
      <c r="O24" s="51"/>
      <c r="P24" s="51"/>
      <c r="Q24" s="51"/>
      <c r="R24" s="51"/>
      <c r="S24" s="52"/>
      <c r="T24" s="129">
        <f t="shared" si="1"/>
        <v>1</v>
      </c>
      <c r="U24" s="6">
        <f>AB24/SUM(AB$23:AB$27)</f>
        <v>0.32261898550924784</v>
      </c>
      <c r="V24" s="114" t="s">
        <v>3</v>
      </c>
      <c r="W24" s="87">
        <f>1/X23</f>
        <v>3</v>
      </c>
      <c r="X24" s="5">
        <v>1</v>
      </c>
      <c r="Y24" s="5">
        <f>IF( OR(C27="X",C27="x"),1/9,IF(OR(D27="x",D27="X"),1/8,IF(OR(E27="x",E27="X"),1/7,IF(OR(F27="x",F27="X"),1/6,IF(OR(G27="x",G27="X"),1/5,IF(OR(H27="x",H27="X"),1/4,IF(OR(I27="x",I27="X"),1/3,IF(OR(J27="x",J27="X"),1/2,IF(OR(K27="x",K27="X"),1,IF(OR(L27="x",L27="X"),2,IF(OR(M27="x",M27="X"),3,IF(OR(N27="x",N27="X"),4,IF(OR(O27="x",O27="X"),5,IF(OR(P27="x",P27="X"),6,IF(OR(Q27="x",Q27="X"),7,IF(OR(R27="x",R27="X"),8,IF(OR(S27="x",S27="X"),9,"???")))))))))))))))))</f>
        <v>1</v>
      </c>
      <c r="Z24" s="5">
        <f>IF( OR(C28="X",C28="x"),1/9,IF(OR(D28="x",D28="X"),1/8,IF(OR(E28="x",E28="X"),1/7,IF(OR(F28="x",F28="X"),1/6,IF(OR(G28="x",G28="X"),1/5,IF(OR(H28="x",H28="X"),1/4,IF(OR(I28="x",I28="X"),1/3,IF(OR(J28="x",J28="X"),1/2,IF(OR(K28="x",K28="X"),1,IF(OR(L28="x",L28="X"),2,IF(OR(M28="x",M28="X"),3,IF(OR(N28="x",N28="X"),4,IF(OR(O28="x",O28="X"),5,IF(OR(P28="x",P28="X"),6,IF(OR(Q28="x",Q28="X"),7,IF(OR(R28="x",R28="X"),8,IF(OR(S28="x",S28="X"),9,"???")))))))))))))))))</f>
        <v>3</v>
      </c>
      <c r="AA24" s="88">
        <f>IF( OR(C29="X",C29="x"),1/9,IF(OR(D29="x",D29="X"),1/8,IF(OR(E29="x",E29="X"),1/7,IF(OR(F29="x",F29="X"),1/6,IF(OR(G29="x",G29="X"),1/5,IF(OR(H29="x",H29="X"),1/4,IF(OR(I29="x",I29="X"),1/3,IF(OR(J29="x",J29="X"),1/2,IF(OR(K29="x",K29="X"),1,IF(OR(L29="x",L29="X"),2,IF(OR(M29="x",M29="X"),3,IF(OR(N29="x",N29="X"),4,IF(OR(O29="x",O29="X"),5,IF(OR(P29="x",P29="X"),6,IF(OR(Q29="x",Q29="X"),7,IF(OR(R29="x",R29="X"),8,IF(OR(S29="x",S29="X"),9,"???")))))))))))))))))</f>
        <v>3</v>
      </c>
      <c r="AB24" s="132">
        <f>POWER(W24*X24*Y24*Z24*AA24,1/5)</f>
        <v>1.9331820449317627</v>
      </c>
      <c r="AC24" s="54"/>
      <c r="AD24" s="54"/>
      <c r="AE24" s="8">
        <v>0</v>
      </c>
    </row>
    <row r="25" spans="1:32" ht="32.4" thickTop="1" thickBot="1">
      <c r="A25" s="95" t="str">
        <f t="shared" si="0"/>
        <v/>
      </c>
      <c r="B25" s="2" t="s">
        <v>294</v>
      </c>
      <c r="C25" s="37"/>
      <c r="D25" s="38"/>
      <c r="E25" s="38"/>
      <c r="F25" s="38"/>
      <c r="G25" s="38"/>
      <c r="H25" s="38"/>
      <c r="I25" s="38"/>
      <c r="J25" s="39"/>
      <c r="K25" s="43"/>
      <c r="L25" s="50"/>
      <c r="M25" s="51" t="s">
        <v>1</v>
      </c>
      <c r="N25" s="51"/>
      <c r="O25" s="51"/>
      <c r="P25" s="51"/>
      <c r="Q25" s="51"/>
      <c r="R25" s="51"/>
      <c r="S25" s="52"/>
      <c r="T25" s="129">
        <f t="shared" si="1"/>
        <v>1</v>
      </c>
      <c r="U25" s="6">
        <f>AB25/SUM(AB$23:AB$27)</f>
        <v>0.34172572102637661</v>
      </c>
      <c r="V25" s="114" t="s">
        <v>4</v>
      </c>
      <c r="W25" s="87">
        <f>1/Y23</f>
        <v>3</v>
      </c>
      <c r="X25" s="5">
        <f>1/Y24</f>
        <v>1</v>
      </c>
      <c r="Y25" s="5">
        <v>1</v>
      </c>
      <c r="Z25" s="5">
        <f>IF( OR(C30="X",C30="x"),1/9,IF(OR(D30="x",D30="X"),1/8,IF(OR(E30="x",E30="X"),1/7,IF(OR(F30="x",F30="X"),1/6,IF(OR(G30="x",G30="X"),1/5,IF(OR(H30="x",H30="X"),1/4,IF(OR(I30="x",I30="X"),1/3,IF(OR(J30="x",J30="X"),1/2,IF(OR(K30="x",K30="X"),1,IF(OR(L30="x",L30="X"),2,IF(OR(M30="x",M30="X"),3,IF(OR(N30="x",N30="X"),4,IF(OR(O30="x",O30="X"),5,IF(OR(P30="x",P30="X"),6,IF(OR(Q30="x",Q30="X"),7,IF(OR(R30="x",R30="X"),8,IF(OR(S30="x",S30="X"),9,"???")))))))))))))))))</f>
        <v>3</v>
      </c>
      <c r="AA25" s="88">
        <f>IF( OR(C31="X",C31="x"),1/9,IF(OR(D31="x",D31="X"),1/8,IF(OR(E31="x",E31="X"),1/7,IF(OR(F31="x",F31="X"),1/6,IF(OR(G31="x",G31="X"),1/5,IF(OR(H31="x",H31="X"),1/4,IF(OR(I31="x",I31="X"),1/3,IF(OR(J31="x",J31="X"),1/2,IF(OR(K31="x",K31="X"),1,IF(OR(L31="x",L31="X"),2,IF(OR(M31="x",M31="X"),3,IF(OR(N31="x",N31="X"),4,IF(OR(O31="x",O31="X"),5,IF(OR(P31="x",P31="X"),6,IF(OR(Q31="x",Q31="X"),7,IF(OR(R31="x",R31="X"),8,IF(OR(S31="x",S31="X"),9,"???")))))))))))))))))</f>
        <v>4</v>
      </c>
      <c r="AB25" s="132">
        <f>POWER(W25*X25*Y25*Z25*AA25,1/5)</f>
        <v>2.0476725110792193</v>
      </c>
      <c r="AC25" s="54"/>
      <c r="AD25" s="54"/>
      <c r="AE25" s="8">
        <v>0</v>
      </c>
    </row>
    <row r="26" spans="1:32" ht="32.4" thickTop="1" thickBot="1">
      <c r="A26" s="95" t="str">
        <f t="shared" si="0"/>
        <v/>
      </c>
      <c r="B26" s="2" t="s">
        <v>221</v>
      </c>
      <c r="C26" s="37"/>
      <c r="D26" s="38"/>
      <c r="E26" s="38"/>
      <c r="F26" s="38"/>
      <c r="G26" s="38"/>
      <c r="H26" s="38"/>
      <c r="I26" s="38"/>
      <c r="J26" s="39"/>
      <c r="K26" s="43"/>
      <c r="L26" s="50"/>
      <c r="M26" s="51" t="s">
        <v>1</v>
      </c>
      <c r="N26" s="51"/>
      <c r="O26" s="51"/>
      <c r="P26" s="51"/>
      <c r="Q26" s="51"/>
      <c r="R26" s="51"/>
      <c r="S26" s="52"/>
      <c r="T26" s="129">
        <f t="shared" si="1"/>
        <v>1</v>
      </c>
      <c r="U26" s="6">
        <f>AB26/SUM(AB$23:AB$27)</f>
        <v>7.515163203481251E-2</v>
      </c>
      <c r="V26" s="114" t="s">
        <v>289</v>
      </c>
      <c r="W26" s="87">
        <f>1/Z23</f>
        <v>0.33333333333333331</v>
      </c>
      <c r="X26" s="5">
        <f>1/Z24</f>
        <v>0.33333333333333331</v>
      </c>
      <c r="Y26" s="5">
        <f>1/Z25</f>
        <v>0.33333333333333331</v>
      </c>
      <c r="Z26" s="5">
        <v>1</v>
      </c>
      <c r="AA26" s="88">
        <f>IF( OR(C32="X",C32="x"),1/9,IF(OR(D32="x",D32="X"),1/8,IF(OR(E32="x",E32="X"),1/7,IF(OR(F32="x",F32="X"),1/6,IF(OR(G32="x",G32="X"),1/5,IF(OR(H32="x",H32="X"),1/4,IF(OR(I32="x",I32="X"),1/3,IF(OR(J32="x",J32="X"),1/2,IF(OR(K32="x",K32="X"),1,IF(OR(L32="x",L32="X"),2,IF(OR(M32="x",M32="X"),3,IF(OR(N32="x",N32="X"),4,IF(OR(O32="x",O32="X"),5,IF(OR(P32="x",P32="X"),6,IF(OR(Q32="x",Q32="X"),7,IF(OR(R32="x",R32="X"),8,IF(OR(S32="x",S32="X"),9,"???")))))))))))))))))</f>
        <v>0.5</v>
      </c>
      <c r="AB26" s="132">
        <f>POWER(W26*X26*Y26*Z26*AA26,1/5)</f>
        <v>0.45032001284020445</v>
      </c>
      <c r="AC26" s="54"/>
      <c r="AD26" s="54"/>
      <c r="AE26" s="8">
        <v>0.57999999999999996</v>
      </c>
    </row>
    <row r="27" spans="1:32" ht="32.4" thickTop="1" thickBot="1">
      <c r="A27" s="95" t="str">
        <f t="shared" si="0"/>
        <v/>
      </c>
      <c r="B27" s="2" t="s">
        <v>8</v>
      </c>
      <c r="C27" s="37"/>
      <c r="D27" s="38"/>
      <c r="E27" s="38"/>
      <c r="F27" s="38"/>
      <c r="G27" s="38"/>
      <c r="H27" s="38"/>
      <c r="I27" s="38"/>
      <c r="J27" s="39"/>
      <c r="K27" s="43" t="s">
        <v>1</v>
      </c>
      <c r="L27" s="50"/>
      <c r="M27" s="51"/>
      <c r="N27" s="51"/>
      <c r="O27" s="51"/>
      <c r="P27" s="51"/>
      <c r="Q27" s="51"/>
      <c r="R27" s="51"/>
      <c r="S27" s="52"/>
      <c r="T27" s="129">
        <f t="shared" si="1"/>
        <v>1</v>
      </c>
      <c r="U27" s="6">
        <f>AB27/SUM(AB$23:AB$27)</f>
        <v>9.3618713188366592E-2</v>
      </c>
      <c r="V27" s="114" t="s">
        <v>220</v>
      </c>
      <c r="W27" s="87">
        <f>1/AA23</f>
        <v>0.33333333333333331</v>
      </c>
      <c r="X27" s="5">
        <f>1/AA24</f>
        <v>0.33333333333333331</v>
      </c>
      <c r="Y27" s="5">
        <f>1/AA25</f>
        <v>0.25</v>
      </c>
      <c r="Z27" s="5">
        <f>1/AA26</f>
        <v>2</v>
      </c>
      <c r="AA27" s="88">
        <v>1</v>
      </c>
      <c r="AB27" s="132">
        <f>POWER(W27*X27*Y27*Z27*AA27,1/5)</f>
        <v>0.56097757272309967</v>
      </c>
      <c r="AD27" s="54"/>
      <c r="AE27" s="8">
        <v>4</v>
      </c>
      <c r="AF27" s="8">
        <v>0.9</v>
      </c>
    </row>
    <row r="28" spans="1:32" ht="31.8" thickTop="1">
      <c r="A28" s="95" t="str">
        <f t="shared" si="0"/>
        <v/>
      </c>
      <c r="B28" s="2" t="s">
        <v>218</v>
      </c>
      <c r="C28" s="37"/>
      <c r="D28" s="38"/>
      <c r="E28" s="38"/>
      <c r="F28" s="38"/>
      <c r="G28" s="38"/>
      <c r="H28" s="38"/>
      <c r="I28" s="38"/>
      <c r="J28" s="39"/>
      <c r="K28" s="43"/>
      <c r="L28" s="50"/>
      <c r="M28" s="51" t="s">
        <v>1</v>
      </c>
      <c r="N28" s="51"/>
      <c r="O28" s="51"/>
      <c r="P28" s="51"/>
      <c r="Q28" s="51"/>
      <c r="R28" s="51"/>
      <c r="S28" s="52"/>
      <c r="T28" s="129">
        <f t="shared" si="1"/>
        <v>1</v>
      </c>
      <c r="U28" s="9" t="s">
        <v>171</v>
      </c>
      <c r="V28" s="65">
        <f>AB30/1.12</f>
        <v>4.9652462527042085E-2</v>
      </c>
      <c r="W28" s="130">
        <f>SUM(W23:W27)</f>
        <v>7.6666666666666661</v>
      </c>
      <c r="X28" s="130">
        <f>SUM(X23:X27)</f>
        <v>3</v>
      </c>
      <c r="Y28" s="130">
        <f>SUM(Y23:Y27)</f>
        <v>2.9166666666666665</v>
      </c>
      <c r="Z28" s="130">
        <f>SUM(Z23:Z27)</f>
        <v>12</v>
      </c>
      <c r="AA28" s="130">
        <f>SUM(AA23:AA27)</f>
        <v>11.5</v>
      </c>
      <c r="AB28" s="8"/>
      <c r="AD28" s="54"/>
      <c r="AE28" s="8">
        <v>5</v>
      </c>
      <c r="AF28" s="8">
        <v>1.1200000000000001</v>
      </c>
    </row>
    <row r="29" spans="1:32" ht="31.95" customHeight="1">
      <c r="A29" s="95" t="str">
        <f t="shared" si="0"/>
        <v/>
      </c>
      <c r="B29" s="2" t="s">
        <v>222</v>
      </c>
      <c r="C29" s="37"/>
      <c r="D29" s="38"/>
      <c r="E29" s="38"/>
      <c r="F29" s="38"/>
      <c r="G29" s="38"/>
      <c r="H29" s="38"/>
      <c r="I29" s="38"/>
      <c r="J29" s="39"/>
      <c r="K29" s="43"/>
      <c r="L29" s="50"/>
      <c r="M29" s="51" t="s">
        <v>1</v>
      </c>
      <c r="N29" s="51"/>
      <c r="O29" s="51"/>
      <c r="P29" s="51"/>
      <c r="Q29" s="51"/>
      <c r="R29" s="51"/>
      <c r="S29" s="52"/>
      <c r="T29" s="129">
        <f t="shared" si="1"/>
        <v>1</v>
      </c>
      <c r="U29" s="312" t="s">
        <v>225</v>
      </c>
      <c r="V29" s="312"/>
      <c r="W29" s="8">
        <f>W28*U23</f>
        <v>1.2794512698491738</v>
      </c>
      <c r="X29" s="8">
        <f>X28*U24</f>
        <v>0.96785695652774351</v>
      </c>
      <c r="Y29" s="8">
        <f>Y28*U25</f>
        <v>0.996700019660265</v>
      </c>
      <c r="Z29" s="8">
        <f>Z28*U26</f>
        <v>0.90181958441775012</v>
      </c>
      <c r="AA29" s="8">
        <f>AA28*U27</f>
        <v>1.0766152016662158</v>
      </c>
      <c r="AB29" s="131">
        <f>SUM(W29:AA29)</f>
        <v>5.2224430321211486</v>
      </c>
      <c r="AD29" s="54"/>
      <c r="AE29" s="8">
        <v>6</v>
      </c>
      <c r="AF29" s="8">
        <v>1.24</v>
      </c>
    </row>
    <row r="30" spans="1:32" ht="31.2">
      <c r="A30" s="95" t="str">
        <f t="shared" si="0"/>
        <v/>
      </c>
      <c r="B30" s="2" t="s">
        <v>219</v>
      </c>
      <c r="C30" s="37"/>
      <c r="D30" s="38"/>
      <c r="E30" s="38"/>
      <c r="F30" s="38"/>
      <c r="G30" s="38"/>
      <c r="H30" s="38"/>
      <c r="I30" s="38"/>
      <c r="J30" s="39"/>
      <c r="K30" s="43"/>
      <c r="L30" s="50"/>
      <c r="M30" s="51" t="s">
        <v>1</v>
      </c>
      <c r="N30" s="51"/>
      <c r="O30" s="51"/>
      <c r="P30" s="51"/>
      <c r="Q30" s="51"/>
      <c r="R30" s="51"/>
      <c r="S30" s="52"/>
      <c r="T30" s="129">
        <f t="shared" si="1"/>
        <v>1</v>
      </c>
      <c r="U30" s="312"/>
      <c r="V30" s="312"/>
      <c r="W30" s="8"/>
      <c r="X30" s="8"/>
      <c r="Y30" s="8"/>
      <c r="Z30" s="8"/>
      <c r="AA30" s="8"/>
      <c r="AB30" s="8">
        <f>(AB29-5)/4</f>
        <v>5.5610758030287144E-2</v>
      </c>
      <c r="AD30" s="54"/>
      <c r="AE30" s="8"/>
      <c r="AF30" s="8"/>
    </row>
    <row r="31" spans="1:32" ht="31.2">
      <c r="A31" s="95" t="str">
        <f>IF(T31=0,"Marcar una 'x'",IF(T31&gt;1,"Sobran 'x'",""))</f>
        <v/>
      </c>
      <c r="B31" s="2" t="s">
        <v>223</v>
      </c>
      <c r="C31" s="37"/>
      <c r="D31" s="38"/>
      <c r="E31" s="38"/>
      <c r="F31" s="38"/>
      <c r="G31" s="38"/>
      <c r="H31" s="38"/>
      <c r="I31" s="38"/>
      <c r="J31" s="39"/>
      <c r="K31" s="43"/>
      <c r="L31" s="50"/>
      <c r="M31" s="51"/>
      <c r="N31" s="51" t="s">
        <v>1</v>
      </c>
      <c r="O31" s="51"/>
      <c r="P31" s="51"/>
      <c r="Q31" s="51"/>
      <c r="R31" s="51"/>
      <c r="S31" s="52"/>
      <c r="T31" s="129">
        <f>COUNTIF(C31:S31,"x")</f>
        <v>1</v>
      </c>
      <c r="U31" s="58"/>
      <c r="V31" s="54"/>
      <c r="W31" s="54"/>
      <c r="X31" s="54"/>
      <c r="Y31" s="54"/>
      <c r="Z31" s="54"/>
      <c r="AA31" s="54"/>
      <c r="AB31" s="54"/>
      <c r="AD31" s="54"/>
      <c r="AE31" s="8"/>
      <c r="AF31" s="8"/>
    </row>
    <row r="32" spans="1:32" ht="31.2">
      <c r="A32" s="95" t="str">
        <f>IF(T32=0,"Marcar una 'x'",IF(T32&gt;1,"Sobran 'x'",""))</f>
        <v/>
      </c>
      <c r="B32" s="2" t="s">
        <v>224</v>
      </c>
      <c r="C32" s="37"/>
      <c r="D32" s="38"/>
      <c r="E32" s="38"/>
      <c r="F32" s="38"/>
      <c r="G32" s="38"/>
      <c r="H32" s="38"/>
      <c r="I32" s="38"/>
      <c r="J32" s="39" t="s">
        <v>1</v>
      </c>
      <c r="K32" s="43"/>
      <c r="L32" s="50"/>
      <c r="M32" s="51"/>
      <c r="N32" s="51"/>
      <c r="O32" s="51"/>
      <c r="P32" s="51"/>
      <c r="Q32" s="51"/>
      <c r="R32" s="51"/>
      <c r="S32" s="52"/>
      <c r="T32" s="129">
        <f>COUNTIF(C32:S32,"x")</f>
        <v>1</v>
      </c>
      <c r="U32" s="58"/>
      <c r="V32" s="54"/>
      <c r="W32" s="54"/>
      <c r="X32" s="54"/>
      <c r="Y32" s="54"/>
      <c r="Z32" s="54"/>
      <c r="AA32" s="54"/>
      <c r="AB32" s="54"/>
      <c r="AC32" s="54"/>
      <c r="AD32" s="54"/>
      <c r="AE32" s="8">
        <v>7</v>
      </c>
      <c r="AF32" s="8">
        <v>1.32</v>
      </c>
    </row>
    <row r="33" spans="1:31" ht="57" customHeight="1">
      <c r="A33" s="54"/>
      <c r="B33" s="54"/>
      <c r="C33" s="54"/>
      <c r="D33" s="54"/>
      <c r="E33" s="54"/>
      <c r="F33" s="54"/>
      <c r="G33" s="54"/>
      <c r="H33" s="54"/>
      <c r="I33" s="54"/>
      <c r="J33" s="54"/>
      <c r="K33" s="54"/>
      <c r="L33" s="54"/>
      <c r="M33" s="54"/>
      <c r="N33" s="54"/>
      <c r="O33" s="54"/>
      <c r="P33" s="54"/>
      <c r="Q33" s="54"/>
      <c r="R33" s="54"/>
      <c r="S33" s="54"/>
      <c r="T33" s="129"/>
      <c r="U33" s="54"/>
      <c r="V33" s="54"/>
      <c r="W33" s="54"/>
      <c r="X33" s="54"/>
      <c r="Y33" s="54"/>
      <c r="Z33" s="54"/>
      <c r="AA33" s="54"/>
      <c r="AB33" s="54"/>
      <c r="AC33" s="54"/>
      <c r="AD33" s="54"/>
    </row>
    <row r="34" spans="1:31">
      <c r="A34" s="54"/>
      <c r="B34" s="4"/>
      <c r="C34" s="303" t="s">
        <v>162</v>
      </c>
      <c r="D34" s="303"/>
      <c r="E34" s="303"/>
      <c r="F34" s="303"/>
      <c r="G34" s="303"/>
      <c r="H34" s="303"/>
      <c r="I34" s="303"/>
      <c r="J34" s="303"/>
      <c r="K34" s="303"/>
      <c r="L34" s="303"/>
      <c r="M34" s="303"/>
      <c r="N34" s="303"/>
      <c r="O34" s="303"/>
      <c r="P34" s="303"/>
      <c r="Q34" s="303"/>
      <c r="R34" s="303"/>
      <c r="S34" s="303"/>
      <c r="T34" s="129"/>
      <c r="U34" s="54"/>
      <c r="V34" s="54"/>
      <c r="W34" s="54"/>
      <c r="X34" s="54"/>
      <c r="Y34" s="54"/>
      <c r="Z34" s="54"/>
      <c r="AA34" s="54"/>
      <c r="AB34" s="64"/>
      <c r="AC34" s="54"/>
      <c r="AD34" s="62"/>
      <c r="AE34" s="8">
        <v>1.51</v>
      </c>
    </row>
    <row r="35" spans="1:31" ht="16.2" thickBot="1">
      <c r="A35" s="54"/>
      <c r="B35" s="30"/>
      <c r="C35" s="313" t="s">
        <v>170</v>
      </c>
      <c r="D35" s="314"/>
      <c r="E35" s="314"/>
      <c r="F35" s="314"/>
      <c r="G35" s="314"/>
      <c r="H35" s="314"/>
      <c r="I35" s="314"/>
      <c r="J35" s="315"/>
      <c r="K35" s="40" t="s">
        <v>163</v>
      </c>
      <c r="L35" s="316" t="s">
        <v>169</v>
      </c>
      <c r="M35" s="317"/>
      <c r="N35" s="317"/>
      <c r="O35" s="317"/>
      <c r="P35" s="317"/>
      <c r="Q35" s="317"/>
      <c r="R35" s="317"/>
      <c r="S35" s="318"/>
      <c r="T35" s="129"/>
      <c r="U35" s="54"/>
      <c r="V35" s="54"/>
      <c r="W35" s="54"/>
      <c r="X35" s="54"/>
      <c r="Y35" s="54"/>
      <c r="Z35" s="54"/>
      <c r="AA35" s="54"/>
      <c r="AB35" s="54"/>
      <c r="AC35" s="54"/>
      <c r="AD35" s="62"/>
    </row>
    <row r="36" spans="1:31" ht="30" thickTop="1" thickBot="1">
      <c r="A36" s="54"/>
      <c r="B36" s="53" t="s">
        <v>2</v>
      </c>
      <c r="C36" s="31" t="s">
        <v>167</v>
      </c>
      <c r="D36" s="32"/>
      <c r="E36" s="32" t="s">
        <v>164</v>
      </c>
      <c r="F36" s="32"/>
      <c r="G36" s="32" t="s">
        <v>165</v>
      </c>
      <c r="H36" s="32"/>
      <c r="I36" s="32" t="s">
        <v>166</v>
      </c>
      <c r="J36" s="33"/>
      <c r="K36" s="41" t="s">
        <v>168</v>
      </c>
      <c r="L36" s="44"/>
      <c r="M36" s="45" t="s">
        <v>166</v>
      </c>
      <c r="N36" s="45"/>
      <c r="O36" s="45" t="s">
        <v>165</v>
      </c>
      <c r="P36" s="45"/>
      <c r="Q36" s="45" t="s">
        <v>164</v>
      </c>
      <c r="R36" s="45"/>
      <c r="S36" s="46" t="s">
        <v>167</v>
      </c>
      <c r="T36" s="129"/>
      <c r="U36" s="115"/>
      <c r="V36" s="116" t="s">
        <v>2</v>
      </c>
      <c r="W36" s="118" t="s">
        <v>251</v>
      </c>
      <c r="X36" s="118" t="s">
        <v>14</v>
      </c>
      <c r="Y36" s="118" t="s">
        <v>238</v>
      </c>
      <c r="Z36" s="60"/>
      <c r="AA36" s="54"/>
      <c r="AB36" s="54"/>
      <c r="AC36" s="62"/>
    </row>
    <row r="37" spans="1:31" ht="32.4" thickTop="1" thickBot="1">
      <c r="A37" s="95" t="str">
        <f>IF(T37=0,"Marcar una 'x'",IF(T37&gt;1,"Sobran 'x'",""))</f>
        <v/>
      </c>
      <c r="B37" s="3" t="s">
        <v>252</v>
      </c>
      <c r="C37" s="34"/>
      <c r="D37" s="35"/>
      <c r="E37" s="35"/>
      <c r="F37" s="35"/>
      <c r="G37" s="35"/>
      <c r="H37" s="35"/>
      <c r="I37" s="35"/>
      <c r="J37" s="36"/>
      <c r="K37" s="42"/>
      <c r="L37" s="47"/>
      <c r="M37" s="48" t="s">
        <v>1</v>
      </c>
      <c r="N37" s="48"/>
      <c r="O37" s="48"/>
      <c r="P37" s="48"/>
      <c r="Q37" s="48"/>
      <c r="R37" s="48"/>
      <c r="S37" s="49"/>
      <c r="T37" s="129">
        <f>COUNTIF(C37:S37,"x")</f>
        <v>1</v>
      </c>
      <c r="U37" s="6">
        <f>Z37/SUM(Z$37:Z$39)</f>
        <v>0.3</v>
      </c>
      <c r="V37" s="117" t="s">
        <v>251</v>
      </c>
      <c r="W37" s="87">
        <v>1</v>
      </c>
      <c r="X37" s="5">
        <f>IF( OR(C37="X",C37="x"),1/9,IF(OR(D37="x",D37="X"),1/8,IF(OR(E37="x",E37="X"),1/7,IF(OR(F37="x",F37="X"),1/6,IF(OR(G37="x",G37="X"),1/5,IF(OR(H37="x",H37="X"),1/4,IF(OR(I37="x",I37="X"),1/3,IF(OR(J37="x",J37="X"),1/2,IF(OR(K37="x",K37="X"),1,IF(OR(L37="x",L37="X"),2,IF(OR(M37="x",M37="X"),3,IF(OR(N37="x",N37="X"),4,IF(OR(O37="x",O37="X"),5,IF(OR(P37="x",P37="X"),6,IF(OR(Q37="x",Q37="X"),7,IF(OR(R37="x",R37="X"),8,IF(OR(S37="x",S37="X"),9,"???")))))))))))))))))</f>
        <v>3</v>
      </c>
      <c r="Y37" s="88">
        <f>IF( OR(C38="X",C38="x"),1/9,IF(OR(D38="x",D38="X"),1/8,IF(OR(E38="x",E38="X"),1/7,IF(OR(F38="x",F38="X"),1/6,IF(OR(G38="x",G38="X"),1/5,IF(OR(H38="x",H38="X"),1/4,IF(OR(I38="x",I38="X"),1/3,IF(OR(J38="x",J38="X"),1/2,IF(OR(K38="x",K38="X"),1,IF(OR(L38="x",L38="X"),2,IF(OR(M38="x",M38="X"),3,IF(OR(N38="x",N38="X"),4,IF(OR(O38="x",O38="X"),5,IF(OR(P38="x",P38="X"),6,IF(OR(Q38="x",Q38="X"),7,IF(OR(R38="x",R38="X"),8,IF(OR(S38="x",S38="X"),9,"???")))))))))))))))))</f>
        <v>0.5</v>
      </c>
      <c r="Z37" s="132">
        <f>POWER(W37*X37*Y37,1/3)</f>
        <v>1.1447142425533319</v>
      </c>
      <c r="AA37" s="5"/>
      <c r="AB37" s="56"/>
      <c r="AC37" s="54"/>
      <c r="AD37" s="7"/>
    </row>
    <row r="38" spans="1:31" ht="32.4" thickTop="1" thickBot="1">
      <c r="A38" s="95" t="str">
        <f>IF(T38=0,"Marcar una 'x'",IF(T38&gt;1,"Sobran 'x'",""))</f>
        <v/>
      </c>
      <c r="B38" s="3" t="s">
        <v>253</v>
      </c>
      <c r="C38" s="34"/>
      <c r="D38" s="35"/>
      <c r="E38" s="35"/>
      <c r="F38" s="35"/>
      <c r="G38" s="35"/>
      <c r="H38" s="35"/>
      <c r="I38" s="35"/>
      <c r="J38" s="36" t="s">
        <v>1</v>
      </c>
      <c r="K38" s="42"/>
      <c r="L38" s="47"/>
      <c r="M38" s="48"/>
      <c r="N38" s="48"/>
      <c r="O38" s="48"/>
      <c r="P38" s="48"/>
      <c r="Q38" s="48"/>
      <c r="R38" s="48"/>
      <c r="S38" s="49"/>
      <c r="T38" s="129">
        <f>COUNTIF(C38:S38,"x")</f>
        <v>1</v>
      </c>
      <c r="U38" s="6">
        <f>Z38/SUM(Z$37:Z$39)</f>
        <v>0.1</v>
      </c>
      <c r="V38" s="117" t="s">
        <v>14</v>
      </c>
      <c r="W38" s="87">
        <f>1/X37</f>
        <v>0.33333333333333331</v>
      </c>
      <c r="X38" s="5">
        <v>1</v>
      </c>
      <c r="Y38" s="88">
        <f>IF( OR(C39="X",C39="x"),1/9,IF(OR(D39="x",D39="X"),1/8,IF(OR(E39="x",E39="X"),1/7,IF(OR(F39="x",F39="X"),1/6,IF(OR(G39="x",G39="X"),1/5,IF(OR(H39="x",H39="X"),1/4,IF(OR(I39="x",I39="X"),1/3,IF(OR(J39="x",J39="X"),1/2,IF(OR(K39="x",K39="X"),1,IF(OR(L39="x",L39="X"),2,IF(OR(M39="x",M39="X"),3,IF(OR(N39="x",N39="X"),4,IF(OR(O39="x",O39="X"),5,IF(OR(P39="x",P39="X"),6,IF(OR(Q39="x",Q39="X"),7,IF(OR(R39="x",R39="X"),8,IF(OR(S39="x",S39="X"),9,"???")))))))))))))))))</f>
        <v>0.16666666666666666</v>
      </c>
      <c r="Z38" s="132">
        <f>POWER(W38*X38*Y38,1/3)</f>
        <v>0.38157141418444396</v>
      </c>
      <c r="AA38" s="5"/>
      <c r="AB38" s="56"/>
      <c r="AC38" s="54"/>
      <c r="AD38" s="7"/>
    </row>
    <row r="39" spans="1:31" ht="32.4" thickTop="1" thickBot="1">
      <c r="A39" s="95" t="str">
        <f>IF(T39=0,"Marcar una 'x'",IF(T39&gt;1,"Sobran 'x'",""))</f>
        <v/>
      </c>
      <c r="B39" s="3" t="s">
        <v>240</v>
      </c>
      <c r="C39" s="34"/>
      <c r="D39" s="35"/>
      <c r="E39" s="35"/>
      <c r="F39" s="35" t="s">
        <v>1</v>
      </c>
      <c r="G39" s="35"/>
      <c r="H39" s="35"/>
      <c r="I39" s="35"/>
      <c r="J39" s="36"/>
      <c r="K39" s="42"/>
      <c r="L39" s="47"/>
      <c r="M39" s="48"/>
      <c r="N39" s="48"/>
      <c r="O39" s="48"/>
      <c r="P39" s="48"/>
      <c r="Q39" s="48"/>
      <c r="R39" s="48"/>
      <c r="S39" s="49"/>
      <c r="T39" s="129">
        <f>COUNTIF(C39:S39,"x")</f>
        <v>1</v>
      </c>
      <c r="U39" s="6">
        <f>Z39/SUM(Z$37:Z$39)</f>
        <v>0.6</v>
      </c>
      <c r="V39" s="117" t="s">
        <v>238</v>
      </c>
      <c r="W39" s="87">
        <f>1/Y37</f>
        <v>2</v>
      </c>
      <c r="X39" s="5">
        <f>1/Y38</f>
        <v>6</v>
      </c>
      <c r="Y39" s="88">
        <v>1</v>
      </c>
      <c r="Z39" s="132">
        <f>POWER(W39*X39*Y39,1/3)</f>
        <v>2.2894284851066637</v>
      </c>
      <c r="AA39" s="5"/>
      <c r="AB39" s="56"/>
      <c r="AC39" s="54"/>
      <c r="AD39" s="7"/>
    </row>
    <row r="40" spans="1:31" ht="26.4" thickTop="1">
      <c r="A40" s="54"/>
      <c r="B40" s="10"/>
      <c r="C40" s="11"/>
      <c r="D40" s="11"/>
      <c r="E40" s="11"/>
      <c r="F40" s="11"/>
      <c r="G40" s="11"/>
      <c r="H40" s="11"/>
      <c r="I40" s="11"/>
      <c r="J40" s="11"/>
      <c r="K40" s="12"/>
      <c r="L40" s="12"/>
      <c r="M40" s="11"/>
      <c r="N40" s="11"/>
      <c r="O40" s="11"/>
      <c r="P40" s="11"/>
      <c r="Q40" s="11"/>
      <c r="R40" s="11"/>
      <c r="S40" s="11"/>
      <c r="T40" s="55"/>
      <c r="U40" s="9" t="s">
        <v>171</v>
      </c>
      <c r="V40" s="65">
        <f>Z42/0.58</f>
        <v>0</v>
      </c>
      <c r="W40" s="134">
        <f>SUM(W37:W39)</f>
        <v>3.333333333333333</v>
      </c>
      <c r="X40" s="134">
        <f>SUM(X37:X39)</f>
        <v>10</v>
      </c>
      <c r="Y40" s="134">
        <f>SUM(Y37:Y39)</f>
        <v>1.6666666666666665</v>
      </c>
      <c r="Z40" s="8"/>
      <c r="AA40" s="61"/>
      <c r="AB40" s="56"/>
      <c r="AC40" s="54"/>
      <c r="AD40" s="7"/>
    </row>
    <row r="41" spans="1:31" ht="25.8">
      <c r="A41" s="54"/>
      <c r="B41" s="10"/>
      <c r="C41" s="11"/>
      <c r="D41" s="11"/>
      <c r="E41" s="11"/>
      <c r="F41" s="11"/>
      <c r="G41" s="11"/>
      <c r="H41" s="11"/>
      <c r="I41" s="11"/>
      <c r="J41" s="11"/>
      <c r="K41" s="12"/>
      <c r="L41" s="12"/>
      <c r="M41" s="11"/>
      <c r="N41" s="11"/>
      <c r="O41" s="11"/>
      <c r="P41" s="11"/>
      <c r="Q41" s="11"/>
      <c r="R41" s="11"/>
      <c r="S41" s="11"/>
      <c r="T41" s="55"/>
      <c r="U41" s="312" t="s">
        <v>225</v>
      </c>
      <c r="V41" s="312"/>
      <c r="W41" s="8">
        <f>W40*U37</f>
        <v>0.99999999999999989</v>
      </c>
      <c r="X41" s="8">
        <f>X40*U38</f>
        <v>1</v>
      </c>
      <c r="Y41" s="8">
        <f>Y40*U39</f>
        <v>0.99999999999999989</v>
      </c>
      <c r="Z41" s="131">
        <f>SUM(W41:Y41)</f>
        <v>3</v>
      </c>
      <c r="AA41" s="92"/>
      <c r="AB41" s="56"/>
      <c r="AC41" s="54"/>
      <c r="AD41" s="7"/>
    </row>
    <row r="42" spans="1:31" ht="25.8">
      <c r="A42" s="54"/>
      <c r="B42" s="10"/>
      <c r="C42" s="11"/>
      <c r="D42" s="11"/>
      <c r="E42" s="11"/>
      <c r="F42" s="11"/>
      <c r="G42" s="11"/>
      <c r="H42" s="11"/>
      <c r="I42" s="11"/>
      <c r="J42" s="11"/>
      <c r="K42" s="12"/>
      <c r="L42" s="12"/>
      <c r="M42" s="11"/>
      <c r="N42" s="11"/>
      <c r="O42" s="11"/>
      <c r="P42" s="11"/>
      <c r="Q42" s="11"/>
      <c r="R42" s="11"/>
      <c r="S42" s="11"/>
      <c r="T42" s="55"/>
      <c r="U42" s="312"/>
      <c r="V42" s="312"/>
      <c r="W42" s="8"/>
      <c r="X42" s="8"/>
      <c r="Y42" s="8"/>
      <c r="Z42" s="8">
        <f>(Z41-3)/2</f>
        <v>0</v>
      </c>
      <c r="AA42" s="92"/>
    </row>
    <row r="43" spans="1:31" ht="25.8">
      <c r="A43" s="54"/>
      <c r="B43" s="10"/>
      <c r="C43" s="11"/>
      <c r="D43" s="11"/>
      <c r="E43" s="11"/>
      <c r="F43" s="11"/>
      <c r="G43" s="11"/>
      <c r="H43" s="11"/>
      <c r="I43" s="11"/>
      <c r="J43" s="11"/>
      <c r="K43" s="12"/>
      <c r="L43" s="12"/>
      <c r="M43" s="11"/>
      <c r="N43" s="11"/>
      <c r="O43" s="11"/>
      <c r="P43" s="11"/>
      <c r="Q43" s="11"/>
      <c r="R43" s="11"/>
      <c r="S43" s="11"/>
      <c r="T43" s="54"/>
      <c r="U43" s="57"/>
      <c r="V43" s="54"/>
      <c r="W43" s="54"/>
      <c r="X43" s="54"/>
      <c r="Y43" s="56"/>
      <c r="Z43" s="54"/>
      <c r="AA43" s="54"/>
      <c r="AB43" s="56"/>
      <c r="AC43" s="54"/>
      <c r="AD43" s="8">
        <v>3</v>
      </c>
      <c r="AE43" s="8">
        <v>0.57999999999999996</v>
      </c>
    </row>
    <row r="44" spans="1:31" ht="16.2" customHeight="1">
      <c r="A44" s="54"/>
      <c r="B44" s="4"/>
      <c r="C44" s="303" t="s">
        <v>162</v>
      </c>
      <c r="D44" s="303"/>
      <c r="E44" s="303"/>
      <c r="F44" s="303"/>
      <c r="G44" s="303"/>
      <c r="H44" s="303"/>
      <c r="I44" s="303"/>
      <c r="J44" s="303"/>
      <c r="K44" s="303"/>
      <c r="L44" s="303"/>
      <c r="M44" s="303"/>
      <c r="N44" s="303"/>
      <c r="O44" s="303"/>
      <c r="P44" s="303"/>
      <c r="Q44" s="303"/>
      <c r="R44" s="303"/>
      <c r="S44" s="303"/>
      <c r="T44" s="129"/>
      <c r="U44" s="58"/>
      <c r="V44" s="54"/>
      <c r="W44" s="54"/>
      <c r="X44" s="54"/>
      <c r="Y44" s="54"/>
      <c r="Z44" s="54"/>
      <c r="AA44" s="54"/>
      <c r="AB44" s="5"/>
      <c r="AC44" s="56"/>
      <c r="AD44" s="54"/>
      <c r="AE44" s="7"/>
    </row>
    <row r="45" spans="1:31" ht="24" thickBot="1">
      <c r="A45" s="54"/>
      <c r="B45" s="30"/>
      <c r="C45" s="313" t="s">
        <v>170</v>
      </c>
      <c r="D45" s="314"/>
      <c r="E45" s="314"/>
      <c r="F45" s="314"/>
      <c r="G45" s="314"/>
      <c r="H45" s="314"/>
      <c r="I45" s="314"/>
      <c r="J45" s="315"/>
      <c r="K45" s="40" t="s">
        <v>163</v>
      </c>
      <c r="L45" s="316" t="s">
        <v>169</v>
      </c>
      <c r="M45" s="317"/>
      <c r="N45" s="317"/>
      <c r="O45" s="317"/>
      <c r="P45" s="317"/>
      <c r="Q45" s="317"/>
      <c r="R45" s="317"/>
      <c r="S45" s="318"/>
      <c r="T45" s="129"/>
      <c r="U45" s="54"/>
      <c r="V45" s="54"/>
      <c r="W45" s="54"/>
      <c r="X45" s="54"/>
      <c r="Y45" s="54"/>
      <c r="Z45" s="54"/>
      <c r="AA45" s="54"/>
      <c r="AB45" s="5"/>
      <c r="AC45" s="56"/>
      <c r="AD45" s="54"/>
      <c r="AE45" s="7"/>
    </row>
    <row r="46" spans="1:31" ht="32.4" thickTop="1" thickBot="1">
      <c r="A46" s="54"/>
      <c r="B46" s="53" t="s">
        <v>4</v>
      </c>
      <c r="C46" s="31" t="s">
        <v>167</v>
      </c>
      <c r="D46" s="32"/>
      <c r="E46" s="32" t="s">
        <v>164</v>
      </c>
      <c r="F46" s="32"/>
      <c r="G46" s="32" t="s">
        <v>165</v>
      </c>
      <c r="H46" s="32"/>
      <c r="I46" s="32" t="s">
        <v>166</v>
      </c>
      <c r="J46" s="33"/>
      <c r="K46" s="41" t="s">
        <v>168</v>
      </c>
      <c r="L46" s="44"/>
      <c r="M46" s="45" t="s">
        <v>166</v>
      </c>
      <c r="N46" s="45"/>
      <c r="O46" s="45" t="s">
        <v>165</v>
      </c>
      <c r="P46" s="45"/>
      <c r="Q46" s="45" t="s">
        <v>164</v>
      </c>
      <c r="R46" s="45"/>
      <c r="S46" s="46" t="s">
        <v>167</v>
      </c>
      <c r="T46" s="129"/>
      <c r="U46" s="115"/>
      <c r="V46" s="120" t="s">
        <v>4</v>
      </c>
      <c r="W46" s="118" t="s">
        <v>158</v>
      </c>
      <c r="X46" s="118" t="s">
        <v>254</v>
      </c>
      <c r="Y46" s="118" t="s">
        <v>243</v>
      </c>
      <c r="Z46" s="61"/>
      <c r="AA46" s="54"/>
      <c r="AB46" s="54"/>
      <c r="AC46" s="54"/>
      <c r="AD46" s="54"/>
    </row>
    <row r="47" spans="1:31" ht="32.4" thickTop="1" thickBot="1">
      <c r="A47" s="95" t="str">
        <f>IF(T47=0,"Marcar una 'x'",IF(T47&gt;1,"Sobran 'x'",""))</f>
        <v/>
      </c>
      <c r="B47" s="3" t="s">
        <v>255</v>
      </c>
      <c r="C47" s="34"/>
      <c r="D47" s="35"/>
      <c r="E47" s="35"/>
      <c r="F47" s="35"/>
      <c r="G47" s="35"/>
      <c r="H47" s="35"/>
      <c r="I47" s="35" t="s">
        <v>1</v>
      </c>
      <c r="J47" s="36"/>
      <c r="K47" s="42"/>
      <c r="L47" s="47"/>
      <c r="M47" s="48"/>
      <c r="N47" s="48"/>
      <c r="O47" s="48"/>
      <c r="P47" s="48"/>
      <c r="Q47" s="48"/>
      <c r="R47" s="48"/>
      <c r="S47" s="49"/>
      <c r="T47" s="129">
        <f>COUNTIF(C47:S47,"x")</f>
        <v>1</v>
      </c>
      <c r="U47" s="6">
        <f>Z47/SUM(Z$47:Z$49)</f>
        <v>0.16919987418632496</v>
      </c>
      <c r="V47" s="119" t="s">
        <v>158</v>
      </c>
      <c r="W47" s="87">
        <v>1</v>
      </c>
      <c r="X47" s="5">
        <f>IF( OR(C47="X",C47="x"),1/9,IF(OR(D47="x",D47="X"),1/8,IF(OR(E47="x",E47="X"),1/7,IF(OR(F47="x",F47="X"),1/6,IF(OR(G47="x",G47="X"),1/5,IF(OR(H47="x",H47="X"),1/4,IF(OR(I47="x",I47="X"),1/3,IF(OR(J47="x",J47="X"),1/2,IF(OR(K47="x",K47="X"),1,IF(OR(L47="x",L47="X"),2,IF(OR(M47="x",M47="X"),3,IF(OR(N47="x",N47="X"),4,IF(OR(O47="x",O47="X"),5,IF(OR(P47="x",P47="X"),6,IF(OR(Q47="x",Q47="X"),7,IF(OR(R47="x",R47="X"),8,IF(OR(S47="x",S47="X"),9,"???")))))))))))))))))</f>
        <v>0.33333333333333331</v>
      </c>
      <c r="Y47" s="88">
        <f>IF( OR(C48="X",C48="x"),1/9,IF(OR(D48="x",D48="X"),1/8,IF(OR(E48="x",E48="X"),1/7,IF(OR(F48="x",F48="X"),1/6,IF(OR(G48="x",G48="X"),1/5,IF(OR(H48="x",H48="X"),1/4,IF(OR(I48="x",I48="X"),1/3,IF(OR(J48="x",J48="X"),1/2,IF(OR(K48="x",K48="X"),1,IF(OR(L48="x",L48="X"),2,IF(OR(M48="x",M48="X"),3,IF(OR(N48="x",N48="X"),4,IF(OR(O48="x",O48="X"),5,IF(OR(P48="x",P48="X"),6,IF(OR(Q48="x",Q48="X"),7,IF(OR(R48="x",R48="X"),8,IF(OR(S48="x",S48="X"),9,"???")))))))))))))))))</f>
        <v>0.5</v>
      </c>
      <c r="Z47" s="132">
        <f>POWER(W47*X47*Y47,1/3)</f>
        <v>0.55032120814910446</v>
      </c>
      <c r="AA47" s="135">
        <v>1</v>
      </c>
      <c r="AB47" s="54"/>
      <c r="AC47" s="54"/>
      <c r="AD47" s="54"/>
    </row>
    <row r="48" spans="1:31" ht="32.4" thickTop="1" thickBot="1">
      <c r="A48" s="95" t="str">
        <f>IF(T48=0,"Marcar una 'x'",IF(T48&gt;1,"Sobran 'x'",""))</f>
        <v/>
      </c>
      <c r="B48" s="2" t="s">
        <v>241</v>
      </c>
      <c r="C48" s="37"/>
      <c r="D48" s="38"/>
      <c r="E48" s="38"/>
      <c r="F48" s="38"/>
      <c r="G48" s="38"/>
      <c r="H48" s="38"/>
      <c r="I48" s="38"/>
      <c r="J48" s="39" t="s">
        <v>1</v>
      </c>
      <c r="K48" s="43"/>
      <c r="L48" s="50"/>
      <c r="M48" s="51"/>
      <c r="N48" s="51"/>
      <c r="O48" s="51"/>
      <c r="P48" s="51"/>
      <c r="Q48" s="51"/>
      <c r="R48" s="51"/>
      <c r="S48" s="52"/>
      <c r="T48" s="129">
        <f>COUNTIF(C48:S48,"x")</f>
        <v>1</v>
      </c>
      <c r="U48" s="6">
        <f>Z48/SUM(Z$47:Z$49)</f>
        <v>0.44342911417503911</v>
      </c>
      <c r="V48" s="117" t="s">
        <v>254</v>
      </c>
      <c r="W48" s="87">
        <f>1/X47</f>
        <v>3</v>
      </c>
      <c r="X48" s="5">
        <v>1</v>
      </c>
      <c r="Y48" s="88">
        <f>IF( OR(C49="X",C49="x"),1/9,IF(OR(D49="x",D49="X"),1/8,IF(OR(E49="x",E49="X"),1/7,IF(OR(F49="x",F49="X"),1/6,IF(OR(G49="x",G49="X"),1/5,IF(OR(H49="x",H49="X"),1/4,IF(OR(I49="x",I49="X"),1/3,IF(OR(J49="x",J49="X"),1/2,IF(OR(K49="x",K49="X"),1,IF(OR(L49="x",L49="X"),2,IF(OR(M49="x",M49="X"),3,IF(OR(N49="x",N49="X"),4,IF(OR(O49="x",O49="X"),5,IF(OR(P49="x",P49="X"),6,IF(OR(Q49="x",Q49="X"),7,IF(OR(R49="x",R49="X"),8,IF(OR(S49="x",S49="X"),9,"???")))))))))))))))))</f>
        <v>1</v>
      </c>
      <c r="Z48" s="132">
        <f>POWER(W48*X48*Y48,1/3)</f>
        <v>1.4422495703074083</v>
      </c>
      <c r="AA48" s="8"/>
      <c r="AB48" s="55"/>
      <c r="AC48" s="54"/>
      <c r="AD48" s="8"/>
      <c r="AE48" s="8" t="s">
        <v>10</v>
      </c>
    </row>
    <row r="49" spans="1:32" ht="32.4" thickTop="1" thickBot="1">
      <c r="A49" s="95" t="str">
        <f>IF(T49=0,"Marcar una 'x'",IF(T49&gt;1,"Sobran 'x'",""))</f>
        <v/>
      </c>
      <c r="B49" s="2" t="s">
        <v>256</v>
      </c>
      <c r="C49" s="37"/>
      <c r="D49" s="38"/>
      <c r="E49" s="38"/>
      <c r="F49" s="38"/>
      <c r="G49" s="38"/>
      <c r="H49" s="38"/>
      <c r="I49" s="38"/>
      <c r="J49" s="39"/>
      <c r="K49" s="43" t="s">
        <v>1</v>
      </c>
      <c r="L49" s="50"/>
      <c r="M49" s="51"/>
      <c r="N49" s="51"/>
      <c r="O49" s="51"/>
      <c r="P49" s="51"/>
      <c r="Q49" s="51"/>
      <c r="R49" s="51"/>
      <c r="S49" s="52"/>
      <c r="T49" s="129">
        <f>COUNTIF(C49:S49,"x")</f>
        <v>1</v>
      </c>
      <c r="U49" s="6">
        <f>Z49/SUM(Z$47:Z$49)</f>
        <v>0.38737101163863602</v>
      </c>
      <c r="V49" s="117" t="s">
        <v>242</v>
      </c>
      <c r="W49" s="87">
        <f>1/Y47</f>
        <v>2</v>
      </c>
      <c r="X49" s="5">
        <f>1/Y48</f>
        <v>1</v>
      </c>
      <c r="Y49" s="88">
        <v>1</v>
      </c>
      <c r="Z49" s="132">
        <f>POWER(W49*X49*Y49,1/3)</f>
        <v>1.2599210498948732</v>
      </c>
      <c r="AA49" s="8"/>
      <c r="AB49" s="54"/>
      <c r="AC49" s="54"/>
      <c r="AD49" s="8" t="s">
        <v>11</v>
      </c>
      <c r="AE49" s="8" t="s">
        <v>12</v>
      </c>
    </row>
    <row r="50" spans="1:32" ht="26.4" thickTop="1">
      <c r="A50" s="54"/>
      <c r="B50" s="10"/>
      <c r="C50" s="11"/>
      <c r="D50" s="11"/>
      <c r="E50" s="11"/>
      <c r="F50" s="11"/>
      <c r="G50" s="11"/>
      <c r="H50" s="11"/>
      <c r="I50" s="11"/>
      <c r="J50" s="11"/>
      <c r="K50" s="12"/>
      <c r="L50" s="12"/>
      <c r="M50" s="11"/>
      <c r="N50" s="11"/>
      <c r="O50" s="11"/>
      <c r="P50" s="11"/>
      <c r="Q50" s="11"/>
      <c r="R50" s="11"/>
      <c r="S50" s="11"/>
      <c r="T50" s="54"/>
      <c r="U50" s="9" t="s">
        <v>171</v>
      </c>
      <c r="V50" s="65">
        <f>Z52/0.58</f>
        <v>1.5771299387612459E-2</v>
      </c>
      <c r="W50" s="134">
        <f>SUM(W47:W49)</f>
        <v>6</v>
      </c>
      <c r="X50" s="134">
        <f>SUM(X47:X49)</f>
        <v>2.333333333333333</v>
      </c>
      <c r="Y50" s="134">
        <f>SUM(Y47:Y49)</f>
        <v>2.5</v>
      </c>
      <c r="Z50" s="8"/>
      <c r="AA50" s="133"/>
      <c r="AB50" s="54"/>
      <c r="AC50" s="54"/>
      <c r="AD50" s="8">
        <v>1</v>
      </c>
      <c r="AE50" s="8">
        <v>0</v>
      </c>
    </row>
    <row r="51" spans="1:32" ht="31.95" customHeight="1">
      <c r="A51" s="54"/>
      <c r="B51" s="10"/>
      <c r="C51" s="11"/>
      <c r="D51" s="11"/>
      <c r="E51" s="11"/>
      <c r="F51" s="11"/>
      <c r="G51" s="11"/>
      <c r="H51" s="11"/>
      <c r="I51" s="11"/>
      <c r="J51" s="11"/>
      <c r="K51" s="12"/>
      <c r="L51" s="12"/>
      <c r="M51" s="11"/>
      <c r="N51" s="11"/>
      <c r="O51" s="11"/>
      <c r="P51" s="11"/>
      <c r="Q51" s="11"/>
      <c r="R51" s="11"/>
      <c r="S51" s="11"/>
      <c r="T51" s="54"/>
      <c r="U51" s="312" t="s">
        <v>225</v>
      </c>
      <c r="V51" s="312"/>
      <c r="W51" s="8">
        <f>W50*U47</f>
        <v>1.0151992451179497</v>
      </c>
      <c r="X51" s="8">
        <f>X50*U48</f>
        <v>1.0346679330750912</v>
      </c>
      <c r="Y51" s="8">
        <f>Y50*U49</f>
        <v>0.96842752909659002</v>
      </c>
      <c r="Z51" s="131">
        <f>SUM(W51:Y51)</f>
        <v>3.0182947072896305</v>
      </c>
      <c r="AA51" s="132"/>
      <c r="AB51" s="54"/>
      <c r="AC51" s="54"/>
      <c r="AD51" s="8">
        <v>2</v>
      </c>
      <c r="AE51" s="8">
        <v>0</v>
      </c>
    </row>
    <row r="52" spans="1:32" ht="25.8">
      <c r="A52" s="54"/>
      <c r="B52" s="10"/>
      <c r="C52" s="11"/>
      <c r="D52" s="11"/>
      <c r="E52" s="11"/>
      <c r="F52" s="11"/>
      <c r="G52" s="11"/>
      <c r="H52" s="11"/>
      <c r="I52" s="11"/>
      <c r="J52" s="11"/>
      <c r="K52" s="12"/>
      <c r="L52" s="12"/>
      <c r="M52" s="11"/>
      <c r="N52" s="11"/>
      <c r="O52" s="11"/>
      <c r="P52" s="11"/>
      <c r="Q52" s="11"/>
      <c r="R52" s="11"/>
      <c r="S52" s="11"/>
      <c r="T52" s="54"/>
      <c r="U52" s="312"/>
      <c r="V52" s="312"/>
      <c r="W52" s="8"/>
      <c r="X52" s="8"/>
      <c r="Y52" s="8"/>
      <c r="Z52" s="8">
        <f>(Z51-3)/2</f>
        <v>9.1473536448152259E-3</v>
      </c>
      <c r="AA52" s="132"/>
      <c r="AB52" s="54"/>
      <c r="AC52" s="56"/>
      <c r="AD52" s="54"/>
      <c r="AE52" s="8">
        <v>3</v>
      </c>
      <c r="AF52" s="8">
        <v>0.57999999999999996</v>
      </c>
    </row>
    <row r="53" spans="1:32" s="54" customFormat="1" ht="16.2" customHeight="1">
      <c r="B53" s="93"/>
      <c r="C53" s="303" t="s">
        <v>162</v>
      </c>
      <c r="D53" s="303"/>
      <c r="E53" s="303"/>
      <c r="F53" s="303"/>
      <c r="G53" s="303"/>
      <c r="H53" s="303"/>
      <c r="I53" s="303"/>
      <c r="J53" s="303"/>
      <c r="K53" s="303"/>
      <c r="L53" s="303"/>
      <c r="M53" s="303"/>
      <c r="N53" s="303"/>
      <c r="O53" s="303"/>
      <c r="P53" s="303"/>
      <c r="Q53" s="303"/>
      <c r="R53" s="303"/>
      <c r="S53" s="303"/>
      <c r="T53" s="55"/>
      <c r="U53" s="58"/>
      <c r="AB53" s="5"/>
      <c r="AC53" s="56"/>
      <c r="AE53" s="62"/>
    </row>
    <row r="54" spans="1:32" s="54" customFormat="1" ht="24" thickBot="1">
      <c r="B54" s="94"/>
      <c r="C54" s="313" t="s">
        <v>170</v>
      </c>
      <c r="D54" s="314"/>
      <c r="E54" s="314"/>
      <c r="F54" s="314"/>
      <c r="G54" s="314"/>
      <c r="H54" s="314"/>
      <c r="I54" s="314"/>
      <c r="J54" s="315"/>
      <c r="K54" s="40" t="s">
        <v>163</v>
      </c>
      <c r="L54" s="316" t="s">
        <v>169</v>
      </c>
      <c r="M54" s="317"/>
      <c r="N54" s="317"/>
      <c r="O54" s="317"/>
      <c r="P54" s="317"/>
      <c r="Q54" s="317"/>
      <c r="R54" s="317"/>
      <c r="S54" s="318"/>
      <c r="T54" s="55"/>
      <c r="AB54" s="5"/>
      <c r="AC54" s="56"/>
      <c r="AE54" s="62"/>
    </row>
    <row r="55" spans="1:32" s="54" customFormat="1" ht="48" thickTop="1" thickBot="1">
      <c r="B55" s="96" t="s">
        <v>220</v>
      </c>
      <c r="C55" s="31" t="s">
        <v>167</v>
      </c>
      <c r="D55" s="32"/>
      <c r="E55" s="32" t="s">
        <v>164</v>
      </c>
      <c r="F55" s="32"/>
      <c r="G55" s="32" t="s">
        <v>165</v>
      </c>
      <c r="H55" s="32"/>
      <c r="I55" s="32" t="s">
        <v>166</v>
      </c>
      <c r="J55" s="33"/>
      <c r="K55" s="41" t="s">
        <v>168</v>
      </c>
      <c r="L55" s="44"/>
      <c r="M55" s="45" t="s">
        <v>166</v>
      </c>
      <c r="N55" s="45"/>
      <c r="O55" s="45" t="s">
        <v>165</v>
      </c>
      <c r="P55" s="45"/>
      <c r="Q55" s="45" t="s">
        <v>164</v>
      </c>
      <c r="R55" s="45"/>
      <c r="S55" s="46" t="s">
        <v>167</v>
      </c>
      <c r="T55" s="55"/>
      <c r="U55" s="115"/>
      <c r="V55" s="120" t="s">
        <v>220</v>
      </c>
      <c r="W55" s="118" t="s">
        <v>229</v>
      </c>
      <c r="X55" s="118" t="s">
        <v>209</v>
      </c>
      <c r="Y55" s="118" t="s">
        <v>226</v>
      </c>
      <c r="Z55" s="118" t="s">
        <v>227</v>
      </c>
      <c r="AA55" s="61"/>
    </row>
    <row r="56" spans="1:32" s="54" customFormat="1" ht="48" thickTop="1" thickBot="1">
      <c r="A56" s="95" t="str">
        <f t="shared" ref="A56:A61" si="2">IF(T56=0,"Marcar una 'x'",IF(T56&gt;1,"Sobran 'x'",""))</f>
        <v/>
      </c>
      <c r="B56" s="3" t="s">
        <v>230</v>
      </c>
      <c r="C56" s="34"/>
      <c r="D56" s="35"/>
      <c r="E56" s="35"/>
      <c r="F56" s="35"/>
      <c r="G56" s="35"/>
      <c r="H56" s="35"/>
      <c r="I56" s="35" t="s">
        <v>1</v>
      </c>
      <c r="J56" s="36"/>
      <c r="K56" s="42"/>
      <c r="L56" s="47"/>
      <c r="M56" s="48"/>
      <c r="N56" s="48"/>
      <c r="O56" s="48"/>
      <c r="P56" s="48"/>
      <c r="Q56" s="48"/>
      <c r="R56" s="48"/>
      <c r="S56" s="49"/>
      <c r="T56" s="129">
        <f t="shared" ref="T56:T61" si="3">COUNTIF(C56:S56,"x")</f>
        <v>1</v>
      </c>
      <c r="U56" s="6">
        <f>AA56/SUM(AA$56:AA$59)</f>
        <v>0.16458440786731007</v>
      </c>
      <c r="V56" s="119" t="s">
        <v>229</v>
      </c>
      <c r="W56" s="87">
        <v>1</v>
      </c>
      <c r="X56" s="5">
        <f>IF( OR(C56="X",C56="x"),1/9,IF(OR(D56="x",D56="X"),1/8,IF(OR(E56="x",E56="X"),1/7,IF(OR(F56="x",F56="X"),1/6,IF(OR(G56="x",G56="X"),1/5,IF(OR(H56="x",H56="X"),1/4,IF(OR(I56="x",I56="X"),1/3,IF(OR(J56="x",J56="X"),1/2,IF(OR(K56="x",K56="X"),1,IF(OR(L56="x",L56="X"),2,IF(OR(M56="x",M56="X"),3,IF(OR(N56="x",N56="X"),4,IF(OR(O56="x",O56="X"),5,IF(OR(P56="x",P56="X"),6,IF(OR(Q56="x",Q56="X"),7,IF(OR(R56="x",R56="X"),8,IF(OR(S56="x",S56="X"),9,"???")))))))))))))))))</f>
        <v>0.33333333333333331</v>
      </c>
      <c r="Y56" s="5">
        <f>IF( OR(C57="X",C57="x"),1/9,IF(OR(D57="x",D57="X"),1/8,IF(OR(E57="x",E57="X"),1/7,IF(OR(F57="x",F57="X"),1/6,IF(OR(G57="x",G57="X"),1/5,IF(OR(H57="x",H57="X"),1/4,IF(OR(I57="x",I57="X"),1/3,IF(OR(J57="x",J57="X"),1/2,IF(OR(K57="x",K57="X"),1,IF(OR(L57="x",L57="X"),2,IF(OR(M57="x",M57="X"),3,IF(OR(N57="x",N57="X"),4,IF(OR(O57="x",O57="X"),5,IF(OR(P57="x",P57="X"),6,IF(OR(Q57="x",Q57="X"),7,IF(OR(R57="x",R57="X"),8,IF(OR(S57="x",S57="X"),9,"???")))))))))))))))))</f>
        <v>1</v>
      </c>
      <c r="Z56" s="88">
        <f>IF( OR(C58="X",C58="x"),1/9,IF(OR(D58="x",D58="X"),1/8,IF(OR(E58="x",E58="X"),1/7,IF(OR(F58="x",F58="X"),1/6,IF(OR(G58="x",G58="X"),1/5,IF(OR(H58="x",H58="X"),1/4,IF(OR(I58="x",I58="X"),1/3,IF(OR(J58="x",J58="X"),1/2,IF(OR(K58="x",K58="X"),1,IF(OR(L58="x",L58="X"),2,IF(OR(M58="x",M58="X"),3,IF(OR(N58="x",N58="X"),4,IF(OR(O58="x",O58="X"),5,IF(OR(P58="x",P58="X"),6,IF(OR(Q58="x",Q58="X"),7,IF(OR(R58="x",R58="X"),8,IF(OR(S58="x",S58="X"),9,"???")))))))))))))))))</f>
        <v>1</v>
      </c>
      <c r="AA56" s="132">
        <f>POWER(W56*X56*Y56*Z56,1/4)</f>
        <v>0.75983568565159254</v>
      </c>
      <c r="AB56" s="8"/>
      <c r="AC56" s="150" t="s">
        <v>236</v>
      </c>
      <c r="AD56" s="8"/>
    </row>
    <row r="57" spans="1:32" s="54" customFormat="1" ht="44.4" thickTop="1" thickBot="1">
      <c r="A57" s="95" t="str">
        <f t="shared" si="2"/>
        <v/>
      </c>
      <c r="B57" s="2" t="s">
        <v>231</v>
      </c>
      <c r="C57" s="37"/>
      <c r="D57" s="38"/>
      <c r="E57" s="38"/>
      <c r="F57" s="38"/>
      <c r="G57" s="38"/>
      <c r="H57" s="38"/>
      <c r="I57" s="38"/>
      <c r="J57" s="39"/>
      <c r="K57" s="43" t="s">
        <v>1</v>
      </c>
      <c r="L57" s="50"/>
      <c r="M57" s="51"/>
      <c r="N57" s="51"/>
      <c r="O57" s="51"/>
      <c r="P57" s="51"/>
      <c r="Q57" s="51"/>
      <c r="R57" s="51"/>
      <c r="S57" s="52"/>
      <c r="T57" s="129">
        <f t="shared" si="3"/>
        <v>1</v>
      </c>
      <c r="U57" s="6">
        <f>AA57/SUM(AA$56:AA$59)</f>
        <v>0.49375322360193025</v>
      </c>
      <c r="V57" s="117" t="s">
        <v>209</v>
      </c>
      <c r="W57" s="87">
        <f>1/X56</f>
        <v>3</v>
      </c>
      <c r="X57" s="5">
        <v>1</v>
      </c>
      <c r="Y57" s="5">
        <f>IF( OR(C59="X",C59="x"),1/9,IF(OR(D59="x",D59="X"),1/8,IF(OR(E59="x",E59="X"),1/7,IF(OR(F59="x",F59="X"),1/6,IF(OR(G59="x",G59="X"),1/5,IF(OR(H59="x",H59="X"),1/4,IF(OR(I59="x",I59="X"),1/3,IF(OR(J59="x",J59="X"),1/2,IF(OR(K59="x",K59="X"),1,IF(OR(L59="x",L59="X"),2,IF(OR(M59="x",M59="X"),3,IF(OR(N59="x",N59="X"),4,IF(OR(O59="x",O59="X"),5,IF(OR(P59="x",P59="X"),6,IF(OR(Q59="x",Q59="X"),7,IF(OR(R59="x",R59="X"),8,IF(OR(S59="x",S59="X"),9,"???")))))))))))))))))</f>
        <v>3</v>
      </c>
      <c r="Z57" s="88">
        <f>IF( OR(C60="X",C60="x"),1/9,IF(OR(D60="x",D60="X"),1/8,IF(OR(E60="x",E60="X"),1/7,IF(OR(F60="x",F60="X"),1/6,IF(OR(G60="x",G60="X"),1/5,IF(OR(H60="x",H60="X"),1/4,IF(OR(I60="x",I60="X"),1/3,IF(OR(J60="x",J60="X"),1/2,IF(OR(K60="x",K60="X"),1,IF(OR(L60="x",L60="X"),2,IF(OR(M60="x",M60="X"),3,IF(OR(N60="x",N60="X"),4,IF(OR(O60="x",O60="X"),5,IF(OR(P60="x",P60="X"),6,IF(OR(Q60="x",Q60="X"),7,IF(OR(R60="x",R60="X"),8,IF(OR(S60="x",S60="X"),9,"???")))))))))))))))))</f>
        <v>3</v>
      </c>
      <c r="AA57" s="132">
        <f>POWER(W57*X57*Y57*Z57,1/4)</f>
        <v>2.2795070569547775</v>
      </c>
      <c r="AB57" s="8"/>
      <c r="AC57" s="151">
        <v>1</v>
      </c>
      <c r="AD57" s="8"/>
    </row>
    <row r="58" spans="1:32" s="54" customFormat="1" ht="49.95" customHeight="1" thickTop="1" thickBot="1">
      <c r="A58" s="95" t="str">
        <f t="shared" si="2"/>
        <v/>
      </c>
      <c r="B58" s="2" t="s">
        <v>232</v>
      </c>
      <c r="C58" s="37"/>
      <c r="D58" s="38"/>
      <c r="E58" s="38"/>
      <c r="F58" s="38"/>
      <c r="G58" s="38"/>
      <c r="H58" s="38"/>
      <c r="I58" s="38"/>
      <c r="J58" s="39"/>
      <c r="K58" s="43" t="s">
        <v>1</v>
      </c>
      <c r="L58" s="50"/>
      <c r="M58" s="51"/>
      <c r="N58" s="51"/>
      <c r="O58" s="51"/>
      <c r="P58" s="51"/>
      <c r="Q58" s="51"/>
      <c r="R58" s="51"/>
      <c r="S58" s="52"/>
      <c r="T58" s="129">
        <f t="shared" si="3"/>
        <v>1</v>
      </c>
      <c r="U58" s="6">
        <f>AA58/SUM(AA$56:AA$59)</f>
        <v>0.21660526213134054</v>
      </c>
      <c r="V58" s="117" t="s">
        <v>226</v>
      </c>
      <c r="W58" s="87">
        <f>1/Y56</f>
        <v>1</v>
      </c>
      <c r="X58" s="5">
        <f>1/Y57</f>
        <v>0.33333333333333331</v>
      </c>
      <c r="Y58" s="5">
        <v>1</v>
      </c>
      <c r="Z58" s="88">
        <f>IF( OR(C61="X",C61="x"),1/9,IF(OR(D61="x",D61="X"),1/8,IF(OR(E61="x",E61="X"),1/7,IF(OR(F61="x",F61="X"),1/6,IF(OR(G61="x",G61="X"),1/5,IF(OR(H61="x",H61="X"),1/4,IF(OR(I61="x",I61="X"),1/3,IF(OR(J61="x",J61="X"),1/2,IF(OR(K61="x",K61="X"),1,IF(OR(L61="x",L61="X"),2,IF(OR(M61="x",M61="X"),3,IF(OR(N61="x",N61="X"),4,IF(OR(O61="x",O61="X"),5,IF(OR(P61="x",P61="X"),6,IF(OR(Q61="x",Q61="X"),7,IF(OR(R61="x",R61="X"),8,IF(OR(S61="x",S61="X"),9,"???")))))))))))))))))</f>
        <v>3</v>
      </c>
      <c r="AA58" s="132">
        <f>POWER(W58*X58*Y58*Z58,1/4)</f>
        <v>1</v>
      </c>
      <c r="AB58" s="8"/>
      <c r="AC58" s="8"/>
      <c r="AD58" s="8"/>
    </row>
    <row r="59" spans="1:32" s="54" customFormat="1" ht="49.95" customHeight="1" thickTop="1">
      <c r="A59" s="95" t="str">
        <f t="shared" si="2"/>
        <v/>
      </c>
      <c r="B59" s="2" t="s">
        <v>234</v>
      </c>
      <c r="C59" s="37"/>
      <c r="D59" s="38"/>
      <c r="E59" s="38"/>
      <c r="F59" s="38"/>
      <c r="G59" s="38"/>
      <c r="H59" s="38"/>
      <c r="I59" s="38"/>
      <c r="J59" s="39"/>
      <c r="K59" s="43"/>
      <c r="L59" s="50"/>
      <c r="M59" s="51" t="s">
        <v>1</v>
      </c>
      <c r="N59" s="51"/>
      <c r="O59" s="51"/>
      <c r="P59" s="51"/>
      <c r="Q59" s="51"/>
      <c r="R59" s="51"/>
      <c r="S59" s="52"/>
      <c r="T59" s="129">
        <f t="shared" si="3"/>
        <v>1</v>
      </c>
      <c r="U59" s="6">
        <f>AA59/SUM(AA$56:AA$59)</f>
        <v>0.12505710639941892</v>
      </c>
      <c r="V59" s="63" t="s">
        <v>227</v>
      </c>
      <c r="W59" s="87">
        <f>1/Z56</f>
        <v>1</v>
      </c>
      <c r="X59" s="5">
        <f>1/Z57</f>
        <v>0.33333333333333331</v>
      </c>
      <c r="Y59" s="5">
        <f>1/Z58</f>
        <v>0.33333333333333331</v>
      </c>
      <c r="Z59" s="88">
        <v>1</v>
      </c>
      <c r="AA59" s="132">
        <f>POWER(W59*X59*Y59*Z59,1/4)</f>
        <v>0.57735026918962573</v>
      </c>
      <c r="AB59" s="8"/>
      <c r="AC59" s="8"/>
      <c r="AD59" s="8"/>
    </row>
    <row r="60" spans="1:32" s="54" customFormat="1" ht="49.95" customHeight="1">
      <c r="A60" s="95" t="str">
        <f t="shared" si="2"/>
        <v/>
      </c>
      <c r="B60" s="2" t="s">
        <v>233</v>
      </c>
      <c r="C60" s="37"/>
      <c r="D60" s="38"/>
      <c r="E60" s="38"/>
      <c r="F60" s="38"/>
      <c r="G60" s="38"/>
      <c r="H60" s="38"/>
      <c r="I60" s="38"/>
      <c r="J60" s="39"/>
      <c r="K60" s="43"/>
      <c r="L60" s="50"/>
      <c r="M60" s="51" t="s">
        <v>1</v>
      </c>
      <c r="N60" s="51"/>
      <c r="O60" s="51"/>
      <c r="P60" s="51"/>
      <c r="Q60" s="51"/>
      <c r="R60" s="51"/>
      <c r="S60" s="52"/>
      <c r="T60" s="129">
        <f t="shared" si="3"/>
        <v>1</v>
      </c>
      <c r="U60" s="9" t="s">
        <v>171</v>
      </c>
      <c r="V60" s="65">
        <f>AA62/0.9</f>
        <v>4.8406596408724231E-2</v>
      </c>
      <c r="W60" s="134">
        <f>SUM(W56:W59)</f>
        <v>6</v>
      </c>
      <c r="X60" s="134">
        <f>SUM(X56:X59)</f>
        <v>1.9999999999999998</v>
      </c>
      <c r="Y60" s="134">
        <f>SUM(Y56:Y59)</f>
        <v>5.333333333333333</v>
      </c>
      <c r="Z60" s="134">
        <f>SUM(Z56:Z59)</f>
        <v>8</v>
      </c>
      <c r="AA60" s="8"/>
      <c r="AB60" s="133"/>
      <c r="AC60" s="8"/>
      <c r="AD60" s="8"/>
    </row>
    <row r="61" spans="1:32" s="54" customFormat="1" ht="31.2">
      <c r="A61" s="95" t="str">
        <f t="shared" si="2"/>
        <v/>
      </c>
      <c r="B61" s="2" t="s">
        <v>235</v>
      </c>
      <c r="C61" s="37"/>
      <c r="D61" s="38"/>
      <c r="E61" s="38"/>
      <c r="F61" s="38"/>
      <c r="G61" s="38"/>
      <c r="H61" s="38"/>
      <c r="I61" s="38"/>
      <c r="J61" s="39"/>
      <c r="K61" s="43"/>
      <c r="L61" s="50"/>
      <c r="M61" s="51" t="s">
        <v>1</v>
      </c>
      <c r="N61" s="51"/>
      <c r="O61" s="51"/>
      <c r="P61" s="51"/>
      <c r="Q61" s="51"/>
      <c r="R61" s="51"/>
      <c r="S61" s="52"/>
      <c r="T61" s="129">
        <f t="shared" si="3"/>
        <v>1</v>
      </c>
      <c r="U61" s="312" t="s">
        <v>225</v>
      </c>
      <c r="V61" s="312"/>
      <c r="W61" s="8">
        <f>W60*U56</f>
        <v>0.98750644720386038</v>
      </c>
      <c r="X61" s="8">
        <f>X60*U57</f>
        <v>0.98750644720386038</v>
      </c>
      <c r="Y61" s="8">
        <f>Y60*U58</f>
        <v>1.1552280647004829</v>
      </c>
      <c r="Z61" s="8">
        <f>Z60*U59</f>
        <v>1.0004568511953513</v>
      </c>
      <c r="AA61" s="131">
        <f>SUM(W61:Z61)</f>
        <v>4.1306978103035554</v>
      </c>
      <c r="AB61" s="132"/>
      <c r="AC61" s="8"/>
      <c r="AD61" s="131"/>
    </row>
    <row r="62" spans="1:32">
      <c r="U62" s="312"/>
      <c r="V62" s="312"/>
      <c r="W62" s="8"/>
      <c r="X62" s="8"/>
      <c r="Y62" s="8"/>
      <c r="Z62" s="8"/>
      <c r="AA62" s="8">
        <f>(AA61-4)/3</f>
        <v>4.3565936767851809E-2</v>
      </c>
      <c r="AB62" s="132"/>
      <c r="AC62" s="8"/>
      <c r="AD62" s="8"/>
      <c r="AE62" s="13"/>
    </row>
    <row r="63" spans="1:32">
      <c r="U63" s="13"/>
      <c r="V63" s="13"/>
      <c r="W63" s="13"/>
      <c r="X63" s="13"/>
      <c r="Y63" s="13"/>
      <c r="Z63" s="13"/>
      <c r="AA63" s="54"/>
      <c r="AB63" s="54"/>
      <c r="AC63" s="13"/>
      <c r="AD63" s="13"/>
    </row>
    <row r="64" spans="1:32">
      <c r="AA64" s="54"/>
      <c r="AB64" s="13"/>
      <c r="AC64" s="13"/>
      <c r="AD64" s="13"/>
    </row>
    <row r="65" spans="27:28">
      <c r="AA65" s="54"/>
      <c r="AB65" s="13"/>
    </row>
    <row r="66" spans="27:28">
      <c r="AA66" s="13"/>
    </row>
    <row r="67" spans="27:28">
      <c r="AA67" s="13"/>
    </row>
  </sheetData>
  <sheetProtection selectLockedCells="1"/>
  <mergeCells count="16">
    <mergeCell ref="C20:S20"/>
    <mergeCell ref="C34:S34"/>
    <mergeCell ref="C44:S44"/>
    <mergeCell ref="L21:S21"/>
    <mergeCell ref="C21:J21"/>
    <mergeCell ref="C35:J35"/>
    <mergeCell ref="L35:S35"/>
    <mergeCell ref="U61:V62"/>
    <mergeCell ref="U29:V30"/>
    <mergeCell ref="U51:V52"/>
    <mergeCell ref="C53:S53"/>
    <mergeCell ref="C54:J54"/>
    <mergeCell ref="L54:S54"/>
    <mergeCell ref="C45:J45"/>
    <mergeCell ref="L45:S45"/>
    <mergeCell ref="U41:V42"/>
  </mergeCells>
  <conditionalFormatting sqref="U37:U39">
    <cfRule type="dataBar" priority="17">
      <dataBar>
        <cfvo type="num" val="0"/>
        <cfvo type="num" val="1"/>
        <color theme="9"/>
      </dataBar>
      <extLst>
        <ext xmlns:x14="http://schemas.microsoft.com/office/spreadsheetml/2009/9/main" uri="{B025F937-C7B1-47D3-B67F-A62EFF666E3E}">
          <x14:id>{A2DAE918-B477-DF4C-821E-513895FA89F2}</x14:id>
        </ext>
      </extLst>
    </cfRule>
  </conditionalFormatting>
  <conditionalFormatting sqref="U47:U49">
    <cfRule type="dataBar" priority="14">
      <dataBar>
        <cfvo type="num" val="0"/>
        <cfvo type="num" val="1"/>
        <color theme="9"/>
      </dataBar>
      <extLst>
        <ext xmlns:x14="http://schemas.microsoft.com/office/spreadsheetml/2009/9/main" uri="{B025F937-C7B1-47D3-B67F-A62EFF666E3E}">
          <x14:id>{7E1440C7-F615-3246-AE81-AD262B0E732D}</x14:id>
        </ext>
      </extLst>
    </cfRule>
  </conditionalFormatting>
  <conditionalFormatting sqref="U23:U27">
    <cfRule type="dataBar" priority="13">
      <dataBar>
        <cfvo type="num" val="0"/>
        <cfvo type="num" val="1"/>
        <color theme="9"/>
      </dataBar>
      <extLst>
        <ext xmlns:x14="http://schemas.microsoft.com/office/spreadsheetml/2009/9/main" uri="{B025F937-C7B1-47D3-B67F-A62EFF666E3E}">
          <x14:id>{58B2F785-4E37-3449-80F0-D6297943C204}</x14:id>
        </ext>
      </extLst>
    </cfRule>
  </conditionalFormatting>
  <conditionalFormatting sqref="V28">
    <cfRule type="cellIs" dxfId="3" priority="7" operator="greaterThan">
      <formula>0.1</formula>
    </cfRule>
  </conditionalFormatting>
  <conditionalFormatting sqref="V50">
    <cfRule type="cellIs" dxfId="2" priority="6" operator="greaterThan">
      <formula>0.1</formula>
    </cfRule>
  </conditionalFormatting>
  <conditionalFormatting sqref="U56:U59">
    <cfRule type="dataBar" priority="5">
      <dataBar>
        <cfvo type="num" val="0"/>
        <cfvo type="num" val="1"/>
        <color theme="9"/>
      </dataBar>
      <extLst>
        <ext xmlns:x14="http://schemas.microsoft.com/office/spreadsheetml/2009/9/main" uri="{B025F937-C7B1-47D3-B67F-A62EFF666E3E}">
          <x14:id>{28964DDD-0081-3441-9A61-DA5E9FE95FB4}</x14:id>
        </ext>
      </extLst>
    </cfRule>
  </conditionalFormatting>
  <conditionalFormatting sqref="V60">
    <cfRule type="cellIs" dxfId="1" priority="4" operator="greaterThan">
      <formula>0.1</formula>
    </cfRule>
  </conditionalFormatting>
  <conditionalFormatting sqref="V40">
    <cfRule type="cellIs" dxfId="0" priority="1" operator="greaterThan">
      <formula>0.1</formula>
    </cfRule>
  </conditionalFormatting>
  <pageMargins left="0.70866141732283472" right="0.70866141732283472" top="0.74803149606299213" bottom="0.74803149606299213" header="0.31496062992125984" footer="0.31496062992125984"/>
  <pageSetup paperSize="9" scale="40" orientation="landscape" horizontalDpi="4294967292" verticalDpi="4294967292" r:id="rId1"/>
  <drawing r:id="rId2"/>
  <extLst>
    <ext xmlns:x14="http://schemas.microsoft.com/office/spreadsheetml/2009/9/main" uri="{78C0D931-6437-407d-A8EE-F0AAD7539E65}">
      <x14:conditionalFormattings>
        <x14:conditionalFormatting xmlns:xm="http://schemas.microsoft.com/office/excel/2006/main">
          <x14:cfRule type="dataBar" id="{A2DAE918-B477-DF4C-821E-513895FA89F2}">
            <x14:dataBar minLength="0" maxLength="100" border="1" direction="rightToLeft" negativeBarBorderColorSameAsPositive="0">
              <x14:cfvo type="num">
                <xm:f>0</xm:f>
              </x14:cfvo>
              <x14:cfvo type="num">
                <xm:f>1</xm:f>
              </x14:cfvo>
              <x14:borderColor theme="9" tint="-0.499984740745262"/>
              <x14:negativeFillColor rgb="FFFF0000"/>
              <x14:negativeBorderColor rgb="FFFF0000"/>
              <x14:axisColor rgb="FF000000"/>
            </x14:dataBar>
          </x14:cfRule>
          <xm:sqref>U37:U39</xm:sqref>
        </x14:conditionalFormatting>
        <x14:conditionalFormatting xmlns:xm="http://schemas.microsoft.com/office/excel/2006/main">
          <x14:cfRule type="dataBar" id="{7E1440C7-F615-3246-AE81-AD262B0E732D}">
            <x14:dataBar minLength="0" maxLength="100" border="1" direction="rightToLeft" negativeBarBorderColorSameAsPositive="0">
              <x14:cfvo type="num">
                <xm:f>0</xm:f>
              </x14:cfvo>
              <x14:cfvo type="num">
                <xm:f>1</xm:f>
              </x14:cfvo>
              <x14:borderColor theme="9" tint="-0.499984740745262"/>
              <x14:negativeFillColor rgb="FFFF0000"/>
              <x14:negativeBorderColor rgb="FFFF0000"/>
              <x14:axisColor rgb="FF000000"/>
            </x14:dataBar>
          </x14:cfRule>
          <xm:sqref>U47:U49</xm:sqref>
        </x14:conditionalFormatting>
        <x14:conditionalFormatting xmlns:xm="http://schemas.microsoft.com/office/excel/2006/main">
          <x14:cfRule type="dataBar" id="{58B2F785-4E37-3449-80F0-D6297943C204}">
            <x14:dataBar minLength="0" maxLength="100" border="1" direction="rightToLeft" negativeBarBorderColorSameAsPositive="0">
              <x14:cfvo type="num">
                <xm:f>0</xm:f>
              </x14:cfvo>
              <x14:cfvo type="num">
                <xm:f>1</xm:f>
              </x14:cfvo>
              <x14:borderColor theme="9" tint="-0.499984740745262"/>
              <x14:negativeFillColor rgb="FFFF0000"/>
              <x14:negativeBorderColor rgb="FFFF0000"/>
              <x14:axisColor rgb="FF000000"/>
            </x14:dataBar>
          </x14:cfRule>
          <xm:sqref>U23:U27</xm:sqref>
        </x14:conditionalFormatting>
        <x14:conditionalFormatting xmlns:xm="http://schemas.microsoft.com/office/excel/2006/main">
          <x14:cfRule type="dataBar" id="{28964DDD-0081-3441-9A61-DA5E9FE95FB4}">
            <x14:dataBar minLength="0" maxLength="100" border="1" direction="rightToLeft" negativeBarBorderColorSameAsPositive="0">
              <x14:cfvo type="num">
                <xm:f>0</xm:f>
              </x14:cfvo>
              <x14:cfvo type="num">
                <xm:f>1</xm:f>
              </x14:cfvo>
              <x14:borderColor theme="9" tint="-0.499984740745262"/>
              <x14:negativeFillColor rgb="FFFF0000"/>
              <x14:negativeBorderColor rgb="FFFF0000"/>
              <x14:axisColor rgb="FF000000"/>
            </x14:dataBar>
          </x14:cfRule>
          <xm:sqref>U56:U59</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theme="8"/>
  </sheetPr>
  <dimension ref="A1:U155"/>
  <sheetViews>
    <sheetView showGridLines="0" zoomScale="80" zoomScaleNormal="80" workbookViewId="0">
      <pane xSplit="3" ySplit="1" topLeftCell="D2" activePane="bottomRight" state="frozen"/>
      <selection pane="topRight" activeCell="D1" sqref="D1"/>
      <selection pane="bottomLeft" activeCell="A3" sqref="A3"/>
      <selection pane="bottomRight" activeCell="D1" sqref="A1:XFD2"/>
    </sheetView>
  </sheetViews>
  <sheetFormatPr defaultColWidth="11.19921875" defaultRowHeight="15.6"/>
  <cols>
    <col min="1" max="1" width="18.69921875" customWidth="1"/>
    <col min="2" max="2" width="20" bestFit="1" customWidth="1"/>
    <col min="3" max="3" width="29.19921875" bestFit="1" customWidth="1"/>
    <col min="4" max="4" width="13.19921875" customWidth="1"/>
    <col min="5" max="5" width="18.19921875" customWidth="1"/>
    <col min="6" max="6" width="16.796875" customWidth="1"/>
    <col min="7" max="7" width="16.5" customWidth="1"/>
    <col min="8" max="8" width="16" customWidth="1"/>
    <col min="9" max="9" width="12" customWidth="1"/>
    <col min="10" max="10" width="18.796875" customWidth="1"/>
    <col min="11" max="11" width="19.5" customWidth="1"/>
    <col min="12" max="12" width="14.69921875" customWidth="1"/>
    <col min="13" max="14" width="12.69921875" customWidth="1"/>
    <col min="15" max="15" width="13.69921875" customWidth="1"/>
    <col min="16" max="17" width="12.69921875" customWidth="1"/>
    <col min="18" max="18" width="11.69921875" customWidth="1"/>
    <col min="19" max="19" width="12.19921875" customWidth="1"/>
    <col min="20" max="20" width="12" customWidth="1"/>
    <col min="21" max="21" width="17.69921875" customWidth="1"/>
    <col min="23" max="23" width="11.19921875" bestFit="1" customWidth="1"/>
  </cols>
  <sheetData>
    <row r="1" spans="1:21" s="15" customFormat="1" ht="48" thickTop="1" thickBot="1">
      <c r="A1" s="145" t="s">
        <v>161</v>
      </c>
      <c r="B1" s="100" t="s">
        <v>15</v>
      </c>
      <c r="C1" s="101" t="s">
        <v>16</v>
      </c>
      <c r="D1" s="141" t="s">
        <v>251</v>
      </c>
      <c r="E1" s="142" t="s">
        <v>14</v>
      </c>
      <c r="F1" s="154" t="s">
        <v>238</v>
      </c>
      <c r="G1" s="136" t="s">
        <v>210</v>
      </c>
      <c r="H1" s="141" t="s">
        <v>153</v>
      </c>
      <c r="I1" s="250" t="s">
        <v>254</v>
      </c>
      <c r="J1" s="142" t="s">
        <v>239</v>
      </c>
      <c r="K1" s="163" t="s">
        <v>257</v>
      </c>
      <c r="L1" s="141" t="s">
        <v>207</v>
      </c>
      <c r="M1" s="250" t="s">
        <v>209</v>
      </c>
      <c r="N1" s="250" t="s">
        <v>226</v>
      </c>
      <c r="O1" s="142" t="s">
        <v>227</v>
      </c>
      <c r="P1" s="102" t="s">
        <v>2</v>
      </c>
      <c r="Q1" s="144" t="s">
        <v>3</v>
      </c>
      <c r="R1" s="144" t="s">
        <v>4</v>
      </c>
      <c r="S1" s="144" t="s">
        <v>289</v>
      </c>
      <c r="T1" s="144" t="s">
        <v>220</v>
      </c>
      <c r="U1" s="124" t="s">
        <v>0</v>
      </c>
    </row>
    <row r="2" spans="1:21" ht="16.8" thickTop="1" thickBot="1">
      <c r="A2" s="152">
        <f>_xlfn.RANK.EQ(U2,U$2:U$132)</f>
        <v>58</v>
      </c>
      <c r="B2" s="103" t="s">
        <v>17</v>
      </c>
      <c r="C2" s="105" t="s">
        <v>18</v>
      </c>
      <c r="D2" s="193">
        <v>7.7237397290695092E-2</v>
      </c>
      <c r="E2" s="139">
        <v>79.53</v>
      </c>
      <c r="F2" s="155">
        <v>0.26652407532995981</v>
      </c>
      <c r="G2" s="137">
        <v>34675.847913459736</v>
      </c>
      <c r="H2" s="99">
        <v>8.2100000000000009</v>
      </c>
      <c r="I2" s="166">
        <v>10.76</v>
      </c>
      <c r="J2" s="157">
        <v>4.7497384726804537E-2</v>
      </c>
      <c r="K2" s="164">
        <v>124121.57</v>
      </c>
      <c r="L2" s="262">
        <v>3.4718569174118884E-2</v>
      </c>
      <c r="M2" s="263">
        <v>897</v>
      </c>
      <c r="N2" s="262">
        <v>2.8845844977674985E-2</v>
      </c>
      <c r="O2" s="262">
        <v>2.7632235528942117E-2</v>
      </c>
      <c r="P2" s="107">
        <f>('Modelo AHP'!$U$37*aux!P5)+('Modelo AHP'!$U$38*aux!R5)+('Modelo AHP'!$U$39*aux!S5)</f>
        <v>6.1631061192219715E-3</v>
      </c>
      <c r="Q2" s="109">
        <f>aux!U5</f>
        <v>7.6443808930047839E-3</v>
      </c>
      <c r="R2" s="107">
        <f>('Modelo AHP'!$U$47*aux!V5)+('Modelo AHP'!$U$48*aux!W5)+('Modelo AHP'!$U$49*aux!X5)</f>
        <v>8.316280832178103E-3</v>
      </c>
      <c r="S2" s="109">
        <f>aux!Z5</f>
        <v>7.6205390026316292E-3</v>
      </c>
      <c r="T2" s="111">
        <f>('Modelo AHP'!$U$56*aux!AA5)+('Modelo AHP'!$U$57*aux!AB5)+('Modelo AHP'!$U$58*aux!AC5)+('Modelo AHP'!$U$59*aux!AD5)</f>
        <v>6.5016404598339274E-3</v>
      </c>
      <c r="U2" s="125">
        <f>('Modelo AHP'!$U$23*aux!AE5)+('Modelo AHP'!$U$24*aux!AF5)+('Modelo AHP'!$U$25*aux!AG5)+('Modelo AHP'!$U$26*aux!AH5)+('Modelo AHP'!$U$27*aux!AI5)</f>
        <v>7.5180102743885218E-3</v>
      </c>
    </row>
    <row r="3" spans="1:21" thickBot="1">
      <c r="A3" s="152">
        <f>_xlfn.RANK.EQ(U3,U$2:U$132)</f>
        <v>44</v>
      </c>
      <c r="B3" s="104" t="s">
        <v>17</v>
      </c>
      <c r="C3" s="106" t="s">
        <v>19</v>
      </c>
      <c r="D3" s="194">
        <v>0.1636343266860856</v>
      </c>
      <c r="E3" s="140">
        <v>82.04</v>
      </c>
      <c r="F3" s="156">
        <v>0.35072716235120227</v>
      </c>
      <c r="G3" s="138">
        <v>25999.832743082243</v>
      </c>
      <c r="H3" s="98">
        <v>8.94</v>
      </c>
      <c r="I3" s="167">
        <v>11.99</v>
      </c>
      <c r="J3" s="158">
        <v>4.7497384726804537E-2</v>
      </c>
      <c r="K3" s="165">
        <v>86821.52</v>
      </c>
      <c r="L3" s="262">
        <v>3.4718569174118884E-2</v>
      </c>
      <c r="M3" s="263">
        <v>897</v>
      </c>
      <c r="N3" s="262">
        <v>2.8845844977674985E-2</v>
      </c>
      <c r="O3" s="262">
        <v>2.7632235528942117E-2</v>
      </c>
      <c r="P3" s="108">
        <f>('Modelo AHP'!$U$37*aux!P6)+('Modelo AHP'!$U$38*aux!R6)+('Modelo AHP'!$U$39*aux!S6)</f>
        <v>9.571169231756816E-3</v>
      </c>
      <c r="Q3" s="110">
        <f>aux!U6</f>
        <v>7.65637234131363E-3</v>
      </c>
      <c r="R3" s="108">
        <f>('Modelo AHP'!$U$47*aux!V6)+('Modelo AHP'!$U$48*aux!W6)+('Modelo AHP'!$U$49*aux!X6)</f>
        <v>8.8934643361058552E-3</v>
      </c>
      <c r="S3" s="110">
        <f>aux!Z6</f>
        <v>7.6421063717307443E-3</v>
      </c>
      <c r="T3" s="112">
        <f>('Modelo AHP'!$U$56*aux!AA6)+('Modelo AHP'!$U$57*aux!AB6)+('Modelo AHP'!$U$58*aux!AC6)+('Modelo AHP'!$U$59*aux!AD6)</f>
        <v>6.5016404598339274E-3</v>
      </c>
      <c r="U3" s="126">
        <f>('Modelo AHP'!$U$23*aux!AE6)+('Modelo AHP'!$U$24*aux!AF6)+('Modelo AHP'!$U$25*aux!AG6)+('Modelo AHP'!$U$26*aux!AH6)+('Modelo AHP'!$U$27*aux!AI6)</f>
        <v>8.2894926514455545E-3</v>
      </c>
    </row>
    <row r="4" spans="1:21" ht="16.8" thickTop="1" thickBot="1">
      <c r="A4" s="152">
        <f>_xlfn.RANK.EQ(U4,U$2:U$132)</f>
        <v>71</v>
      </c>
      <c r="B4" s="104" t="s">
        <v>17</v>
      </c>
      <c r="C4" s="106" t="s">
        <v>20</v>
      </c>
      <c r="D4" s="194">
        <v>9.2678757952711036E-2</v>
      </c>
      <c r="E4" s="140">
        <v>80.94</v>
      </c>
      <c r="F4" s="156">
        <v>0.23501146663754505</v>
      </c>
      <c r="G4" s="138">
        <v>34952.679804656669</v>
      </c>
      <c r="H4" s="98">
        <v>6.88</v>
      </c>
      <c r="I4" s="167">
        <v>9.0399999999999991</v>
      </c>
      <c r="J4" s="158">
        <v>4.7497384726804537E-2</v>
      </c>
      <c r="K4" s="165">
        <v>147344.70000000001</v>
      </c>
      <c r="L4" s="262">
        <v>3.4718569174118884E-2</v>
      </c>
      <c r="M4" s="263">
        <v>897</v>
      </c>
      <c r="N4" s="262">
        <v>2.8845844977674985E-2</v>
      </c>
      <c r="O4" s="262">
        <v>2.7632235528942117E-2</v>
      </c>
      <c r="P4" s="108">
        <f>('Modelo AHP'!$U$37*aux!P7)+('Modelo AHP'!$U$38*aux!R7)+('Modelo AHP'!$U$39*aux!S7)</f>
        <v>6.1993768264650868E-3</v>
      </c>
      <c r="Q4" s="110">
        <f>aux!U7</f>
        <v>7.6439982731904632E-3</v>
      </c>
      <c r="R4" s="108">
        <f>('Modelo AHP'!$U$47*aux!V7)+('Modelo AHP'!$U$48*aux!W7)+('Modelo AHP'!$U$49*aux!X7)</f>
        <v>7.4560000970032552E-3</v>
      </c>
      <c r="S4" s="110">
        <f>aux!Z7</f>
        <v>7.6071110898983567E-3</v>
      </c>
      <c r="T4" s="112">
        <f>('Modelo AHP'!$U$56*aux!AA7)+('Modelo AHP'!$U$57*aux!AB7)+('Modelo AHP'!$U$58*aux!AC7)+('Modelo AHP'!$U$59*aux!AD7)</f>
        <v>6.5016404598339274E-3</v>
      </c>
      <c r="U4" s="126">
        <f>('Modelo AHP'!$U$23*aux!AE7)+('Modelo AHP'!$U$24*aux!AF7)+('Modelo AHP'!$U$25*aux!AG7)+('Modelo AHP'!$U$26*aux!AH7)+('Modelo AHP'!$U$27*aux!AI7)</f>
        <v>7.2289506850036749E-3</v>
      </c>
    </row>
    <row r="5" spans="1:21" ht="16.8" thickTop="1" thickBot="1">
      <c r="A5" s="152">
        <f>_xlfn.RANK.EQ(U5,U$2:U$132)</f>
        <v>70</v>
      </c>
      <c r="B5" s="104" t="s">
        <v>17</v>
      </c>
      <c r="C5" s="106" t="s">
        <v>21</v>
      </c>
      <c r="D5" s="194">
        <v>9.6935697912896621E-2</v>
      </c>
      <c r="E5" s="140">
        <v>81.36</v>
      </c>
      <c r="F5" s="156">
        <v>0.21742532005689899</v>
      </c>
      <c r="G5" s="138">
        <v>40314.882263767009</v>
      </c>
      <c r="H5" s="98">
        <v>6.63</v>
      </c>
      <c r="I5" s="167">
        <v>9.39</v>
      </c>
      <c r="J5" s="158">
        <v>4.7497384726804537E-2</v>
      </c>
      <c r="K5" s="165">
        <v>158945.04</v>
      </c>
      <c r="L5" s="262">
        <v>3.4718569174118884E-2</v>
      </c>
      <c r="M5" s="263">
        <v>897</v>
      </c>
      <c r="N5" s="262">
        <v>2.8845844977674985E-2</v>
      </c>
      <c r="O5" s="262">
        <v>2.7632235528942117E-2</v>
      </c>
      <c r="P5" s="108">
        <f>('Modelo AHP'!$U$37*aux!P8)+('Modelo AHP'!$U$38*aux!R8)+('Modelo AHP'!$U$39*aux!S8)</f>
        <v>6.0999096047286696E-3</v>
      </c>
      <c r="Q5" s="110">
        <f>aux!U8</f>
        <v>7.6365869706111946E-3</v>
      </c>
      <c r="R5" s="108">
        <f>('Modelo AHP'!$U$47*aux!V8)+('Modelo AHP'!$U$48*aux!W8)+('Modelo AHP'!$U$49*aux!X8)</f>
        <v>7.541537235745987E-3</v>
      </c>
      <c r="S5" s="110">
        <f>aux!Z8</f>
        <v>7.6004036239712266E-3</v>
      </c>
      <c r="T5" s="112">
        <f>('Modelo AHP'!$U$56*aux!AA8)+('Modelo AHP'!$U$57*aux!AB8)+('Modelo AHP'!$U$58*aux!AC8)+('Modelo AHP'!$U$59*aux!AD8)</f>
        <v>6.5016404598339274E-3</v>
      </c>
      <c r="U5" s="126">
        <f>('Modelo AHP'!$U$23*aux!AE8)+('Modelo AHP'!$U$24*aux!AF8)+('Modelo AHP'!$U$25*aux!AG8)+('Modelo AHP'!$U$26*aux!AH8)+('Modelo AHP'!$U$27*aux!AI8)</f>
        <v>7.2386862393332236E-3</v>
      </c>
    </row>
    <row r="6" spans="1:21" ht="16.8" thickTop="1" thickBot="1">
      <c r="A6" s="152">
        <f>_xlfn.RANK.EQ(U6,U$2:U$132)</f>
        <v>59</v>
      </c>
      <c r="B6" s="104" t="s">
        <v>17</v>
      </c>
      <c r="C6" s="106" t="s">
        <v>22</v>
      </c>
      <c r="D6" s="194">
        <v>0.11230863837913066</v>
      </c>
      <c r="E6" s="140">
        <v>82.81</v>
      </c>
      <c r="F6" s="156">
        <v>0.26114939047474822</v>
      </c>
      <c r="G6" s="138">
        <v>30701.652039292203</v>
      </c>
      <c r="H6" s="98">
        <v>7.06</v>
      </c>
      <c r="I6" s="167">
        <v>9.92</v>
      </c>
      <c r="J6" s="158">
        <v>4.7497384726804537E-2</v>
      </c>
      <c r="K6" s="165">
        <v>106883.32</v>
      </c>
      <c r="L6" s="262">
        <v>3.4718569174118884E-2</v>
      </c>
      <c r="M6" s="263">
        <v>897</v>
      </c>
      <c r="N6" s="262">
        <v>2.8845844977674985E-2</v>
      </c>
      <c r="O6" s="262">
        <v>2.7632235528942117E-2</v>
      </c>
      <c r="P6" s="108">
        <f>('Modelo AHP'!$U$37*aux!P9)+('Modelo AHP'!$U$38*aux!R9)+('Modelo AHP'!$U$39*aux!S9)</f>
        <v>7.0598052622509559E-3</v>
      </c>
      <c r="Q6" s="110">
        <f>aux!U9</f>
        <v>7.649873779250191E-3</v>
      </c>
      <c r="R6" s="108">
        <f>('Modelo AHP'!$U$47*aux!V9)+('Modelo AHP'!$U$48*aux!W9)+('Modelo AHP'!$U$49*aux!X9)</f>
        <v>7.8100925783926752E-3</v>
      </c>
      <c r="S6" s="110">
        <f>aux!Z9</f>
        <v>7.6305063807014396E-3</v>
      </c>
      <c r="T6" s="112">
        <f>('Modelo AHP'!$U$56*aux!AA9)+('Modelo AHP'!$U$57*aux!AB9)+('Modelo AHP'!$U$58*aux!AC9)+('Modelo AHP'!$U$59*aux!AD9)</f>
        <v>6.5016404598339274E-3</v>
      </c>
      <c r="U6" s="126">
        <f>('Modelo AHP'!$U$23*aux!AE9)+('Modelo AHP'!$U$24*aux!AF9)+('Modelo AHP'!$U$25*aux!AG9)+('Modelo AHP'!$U$26*aux!AH9)+('Modelo AHP'!$U$27*aux!AI9)</f>
        <v>7.4971994925779962E-3</v>
      </c>
    </row>
    <row r="7" spans="1:21" ht="16.8" thickTop="1" thickBot="1">
      <c r="A7" s="152">
        <f t="shared" ref="A7:A66" si="0">_xlfn.RANK.EQ(U7,U$2:U$132)</f>
        <v>54</v>
      </c>
      <c r="B7" s="104" t="s">
        <v>17</v>
      </c>
      <c r="C7" s="106" t="s">
        <v>23</v>
      </c>
      <c r="D7" s="194">
        <v>0.11790029162616303</v>
      </c>
      <c r="E7" s="140">
        <v>79.08</v>
      </c>
      <c r="F7" s="156">
        <v>0.26512226512226511</v>
      </c>
      <c r="G7" s="138">
        <v>30935.804311342592</v>
      </c>
      <c r="H7" s="98">
        <v>7.9</v>
      </c>
      <c r="I7" s="167">
        <v>11.45</v>
      </c>
      <c r="J7" s="158">
        <v>4.7497384726804537E-2</v>
      </c>
      <c r="K7" s="165">
        <v>171610.78</v>
      </c>
      <c r="L7" s="262">
        <v>3.4718569174118884E-2</v>
      </c>
      <c r="M7" s="263">
        <v>897</v>
      </c>
      <c r="N7" s="262">
        <v>2.8845844977674985E-2</v>
      </c>
      <c r="O7" s="262">
        <v>2.7632235528942117E-2</v>
      </c>
      <c r="P7" s="108">
        <f>('Modelo AHP'!$U$37*aux!P10)+('Modelo AHP'!$U$38*aux!R10)+('Modelo AHP'!$U$39*aux!S10)</f>
        <v>7.2624858059393057E-3</v>
      </c>
      <c r="Q7" s="110">
        <f>aux!U10</f>
        <v>7.6495501485497426E-3</v>
      </c>
      <c r="R7" s="108">
        <f>('Modelo AHP'!$U$47*aux!V10)+('Modelo AHP'!$U$48*aux!W10)+('Modelo AHP'!$U$49*aux!X10)</f>
        <v>8.5163520791384818E-3</v>
      </c>
      <c r="S7" s="110">
        <f>aux!Z10</f>
        <v>7.593080130048474E-3</v>
      </c>
      <c r="T7" s="112">
        <f>('Modelo AHP'!$U$56*aux!AA10)+('Modelo AHP'!$U$57*aux!AB10)+('Modelo AHP'!$U$58*aux!AC10)+('Modelo AHP'!$U$59*aux!AD10)</f>
        <v>6.5016404598339274E-3</v>
      </c>
      <c r="U7" s="126">
        <f>('Modelo AHP'!$U$23*aux!AE10)+('Modelo AHP'!$U$24*aux!AF10)+('Modelo AHP'!$U$25*aux!AG10)+('Modelo AHP'!$U$26*aux!AH10)+('Modelo AHP'!$U$27*aux!AI10)</f>
        <v>7.7694538085192411E-3</v>
      </c>
    </row>
    <row r="8" spans="1:21" ht="16.8" thickTop="1" thickBot="1">
      <c r="A8" s="152">
        <f t="shared" si="0"/>
        <v>89</v>
      </c>
      <c r="B8" s="104" t="s">
        <v>24</v>
      </c>
      <c r="C8" s="106" t="s">
        <v>25</v>
      </c>
      <c r="D8" s="194">
        <v>3.6753378229675601E-2</v>
      </c>
      <c r="E8" s="140">
        <v>83.7</v>
      </c>
      <c r="F8" s="156">
        <v>0.26624692033944702</v>
      </c>
      <c r="G8" s="138">
        <v>41950.812045864746</v>
      </c>
      <c r="H8" s="98">
        <v>6.83</v>
      </c>
      <c r="I8" s="167">
        <v>8.06</v>
      </c>
      <c r="J8" s="158">
        <v>3.9670622889987663E-2</v>
      </c>
      <c r="K8" s="165">
        <v>87446.56</v>
      </c>
      <c r="L8" s="262">
        <v>3.5244608100999476E-2</v>
      </c>
      <c r="M8" s="263">
        <v>266</v>
      </c>
      <c r="N8" s="262">
        <v>3.5238187016157531E-2</v>
      </c>
      <c r="O8" s="262">
        <v>3.9202844311377244E-2</v>
      </c>
      <c r="P8" s="108">
        <f>('Modelo AHP'!$U$37*aux!P11)+('Modelo AHP'!$U$38*aux!R11)+('Modelo AHP'!$U$39*aux!S11)</f>
        <v>5.0477217180203166E-3</v>
      </c>
      <c r="Q8" s="110">
        <f>aux!U11</f>
        <v>7.6343258902610931E-3</v>
      </c>
      <c r="R8" s="108">
        <f>('Modelo AHP'!$U$47*aux!V11)+('Modelo AHP'!$U$48*aux!W11)+('Modelo AHP'!$U$49*aux!X11)</f>
        <v>6.6008563178743974E-3</v>
      </c>
      <c r="S8" s="110">
        <f>aux!Z11</f>
        <v>7.6417449655561756E-3</v>
      </c>
      <c r="T8" s="112">
        <f>('Modelo AHP'!$U$56*aux!AA11)+('Modelo AHP'!$U$57*aux!AB11)+('Modelo AHP'!$U$58*aux!AC11)+('Modelo AHP'!$U$59*aux!AD11)</f>
        <v>4.0224239138251074E-3</v>
      </c>
      <c r="U8" s="126">
        <f>('Modelo AHP'!$U$23*aux!AE11)+('Modelo AHP'!$U$24*aux!AF11)+('Modelo AHP'!$U$25*aux!AG11)+('Modelo AHP'!$U$26*aux!AH11)+('Modelo AHP'!$U$27*aux!AI11)</f>
        <v>6.5119133924937244E-3</v>
      </c>
    </row>
    <row r="9" spans="1:21" ht="16.8" thickTop="1" thickBot="1">
      <c r="A9" s="152">
        <f t="shared" si="0"/>
        <v>90</v>
      </c>
      <c r="B9" s="104" t="s">
        <v>24</v>
      </c>
      <c r="C9" s="106" t="s">
        <v>316</v>
      </c>
      <c r="D9" s="194">
        <v>3.7958150798617724E-2</v>
      </c>
      <c r="E9" s="140">
        <v>84.41</v>
      </c>
      <c r="F9" s="156">
        <v>0.26345045985917864</v>
      </c>
      <c r="G9" s="138">
        <v>44669.182438943455</v>
      </c>
      <c r="H9" s="98">
        <v>6.57</v>
      </c>
      <c r="I9" s="167">
        <v>7.67</v>
      </c>
      <c r="J9" s="158">
        <v>3.9670622889987663E-2</v>
      </c>
      <c r="K9" s="165">
        <v>83248.38</v>
      </c>
      <c r="L9" s="262">
        <v>3.5244608100999476E-2</v>
      </c>
      <c r="M9" s="263">
        <v>266</v>
      </c>
      <c r="N9" s="262">
        <v>3.5238187016157531E-2</v>
      </c>
      <c r="O9" s="262">
        <v>3.9202844311377244E-2</v>
      </c>
      <c r="P9" s="108">
        <f>('Modelo AHP'!$U$37*aux!P12)+('Modelo AHP'!$U$38*aux!R12)+('Modelo AHP'!$U$39*aux!S12)</f>
        <v>5.0463542002035242E-3</v>
      </c>
      <c r="Q9" s="110">
        <f>aux!U12</f>
        <v>7.6305687278526877E-3</v>
      </c>
      <c r="R9" s="108">
        <f>('Modelo AHP'!$U$47*aux!V12)+('Modelo AHP'!$U$48*aux!W12)+('Modelo AHP'!$U$49*aux!X12)</f>
        <v>6.4129402665058155E-3</v>
      </c>
      <c r="S9" s="110">
        <f>aux!Z12</f>
        <v>7.6441724072782253E-3</v>
      </c>
      <c r="T9" s="112">
        <f>('Modelo AHP'!$U$56*aux!AA12)+('Modelo AHP'!$U$57*aux!AB12)+('Modelo AHP'!$U$58*aux!AC12)+('Modelo AHP'!$U$59*aux!AD12)</f>
        <v>4.0224239138251074E-3</v>
      </c>
      <c r="U9" s="126">
        <f>('Modelo AHP'!$U$23*aux!AE12)+('Modelo AHP'!$U$24*aux!AF12)+('Modelo AHP'!$U$25*aux!AG12)+('Modelo AHP'!$U$26*aux!AH12)+('Modelo AHP'!$U$27*aux!AI12)</f>
        <v>6.4464397204897798E-3</v>
      </c>
    </row>
    <row r="10" spans="1:21" ht="16.8" thickTop="1" thickBot="1">
      <c r="A10" s="152">
        <f t="shared" si="0"/>
        <v>65</v>
      </c>
      <c r="B10" s="104" t="s">
        <v>24</v>
      </c>
      <c r="C10" s="106" t="s">
        <v>317</v>
      </c>
      <c r="D10" s="194">
        <v>0.10040911157129148</v>
      </c>
      <c r="E10" s="140">
        <v>83.39</v>
      </c>
      <c r="F10" s="156">
        <v>0.39527626506761304</v>
      </c>
      <c r="G10" s="138">
        <v>31933.911996619991</v>
      </c>
      <c r="H10" s="98">
        <v>7.87</v>
      </c>
      <c r="I10" s="167">
        <v>9.81</v>
      </c>
      <c r="J10" s="158">
        <v>3.9670622889987663E-2</v>
      </c>
      <c r="K10" s="165">
        <v>79471.759999999995</v>
      </c>
      <c r="L10" s="262">
        <v>3.5244608100999476E-2</v>
      </c>
      <c r="M10" s="263">
        <v>266</v>
      </c>
      <c r="N10" s="262">
        <v>3.5238187016157531E-2</v>
      </c>
      <c r="O10" s="262">
        <v>3.9202844311377244E-2</v>
      </c>
      <c r="P10" s="108">
        <f>('Modelo AHP'!$U$37*aux!P13)+('Modelo AHP'!$U$38*aux!R13)+('Modelo AHP'!$U$39*aux!S13)</f>
        <v>8.3829371738718614E-3</v>
      </c>
      <c r="Q10" s="110">
        <f>aux!U13</f>
        <v>7.6481706262137824E-3</v>
      </c>
      <c r="R10" s="108">
        <f>('Modelo AHP'!$U$47*aux!V13)+('Modelo AHP'!$U$48*aux!W13)+('Modelo AHP'!$U$49*aux!X13)</f>
        <v>7.4222900039529567E-3</v>
      </c>
      <c r="S10" s="110">
        <f>aux!Z13</f>
        <v>7.6463560975812434E-3</v>
      </c>
      <c r="T10" s="112">
        <f>('Modelo AHP'!$U$56*aux!AA13)+('Modelo AHP'!$U$57*aux!AB13)+('Modelo AHP'!$U$58*aux!AC13)+('Modelo AHP'!$U$59*aux!AD13)</f>
        <v>4.0224239138251074E-3</v>
      </c>
      <c r="U10" s="126">
        <f>('Modelo AHP'!$U$23*aux!AE13)+('Modelo AHP'!$U$24*aux!AF13)+('Modelo AHP'!$U$25*aux!AG13)+('Modelo AHP'!$U$26*aux!AH13)+('Modelo AHP'!$U$27*aux!AI13)</f>
        <v>7.3540287786322102E-3</v>
      </c>
    </row>
    <row r="11" spans="1:21" ht="16.8" thickTop="1" thickBot="1">
      <c r="A11" s="152">
        <f>_xlfn.RANK.EQ(U11,U$2:U$132)</f>
        <v>108</v>
      </c>
      <c r="B11" s="104" t="s">
        <v>24</v>
      </c>
      <c r="C11" s="106" t="s">
        <v>26</v>
      </c>
      <c r="D11" s="194">
        <v>3.9736131311032617E-2</v>
      </c>
      <c r="E11" s="140">
        <v>82.86</v>
      </c>
      <c r="F11" s="156">
        <v>0.17371601208459214</v>
      </c>
      <c r="G11" s="138">
        <v>48935.036576627012</v>
      </c>
      <c r="H11" s="98">
        <v>4.9400000000000004</v>
      </c>
      <c r="I11" s="167">
        <v>6.22</v>
      </c>
      <c r="J11" s="158">
        <v>3.9670622889987663E-2</v>
      </c>
      <c r="K11" s="165">
        <v>90178.67</v>
      </c>
      <c r="L11" s="262">
        <v>3.5244608100999476E-2</v>
      </c>
      <c r="M11" s="263">
        <v>266</v>
      </c>
      <c r="N11" s="262">
        <v>3.5238187016157531E-2</v>
      </c>
      <c r="O11" s="262">
        <v>3.9202844311377244E-2</v>
      </c>
      <c r="P11" s="108">
        <f>('Modelo AHP'!$U$37*aux!P14)+('Modelo AHP'!$U$38*aux!R14)+('Modelo AHP'!$U$39*aux!S14)</f>
        <v>3.9914391910848574E-3</v>
      </c>
      <c r="Q11" s="110">
        <f>aux!U14</f>
        <v>7.6246727297037027E-3</v>
      </c>
      <c r="R11" s="108">
        <f>('Modelo AHP'!$U$47*aux!V14)+('Modelo AHP'!$U$48*aux!W14)+('Modelo AHP'!$U$49*aux!X14)</f>
        <v>5.6002229289241635E-3</v>
      </c>
      <c r="S11" s="110">
        <f>aux!Z14</f>
        <v>7.6401652243818508E-3</v>
      </c>
      <c r="T11" s="112">
        <f>('Modelo AHP'!$U$56*aux!AA14)+('Modelo AHP'!$U$57*aux!AB14)+('Modelo AHP'!$U$58*aux!AC14)+('Modelo AHP'!$U$59*aux!AD14)</f>
        <v>4.0224239138251074E-3</v>
      </c>
      <c r="U11" s="126">
        <f>('Modelo AHP'!$U$23*aux!AE14)+('Modelo AHP'!$U$24*aux!AF14)+('Modelo AHP'!$U$25*aux!AG14)+('Modelo AHP'!$U$26*aux!AH14)+('Modelo AHP'!$U$27*aux!AI14)</f>
        <v>5.990460558342508E-3</v>
      </c>
    </row>
    <row r="12" spans="1:21" ht="16.8" thickTop="1" thickBot="1">
      <c r="A12" s="152">
        <f t="shared" si="0"/>
        <v>85</v>
      </c>
      <c r="B12" s="104" t="s">
        <v>24</v>
      </c>
      <c r="C12" s="106" t="s">
        <v>318</v>
      </c>
      <c r="D12" s="194">
        <v>7.5455902158482871E-2</v>
      </c>
      <c r="E12" s="140">
        <v>83.46</v>
      </c>
      <c r="F12" s="156">
        <v>0.28848581179000515</v>
      </c>
      <c r="G12" s="138">
        <v>39647.688652559234</v>
      </c>
      <c r="H12" s="98">
        <v>6.42</v>
      </c>
      <c r="I12" s="167">
        <v>7.8</v>
      </c>
      <c r="J12" s="158">
        <v>3.9670622889987663E-2</v>
      </c>
      <c r="K12" s="165">
        <v>83583.649999999994</v>
      </c>
      <c r="L12" s="262">
        <v>3.5244608100999476E-2</v>
      </c>
      <c r="M12" s="263">
        <v>266</v>
      </c>
      <c r="N12" s="262">
        <v>3.5238187016157531E-2</v>
      </c>
      <c r="O12" s="262">
        <v>3.9202844311377244E-2</v>
      </c>
      <c r="P12" s="108">
        <f>('Modelo AHP'!$U$37*aux!P15)+('Modelo AHP'!$U$38*aux!R15)+('Modelo AHP'!$U$39*aux!S15)</f>
        <v>6.3840659309119634E-3</v>
      </c>
      <c r="Q12" s="110">
        <f>aux!U15</f>
        <v>7.6375091241048989E-3</v>
      </c>
      <c r="R12" s="108">
        <f>('Modelo AHP'!$U$47*aux!V15)+('Modelo AHP'!$U$48*aux!W15)+('Modelo AHP'!$U$49*aux!X15)</f>
        <v>6.4348859263391447E-3</v>
      </c>
      <c r="S12" s="110">
        <f>aux!Z15</f>
        <v>7.6439785498480647E-3</v>
      </c>
      <c r="T12" s="112">
        <f>('Modelo AHP'!$U$56*aux!AA15)+('Modelo AHP'!$U$57*aux!AB15)+('Modelo AHP'!$U$58*aux!AC15)+('Modelo AHP'!$U$59*aux!AD15)</f>
        <v>4.0224239138251074E-3</v>
      </c>
      <c r="U12" s="126">
        <f>('Modelo AHP'!$U$23*aux!AE15)+('Modelo AHP'!$U$24*aux!AF15)+('Modelo AHP'!$U$25*aux!AG15)+('Modelo AHP'!$U$26*aux!AH15)+('Modelo AHP'!$U$27*aux!AI15)</f>
        <v>6.679407604756305E-3</v>
      </c>
    </row>
    <row r="13" spans="1:21" ht="16.8" thickTop="1" thickBot="1">
      <c r="A13" s="152">
        <f t="shared" si="0"/>
        <v>75</v>
      </c>
      <c r="B13" s="104" t="s">
        <v>24</v>
      </c>
      <c r="C13" s="106" t="s">
        <v>27</v>
      </c>
      <c r="D13" s="194">
        <v>9.7444461705763541E-2</v>
      </c>
      <c r="E13" s="140">
        <v>83.27</v>
      </c>
      <c r="F13" s="156">
        <v>0.32320647622592352</v>
      </c>
      <c r="G13" s="138">
        <v>33938.36905297661</v>
      </c>
      <c r="H13" s="98">
        <v>7.21</v>
      </c>
      <c r="I13" s="167">
        <v>9.23</v>
      </c>
      <c r="J13" s="158">
        <v>3.9670622889987663E-2</v>
      </c>
      <c r="K13" s="165">
        <v>81739.38</v>
      </c>
      <c r="L13" s="262">
        <v>3.5244608100999476E-2</v>
      </c>
      <c r="M13" s="263">
        <v>266</v>
      </c>
      <c r="N13" s="262">
        <v>3.5238187016157531E-2</v>
      </c>
      <c r="O13" s="262">
        <v>3.9202844311377244E-2</v>
      </c>
      <c r="P13" s="108">
        <f>('Modelo AHP'!$U$37*aux!P16)+('Modelo AHP'!$U$38*aux!R16)+('Modelo AHP'!$U$39*aux!S16)</f>
        <v>7.4149873807624759E-3</v>
      </c>
      <c r="Q13" s="110">
        <f>aux!U16</f>
        <v>7.6454001903965806E-3</v>
      </c>
      <c r="R13" s="108">
        <f>('Modelo AHP'!$U$47*aux!V16)+('Modelo AHP'!$U$48*aux!W16)+('Modelo AHP'!$U$49*aux!X16)</f>
        <v>7.0958275300823399E-3</v>
      </c>
      <c r="S13" s="110">
        <f>aux!Z16</f>
        <v>7.6450449305046171E-3</v>
      </c>
      <c r="T13" s="112">
        <f>('Modelo AHP'!$U$56*aux!AA16)+('Modelo AHP'!$U$57*aux!AB16)+('Modelo AHP'!$U$58*aux!AC16)+('Modelo AHP'!$U$59*aux!AD16)</f>
        <v>4.0224239138251074E-3</v>
      </c>
      <c r="U13" s="126">
        <f>('Modelo AHP'!$U$23*aux!AE16)+('Modelo AHP'!$U$24*aux!AF16)+('Modelo AHP'!$U$25*aux!AG16)+('Modelo AHP'!$U$26*aux!AH16)+('Modelo AHP'!$U$27*aux!AI16)</f>
        <v>7.0799395716991389E-3</v>
      </c>
    </row>
    <row r="14" spans="1:21" ht="16.8" thickTop="1" thickBot="1">
      <c r="A14" s="152">
        <f t="shared" si="0"/>
        <v>88</v>
      </c>
      <c r="B14" s="104" t="s">
        <v>24</v>
      </c>
      <c r="C14" s="106" t="s">
        <v>28</v>
      </c>
      <c r="D14" s="194">
        <v>3.3476394849785408E-2</v>
      </c>
      <c r="E14" s="140">
        <v>78.849999999999994</v>
      </c>
      <c r="F14" s="156">
        <v>0.29036295369211512</v>
      </c>
      <c r="G14" s="138">
        <v>37939.284722891563</v>
      </c>
      <c r="H14" s="98">
        <v>7.96</v>
      </c>
      <c r="I14" s="167">
        <v>7.42</v>
      </c>
      <c r="J14" s="158">
        <v>3.9670622889987663E-2</v>
      </c>
      <c r="K14" s="165">
        <v>127649.25</v>
      </c>
      <c r="L14" s="262">
        <v>3.5244608100999476E-2</v>
      </c>
      <c r="M14" s="263">
        <v>266</v>
      </c>
      <c r="N14" s="262">
        <v>3.5238187016157531E-2</v>
      </c>
      <c r="O14" s="262">
        <v>3.9202844311377244E-2</v>
      </c>
      <c r="P14" s="108">
        <f>('Modelo AHP'!$U$37*aux!P17)+('Modelo AHP'!$U$38*aux!R17)+('Modelo AHP'!$U$39*aux!S17)</f>
        <v>5.2547375766600953E-3</v>
      </c>
      <c r="Q14" s="110">
        <f>aux!U17</f>
        <v>7.6398703737121133E-3</v>
      </c>
      <c r="R14" s="108">
        <f>('Modelo AHP'!$U$47*aux!V17)+('Modelo AHP'!$U$48*aux!W17)+('Modelo AHP'!$U$49*aux!X17)</f>
        <v>6.5601381914372012E-3</v>
      </c>
      <c r="S14" s="110">
        <f>aux!Z17</f>
        <v>7.6184992526413869E-3</v>
      </c>
      <c r="T14" s="112">
        <f>('Modelo AHP'!$U$56*aux!AA17)+('Modelo AHP'!$U$57*aux!AB17)+('Modelo AHP'!$U$58*aux!AC17)+('Modelo AHP'!$U$59*aux!AD17)</f>
        <v>4.0224239138251074E-3</v>
      </c>
      <c r="U14" s="126">
        <f>('Modelo AHP'!$U$23*aux!AE17)+('Modelo AHP'!$U$24*aux!AF17)+('Modelo AHP'!$U$25*aux!AG17)+('Modelo AHP'!$U$26*aux!AH17)+('Modelo AHP'!$U$27*aux!AI17)</f>
        <v>6.5325885945951186E-3</v>
      </c>
    </row>
    <row r="15" spans="1:21" ht="16.8" thickTop="1" thickBot="1">
      <c r="A15" s="152">
        <f t="shared" si="0"/>
        <v>102</v>
      </c>
      <c r="B15" s="104" t="s">
        <v>29</v>
      </c>
      <c r="C15" s="106" t="s">
        <v>30</v>
      </c>
      <c r="D15" s="194">
        <v>5.0683015386446838E-2</v>
      </c>
      <c r="E15" s="140">
        <v>84.16</v>
      </c>
      <c r="F15" s="156">
        <v>0.25641398886422356</v>
      </c>
      <c r="G15" s="138">
        <v>41948.887029967016</v>
      </c>
      <c r="H15" s="98">
        <v>6.1</v>
      </c>
      <c r="I15" s="167">
        <v>7.59</v>
      </c>
      <c r="J15" s="158">
        <v>3.3098371565551614E-2</v>
      </c>
      <c r="K15" s="165">
        <v>95321.7</v>
      </c>
      <c r="L15" s="262">
        <v>2.0164825530422585E-2</v>
      </c>
      <c r="M15" s="263">
        <v>121</v>
      </c>
      <c r="N15" s="262">
        <v>1.6607240371334039E-2</v>
      </c>
      <c r="O15" s="262">
        <v>2.6166417165668664E-2</v>
      </c>
      <c r="P15" s="108">
        <f>('Modelo AHP'!$U$37*aux!P18)+('Modelo AHP'!$U$38*aux!R18)+('Modelo AHP'!$U$39*aux!S18)</f>
        <v>5.309235650574555E-3</v>
      </c>
      <c r="Q15" s="110">
        <f>aux!U18</f>
        <v>7.6343285508982837E-3</v>
      </c>
      <c r="R15" s="108">
        <f>('Modelo AHP'!$U$47*aux!V18)+('Modelo AHP'!$U$48*aux!W18)+('Modelo AHP'!$U$49*aux!X18)</f>
        <v>5.8940755754686306E-3</v>
      </c>
      <c r="S15" s="110">
        <f>aux!Z18</f>
        <v>7.6371914582261001E-3</v>
      </c>
      <c r="T15" s="112">
        <f>('Modelo AHP'!$U$56*aux!AA18)+('Modelo AHP'!$U$57*aux!AB18)+('Modelo AHP'!$U$58*aux!AC18)+('Modelo AHP'!$U$59*aux!AD18)</f>
        <v>2.1112150528219747E-3</v>
      </c>
      <c r="U15" s="126">
        <f>('Modelo AHP'!$U$23*aux!AE18)+('Modelo AHP'!$U$24*aux!AF18)+('Modelo AHP'!$U$25*aux!AG18)+('Modelo AHP'!$U$26*aux!AH18)+('Modelo AHP'!$U$27*aux!AI18)</f>
        <v>6.1347647134496379E-3</v>
      </c>
    </row>
    <row r="16" spans="1:21" ht="16.8" thickTop="1" thickBot="1">
      <c r="A16" s="152">
        <f t="shared" si="0"/>
        <v>92</v>
      </c>
      <c r="B16" s="104" t="s">
        <v>29</v>
      </c>
      <c r="C16" s="106" t="s">
        <v>31</v>
      </c>
      <c r="D16" s="194">
        <v>3.8593622240392478E-2</v>
      </c>
      <c r="E16" s="140">
        <v>82.52</v>
      </c>
      <c r="F16" s="156">
        <v>0.26134101983391667</v>
      </c>
      <c r="G16" s="138">
        <v>45842.92865148378</v>
      </c>
      <c r="H16" s="98">
        <v>6.73</v>
      </c>
      <c r="I16" s="167">
        <v>8.7799999999999994</v>
      </c>
      <c r="J16" s="158">
        <v>3.3098371565551614E-2</v>
      </c>
      <c r="K16" s="165">
        <v>89195.73</v>
      </c>
      <c r="L16" s="262">
        <v>2.0164825530422585E-2</v>
      </c>
      <c r="M16" s="263">
        <v>121</v>
      </c>
      <c r="N16" s="262">
        <v>1.6607240371334039E-2</v>
      </c>
      <c r="O16" s="262">
        <v>2.6166417165668664E-2</v>
      </c>
      <c r="P16" s="108">
        <f>('Modelo AHP'!$U$37*aux!P19)+('Modelo AHP'!$U$38*aux!R19)+('Modelo AHP'!$U$39*aux!S19)</f>
        <v>5.037988995216628E-3</v>
      </c>
      <c r="Q16" s="110">
        <f>aux!U19</f>
        <v>7.6289464488733423E-3</v>
      </c>
      <c r="R16" s="108">
        <f>('Modelo AHP'!$U$47*aux!V19)+('Modelo AHP'!$U$48*aux!W19)+('Modelo AHP'!$U$49*aux!X19)</f>
        <v>6.4393765322157759E-3</v>
      </c>
      <c r="S16" s="110">
        <f>aux!Z19</f>
        <v>7.6407335729439113E-3</v>
      </c>
      <c r="T16" s="112">
        <f>('Modelo AHP'!$U$56*aux!AA19)+('Modelo AHP'!$U$57*aux!AB19)+('Modelo AHP'!$U$58*aux!AC19)+('Modelo AHP'!$U$59*aux!AD19)</f>
        <v>2.1112150528219747E-3</v>
      </c>
      <c r="U16" s="126">
        <f>('Modelo AHP'!$U$23*aux!AE19)+('Modelo AHP'!$U$24*aux!AF19)+('Modelo AHP'!$U$25*aux!AG19)+('Modelo AHP'!$U$26*aux!AH19)+('Modelo AHP'!$U$27*aux!AI19)</f>
        <v>6.2743709194371276E-3</v>
      </c>
    </row>
    <row r="17" spans="1:21" ht="16.8" thickTop="1" thickBot="1">
      <c r="A17" s="152">
        <f t="shared" si="0"/>
        <v>118</v>
      </c>
      <c r="B17" s="104" t="s">
        <v>29</v>
      </c>
      <c r="C17" s="106" t="s">
        <v>319</v>
      </c>
      <c r="D17" s="194">
        <v>1.9838196058180567E-2</v>
      </c>
      <c r="E17" s="140">
        <v>85.36</v>
      </c>
      <c r="F17" s="156">
        <v>0.20516823687752356</v>
      </c>
      <c r="G17" s="138">
        <v>58249.144489218801</v>
      </c>
      <c r="H17" s="98">
        <v>5.21</v>
      </c>
      <c r="I17" s="167">
        <v>6.64</v>
      </c>
      <c r="J17" s="158">
        <v>3.3098371565551614E-2</v>
      </c>
      <c r="K17" s="165">
        <v>124451.81</v>
      </c>
      <c r="L17" s="262">
        <v>2.0164825530422585E-2</v>
      </c>
      <c r="M17" s="263">
        <v>121</v>
      </c>
      <c r="N17" s="262">
        <v>1.6607240371334039E-2</v>
      </c>
      <c r="O17" s="262">
        <v>2.6166417165668664E-2</v>
      </c>
      <c r="P17" s="108">
        <f>('Modelo AHP'!$U$37*aux!P20)+('Modelo AHP'!$U$38*aux!R20)+('Modelo AHP'!$U$39*aux!S20)</f>
        <v>3.8317727520182235E-3</v>
      </c>
      <c r="Q17" s="110">
        <f>aux!U20</f>
        <v>7.611799349311491E-3</v>
      </c>
      <c r="R17" s="108">
        <f>('Modelo AHP'!$U$47*aux!V20)+('Modelo AHP'!$U$48*aux!W20)+('Modelo AHP'!$U$49*aux!X20)</f>
        <v>5.3921994767248448E-3</v>
      </c>
      <c r="S17" s="110">
        <f>aux!Z20</f>
        <v>7.6203480536122239E-3</v>
      </c>
      <c r="T17" s="112">
        <f>('Modelo AHP'!$U$56*aux!AA20)+('Modelo AHP'!$U$57*aux!AB20)+('Modelo AHP'!$U$58*aux!AC20)+('Modelo AHP'!$U$59*aux!AD20)</f>
        <v>2.1112150528219747E-3</v>
      </c>
      <c r="U17" s="126">
        <f>('Modelo AHP'!$U$23*aux!AE20)+('Modelo AHP'!$U$24*aux!AF20)+('Modelo AHP'!$U$25*aux!AG20)+('Modelo AHP'!$U$26*aux!AH20)+('Modelo AHP'!$U$27*aux!AI20)</f>
        <v>5.7081602648806308E-3</v>
      </c>
    </row>
    <row r="18" spans="1:21" ht="16.8" thickTop="1" thickBot="1">
      <c r="A18" s="152">
        <f t="shared" si="0"/>
        <v>106</v>
      </c>
      <c r="B18" s="104" t="s">
        <v>29</v>
      </c>
      <c r="C18" s="106" t="s">
        <v>32</v>
      </c>
      <c r="D18" s="194">
        <v>5.2114381520119227E-2</v>
      </c>
      <c r="E18" s="140">
        <v>82.81</v>
      </c>
      <c r="F18" s="156">
        <v>0.23402168897092754</v>
      </c>
      <c r="G18" s="138">
        <v>45561.1376637797</v>
      </c>
      <c r="H18" s="98">
        <v>5.73</v>
      </c>
      <c r="I18" s="167">
        <v>7.45</v>
      </c>
      <c r="J18" s="158">
        <v>3.3098371565551614E-2</v>
      </c>
      <c r="K18" s="165">
        <v>160287.21</v>
      </c>
      <c r="L18" s="262">
        <v>2.0164825530422585E-2</v>
      </c>
      <c r="M18" s="263">
        <v>121</v>
      </c>
      <c r="N18" s="262">
        <v>1.6607240371334039E-2</v>
      </c>
      <c r="O18" s="262">
        <v>2.6166417165668664E-2</v>
      </c>
      <c r="P18" s="108">
        <f>('Modelo AHP'!$U$37*aux!P21)+('Modelo AHP'!$U$38*aux!R21)+('Modelo AHP'!$U$39*aux!S21)</f>
        <v>5.0731823892785962E-3</v>
      </c>
      <c r="Q18" s="110">
        <f>aux!U21</f>
        <v>7.6293359228422784E-3</v>
      </c>
      <c r="R18" s="108">
        <f>('Modelo AHP'!$U$47*aux!V21)+('Modelo AHP'!$U$48*aux!W21)+('Modelo AHP'!$U$49*aux!X21)</f>
        <v>5.7790478132416232E-3</v>
      </c>
      <c r="S18" s="110">
        <f>aux!Z21</f>
        <v>7.5996275639985521E-3</v>
      </c>
      <c r="T18" s="112">
        <f>('Modelo AHP'!$U$56*aux!AA21)+('Modelo AHP'!$U$57*aux!AB21)+('Modelo AHP'!$U$58*aux!AC21)+('Modelo AHP'!$U$59*aux!AD21)</f>
        <v>2.1112150528219747E-3</v>
      </c>
      <c r="U18" s="126">
        <f>('Modelo AHP'!$U$23*aux!AE21)+('Modelo AHP'!$U$24*aux!AF21)+('Modelo AHP'!$U$25*aux!AG21)+('Modelo AHP'!$U$26*aux!AH21)+('Modelo AHP'!$U$27*aux!AI21)</f>
        <v>6.0516293276157845E-3</v>
      </c>
    </row>
    <row r="19" spans="1:21" ht="16.8" thickTop="1" thickBot="1">
      <c r="A19" s="152">
        <f t="shared" si="0"/>
        <v>126</v>
      </c>
      <c r="B19" s="104" t="s">
        <v>29</v>
      </c>
      <c r="C19" s="106" t="s">
        <v>320</v>
      </c>
      <c r="D19" s="194">
        <v>3.7173144876325087E-2</v>
      </c>
      <c r="E19" s="140">
        <v>84.89</v>
      </c>
      <c r="F19" s="156">
        <v>0.18841832324978391</v>
      </c>
      <c r="G19" s="138">
        <v>84955.30244799405</v>
      </c>
      <c r="H19" s="98">
        <v>4.1500000000000004</v>
      </c>
      <c r="I19" s="167">
        <v>5.03</v>
      </c>
      <c r="J19" s="158">
        <v>3.3098371565551614E-2</v>
      </c>
      <c r="K19" s="165">
        <v>329936.75</v>
      </c>
      <c r="L19" s="262">
        <v>2.0164825530422585E-2</v>
      </c>
      <c r="M19" s="263">
        <v>121</v>
      </c>
      <c r="N19" s="262">
        <v>1.6607240371334039E-2</v>
      </c>
      <c r="O19" s="262">
        <v>2.6166417165668664E-2</v>
      </c>
      <c r="P19" s="108">
        <f>('Modelo AHP'!$U$37*aux!P22)+('Modelo AHP'!$U$38*aux!R22)+('Modelo AHP'!$U$39*aux!S22)</f>
        <v>4.1017737472078437E-3</v>
      </c>
      <c r="Q19" s="110">
        <f>aux!U22</f>
        <v>7.5748877595549456E-3</v>
      </c>
      <c r="R19" s="108">
        <f>('Modelo AHP'!$U$47*aux!V22)+('Modelo AHP'!$U$48*aux!W22)+('Modelo AHP'!$U$49*aux!X22)</f>
        <v>4.6187360345229383E-3</v>
      </c>
      <c r="S19" s="110">
        <f>aux!Z22</f>
        <v>7.5015340159557209E-3</v>
      </c>
      <c r="T19" s="112">
        <f>('Modelo AHP'!$U$56*aux!AA22)+('Modelo AHP'!$U$57*aux!AB22)+('Modelo AHP'!$U$58*aux!AC22)+('Modelo AHP'!$U$59*aux!AD22)</f>
        <v>2.1112150528219747E-3</v>
      </c>
      <c r="U19" s="126">
        <f>('Modelo AHP'!$U$23*aux!AE22)+('Modelo AHP'!$U$24*aux!AF22)+('Modelo AHP'!$U$25*aux!AG22)+('Modelo AHP'!$U$26*aux!AH22)+('Modelo AHP'!$U$27*aux!AI22)</f>
        <v>5.4680695660346097E-3</v>
      </c>
    </row>
    <row r="20" spans="1:21" ht="16.8" thickTop="1" thickBot="1">
      <c r="A20" s="152">
        <f t="shared" si="0"/>
        <v>125</v>
      </c>
      <c r="B20" s="104" t="s">
        <v>29</v>
      </c>
      <c r="C20" s="106" t="s">
        <v>33</v>
      </c>
      <c r="D20" s="194">
        <v>2.4672774869109949E-2</v>
      </c>
      <c r="E20" s="140">
        <v>83.81</v>
      </c>
      <c r="F20" s="156">
        <v>0.16060450819672131</v>
      </c>
      <c r="G20" s="138">
        <v>69100.160909916463</v>
      </c>
      <c r="H20" s="98">
        <v>4.8099999999999996</v>
      </c>
      <c r="I20" s="167">
        <v>5.71</v>
      </c>
      <c r="J20" s="158">
        <v>3.3098371565551614E-2</v>
      </c>
      <c r="K20" s="165">
        <v>205637.32</v>
      </c>
      <c r="L20" s="262">
        <v>2.0164825530422585E-2</v>
      </c>
      <c r="M20" s="263">
        <v>121</v>
      </c>
      <c r="N20" s="262">
        <v>1.6607240371334039E-2</v>
      </c>
      <c r="O20" s="262">
        <v>2.6166417165668664E-2</v>
      </c>
      <c r="P20" s="108">
        <f>('Modelo AHP'!$U$37*aux!P23)+('Modelo AHP'!$U$38*aux!R23)+('Modelo AHP'!$U$39*aux!S23)</f>
        <v>3.416448228844981E-3</v>
      </c>
      <c r="Q20" s="110">
        <f>aux!U23</f>
        <v>7.5968017496125528E-3</v>
      </c>
      <c r="R20" s="108">
        <f>('Modelo AHP'!$U$47*aux!V23)+('Modelo AHP'!$U$48*aux!W23)+('Modelo AHP'!$U$49*aux!X23)</f>
        <v>4.9819192876589423E-3</v>
      </c>
      <c r="S20" s="110">
        <f>aux!Z23</f>
        <v>7.5734055465734966E-3</v>
      </c>
      <c r="T20" s="112">
        <f>('Modelo AHP'!$U$56*aux!AA23)+('Modelo AHP'!$U$57*aux!AB23)+('Modelo AHP'!$U$58*aux!AC23)+('Modelo AHP'!$U$59*aux!AD23)</f>
        <v>2.1112150528219747E-3</v>
      </c>
      <c r="U20" s="126">
        <f>('Modelo AHP'!$U$23*aux!AE23)+('Modelo AHP'!$U$24*aux!AF23)+('Modelo AHP'!$U$25*aux!AG23)+('Modelo AHP'!$U$26*aux!AH23)+('Modelo AHP'!$U$27*aux!AI23)</f>
        <v>5.49027924348047E-3</v>
      </c>
    </row>
    <row r="21" spans="1:21" ht="16.8" thickTop="1" thickBot="1">
      <c r="A21" s="152">
        <f t="shared" si="0"/>
        <v>124</v>
      </c>
      <c r="B21" s="104" t="s">
        <v>34</v>
      </c>
      <c r="C21" s="106" t="s">
        <v>35</v>
      </c>
      <c r="D21" s="194">
        <v>7.1337903021071333E-2</v>
      </c>
      <c r="E21" s="140">
        <v>84.12</v>
      </c>
      <c r="F21" s="156">
        <v>0.1456194795894008</v>
      </c>
      <c r="G21" s="138">
        <v>84705.717880827317</v>
      </c>
      <c r="H21" s="98">
        <v>3.89</v>
      </c>
      <c r="I21" s="167">
        <v>5</v>
      </c>
      <c r="J21" s="158">
        <v>2.9046305859304296E-2</v>
      </c>
      <c r="K21" s="165">
        <v>261448.85</v>
      </c>
      <c r="L21" s="262">
        <v>3.7816353965749019E-2</v>
      </c>
      <c r="M21" s="263">
        <v>111</v>
      </c>
      <c r="N21" s="262">
        <v>2.5119655648710288E-2</v>
      </c>
      <c r="O21" s="262">
        <v>2.8817365269461079E-2</v>
      </c>
      <c r="P21" s="108">
        <f>('Modelo AHP'!$U$37*aux!P24)+('Modelo AHP'!$U$38*aux!R24)+('Modelo AHP'!$U$39*aux!S24)</f>
        <v>4.5135030228577403E-3</v>
      </c>
      <c r="Q21" s="110">
        <f>aux!U24</f>
        <v>7.5752327198134392E-3</v>
      </c>
      <c r="R21" s="108">
        <f>('Modelo AHP'!$U$47*aux!V24)+('Modelo AHP'!$U$48*aux!W24)+('Modelo AHP'!$U$49*aux!X24)</f>
        <v>4.3110495907851092E-3</v>
      </c>
      <c r="S21" s="110">
        <f>aux!Z24</f>
        <v>7.5411346014274093E-3</v>
      </c>
      <c r="T21" s="112">
        <f>('Modelo AHP'!$U$56*aux!AA24)+('Modelo AHP'!$U$57*aux!AB24)+('Modelo AHP'!$U$58*aux!AC24)+('Modelo AHP'!$U$59*aux!AD24)</f>
        <v>2.8389015648222268E-3</v>
      </c>
      <c r="U21" s="126">
        <f>('Modelo AHP'!$U$23*aux!AE24)+('Modelo AHP'!$U$24*aux!AF24)+('Modelo AHP'!$U$25*aux!AG24)+('Modelo AHP'!$U$26*aux!AH24)+('Modelo AHP'!$U$27*aux!AI24)</f>
        <v>5.5028490272688397E-3</v>
      </c>
    </row>
    <row r="22" spans="1:21" ht="16.8" thickTop="1" thickBot="1">
      <c r="A22" s="152">
        <f t="shared" si="0"/>
        <v>109</v>
      </c>
      <c r="B22" s="104" t="s">
        <v>34</v>
      </c>
      <c r="C22" s="106" t="s">
        <v>36</v>
      </c>
      <c r="D22" s="194">
        <v>6.7828671801107965E-2</v>
      </c>
      <c r="E22" s="140">
        <v>83.79</v>
      </c>
      <c r="F22" s="156">
        <v>0.20110341394615672</v>
      </c>
      <c r="G22" s="138">
        <v>48814.737832512321</v>
      </c>
      <c r="H22" s="98">
        <v>5.24</v>
      </c>
      <c r="I22" s="167">
        <v>7.17</v>
      </c>
      <c r="J22" s="158">
        <v>2.9046305859304296E-2</v>
      </c>
      <c r="K22" s="165">
        <v>157508.54</v>
      </c>
      <c r="L22" s="262">
        <v>3.7816353965749019E-2</v>
      </c>
      <c r="M22" s="263">
        <v>111</v>
      </c>
      <c r="N22" s="262">
        <v>2.5119655648710288E-2</v>
      </c>
      <c r="O22" s="262">
        <v>2.8817365269461079E-2</v>
      </c>
      <c r="P22" s="108">
        <f>('Modelo AHP'!$U$37*aux!P25)+('Modelo AHP'!$U$38*aux!R25)+('Modelo AHP'!$U$39*aux!S25)</f>
        <v>5.0996866112287646E-3</v>
      </c>
      <c r="Q22" s="110">
        <f>aux!U25</f>
        <v>7.6248389991423028E-3</v>
      </c>
      <c r="R22" s="108">
        <f>('Modelo AHP'!$U$47*aux!V25)+('Modelo AHP'!$U$48*aux!W25)+('Modelo AHP'!$U$49*aux!X25)</f>
        <v>5.340012679749092E-3</v>
      </c>
      <c r="S22" s="110">
        <f>aux!Z25</f>
        <v>7.6012342267642767E-3</v>
      </c>
      <c r="T22" s="112">
        <f>('Modelo AHP'!$U$56*aux!AA25)+('Modelo AHP'!$U$57*aux!AB25)+('Modelo AHP'!$U$58*aux!AC25)+('Modelo AHP'!$U$59*aux!AD25)</f>
        <v>2.8389015648222268E-3</v>
      </c>
      <c r="U22" s="126">
        <f>('Modelo AHP'!$U$23*aux!AE25)+('Modelo AHP'!$U$24*aux!AF25)+('Modelo AHP'!$U$25*aux!AG25)+('Modelo AHP'!$U$26*aux!AH25)+('Modelo AHP'!$U$27*aux!AI25)</f>
        <v>5.9728179110004349E-3</v>
      </c>
    </row>
    <row r="23" spans="1:21" ht="16.8" thickTop="1" thickBot="1">
      <c r="A23" s="152">
        <f t="shared" si="0"/>
        <v>95</v>
      </c>
      <c r="B23" s="104" t="s">
        <v>34</v>
      </c>
      <c r="C23" s="106" t="s">
        <v>37</v>
      </c>
      <c r="D23" s="194">
        <v>6.2081264761170291E-2</v>
      </c>
      <c r="E23" s="140">
        <v>83.93</v>
      </c>
      <c r="F23" s="156">
        <v>0.25728696264148732</v>
      </c>
      <c r="G23" s="138">
        <v>40503.559002474132</v>
      </c>
      <c r="H23" s="98">
        <v>6.05</v>
      </c>
      <c r="I23" s="167">
        <v>8.1300000000000008</v>
      </c>
      <c r="J23" s="158">
        <v>2.9046305859304296E-2</v>
      </c>
      <c r="K23" s="165">
        <v>109738.52</v>
      </c>
      <c r="L23" s="262">
        <v>3.7816353965749019E-2</v>
      </c>
      <c r="M23" s="263">
        <v>111</v>
      </c>
      <c r="N23" s="262">
        <v>2.5119655648710288E-2</v>
      </c>
      <c r="O23" s="262">
        <v>2.8817365269461079E-2</v>
      </c>
      <c r="P23" s="108">
        <f>('Modelo AHP'!$U$37*aux!P26)+('Modelo AHP'!$U$38*aux!R26)+('Modelo AHP'!$U$39*aux!S26)</f>
        <v>5.6329833998259738E-3</v>
      </c>
      <c r="Q23" s="110">
        <f>aux!U26</f>
        <v>7.636326193363247E-3</v>
      </c>
      <c r="R23" s="108">
        <f>('Modelo AHP'!$U$47*aux!V26)+('Modelo AHP'!$U$48*aux!W26)+('Modelo AHP'!$U$49*aux!X26)</f>
        <v>5.8318054680398558E-3</v>
      </c>
      <c r="S23" s="110">
        <f>aux!Z26</f>
        <v>7.6288554673044923E-3</v>
      </c>
      <c r="T23" s="112">
        <f>('Modelo AHP'!$U$56*aux!AA26)+('Modelo AHP'!$U$57*aux!AB26)+('Modelo AHP'!$U$58*aux!AC26)+('Modelo AHP'!$U$59*aux!AD26)</f>
        <v>2.8389015648222268E-3</v>
      </c>
      <c r="U23" s="126">
        <f>('Modelo AHP'!$U$23*aux!AE26)+('Modelo AHP'!$U$24*aux!AF26)+('Modelo AHP'!$U$25*aux!AG26)+('Modelo AHP'!$U$26*aux!AH26)+('Modelo AHP'!$U$27*aux!AI26)</f>
        <v>6.2356571313882418E-3</v>
      </c>
    </row>
    <row r="24" spans="1:21" ht="16.8" thickTop="1" thickBot="1">
      <c r="A24" s="152">
        <f t="shared" si="0"/>
        <v>104</v>
      </c>
      <c r="B24" s="104" t="s">
        <v>34</v>
      </c>
      <c r="C24" s="106" t="s">
        <v>38</v>
      </c>
      <c r="D24" s="194">
        <v>5.9914200538064427E-2</v>
      </c>
      <c r="E24" s="140">
        <v>84.93</v>
      </c>
      <c r="F24" s="156">
        <v>0.21778030461713396</v>
      </c>
      <c r="G24" s="138">
        <v>46340.874098849337</v>
      </c>
      <c r="H24" s="98">
        <v>5.85</v>
      </c>
      <c r="I24" s="167">
        <v>7.62</v>
      </c>
      <c r="J24" s="158">
        <v>2.9046305859304296E-2</v>
      </c>
      <c r="K24" s="165">
        <v>114996.92</v>
      </c>
      <c r="L24" s="262">
        <v>3.7816353965749019E-2</v>
      </c>
      <c r="M24" s="263">
        <v>111</v>
      </c>
      <c r="N24" s="262">
        <v>2.5119655648710288E-2</v>
      </c>
      <c r="O24" s="262">
        <v>2.8817365269461079E-2</v>
      </c>
      <c r="P24" s="108">
        <f>('Modelo AHP'!$U$37*aux!P27)+('Modelo AHP'!$U$38*aux!R27)+('Modelo AHP'!$U$39*aux!S27)</f>
        <v>5.0874236631171816E-3</v>
      </c>
      <c r="Q24" s="110">
        <f>aux!U27</f>
        <v>7.6282582196603391E-3</v>
      </c>
      <c r="R24" s="108">
        <f>('Modelo AHP'!$U$47*aux!V27)+('Modelo AHP'!$U$48*aux!W27)+('Modelo AHP'!$U$49*aux!X27)</f>
        <v>5.6101410228374792E-3</v>
      </c>
      <c r="S24" s="110">
        <f>aux!Z27</f>
        <v>7.6258149927295044E-3</v>
      </c>
      <c r="T24" s="112">
        <f>('Modelo AHP'!$U$56*aux!AA27)+('Modelo AHP'!$U$57*aux!AB27)+('Modelo AHP'!$U$58*aux!AC27)+('Modelo AHP'!$U$59*aux!AD27)</f>
        <v>2.8389015648222268E-3</v>
      </c>
      <c r="U24" s="126">
        <f>('Modelo AHP'!$U$23*aux!AE27)+('Modelo AHP'!$U$24*aux!AF27)+('Modelo AHP'!$U$25*aux!AG27)+('Modelo AHP'!$U$26*aux!AH27)+('Modelo AHP'!$U$27*aux!AI27)</f>
        <v>6.066031602484802E-3</v>
      </c>
    </row>
    <row r="25" spans="1:21" ht="16.8" thickTop="1" thickBot="1">
      <c r="A25" s="152">
        <f t="shared" si="0"/>
        <v>107</v>
      </c>
      <c r="B25" s="104" t="s">
        <v>34</v>
      </c>
      <c r="C25" s="106" t="s">
        <v>39</v>
      </c>
      <c r="D25" s="194">
        <v>7.3153273525481954E-2</v>
      </c>
      <c r="E25" s="140">
        <v>84.7</v>
      </c>
      <c r="F25" s="156">
        <v>0.19123316922711905</v>
      </c>
      <c r="G25" s="138">
        <v>47375.424529116586</v>
      </c>
      <c r="H25" s="98">
        <v>5.45</v>
      </c>
      <c r="I25" s="167">
        <v>7.35</v>
      </c>
      <c r="J25" s="158">
        <v>2.9046305859304296E-2</v>
      </c>
      <c r="K25" s="165">
        <v>152904.34</v>
      </c>
      <c r="L25" s="262">
        <v>3.7816353965749019E-2</v>
      </c>
      <c r="M25" s="263">
        <v>111</v>
      </c>
      <c r="N25" s="262">
        <v>2.5119655648710288E-2</v>
      </c>
      <c r="O25" s="262">
        <v>2.8817365269461079E-2</v>
      </c>
      <c r="P25" s="108">
        <f>('Modelo AHP'!$U$37*aux!P28)+('Modelo AHP'!$U$38*aux!R28)+('Modelo AHP'!$U$39*aux!S28)</f>
        <v>5.1244178012487662E-3</v>
      </c>
      <c r="Q25" s="110">
        <f>aux!U28</f>
        <v>7.6268283284298818E-3</v>
      </c>
      <c r="R25" s="108">
        <f>('Modelo AHP'!$U$47*aux!V28)+('Modelo AHP'!$U$48*aux!W28)+('Modelo AHP'!$U$49*aux!X28)</f>
        <v>5.4422179769231336E-3</v>
      </c>
      <c r="S25" s="110">
        <f>aux!Z28</f>
        <v>7.6038964344772994E-3</v>
      </c>
      <c r="T25" s="112">
        <f>('Modelo AHP'!$U$56*aux!AA28)+('Modelo AHP'!$U$57*aux!AB28)+('Modelo AHP'!$U$58*aux!AC28)+('Modelo AHP'!$U$59*aux!AD28)</f>
        <v>2.8389015648222268E-3</v>
      </c>
      <c r="U25" s="126">
        <f>('Modelo AHP'!$U$23*aux!AE28)+('Modelo AHP'!$U$24*aux!AF28)+('Modelo AHP'!$U$25*aux!AG28)+('Modelo AHP'!$U$26*aux!AH28)+('Modelo AHP'!$U$27*aux!AI28)</f>
        <v>6.0127132178874314E-3</v>
      </c>
    </row>
    <row r="26" spans="1:21" ht="16.8" thickTop="1" thickBot="1">
      <c r="A26" s="152">
        <f t="shared" si="0"/>
        <v>119</v>
      </c>
      <c r="B26" s="104" t="s">
        <v>34</v>
      </c>
      <c r="C26" s="106" t="s">
        <v>40</v>
      </c>
      <c r="D26" s="194">
        <v>8.00188835123333E-2</v>
      </c>
      <c r="E26" s="140">
        <v>84.11</v>
      </c>
      <c r="F26" s="156">
        <v>0.16483271375464684</v>
      </c>
      <c r="G26" s="138">
        <v>82811.17901163717</v>
      </c>
      <c r="H26" s="98">
        <v>3.75</v>
      </c>
      <c r="I26" s="167">
        <v>5.68</v>
      </c>
      <c r="J26" s="158">
        <v>2.9046305859304296E-2</v>
      </c>
      <c r="K26" s="165">
        <v>261652.21</v>
      </c>
      <c r="L26" s="262">
        <v>3.7816353965749019E-2</v>
      </c>
      <c r="M26" s="263">
        <v>111</v>
      </c>
      <c r="N26" s="262">
        <v>2.5119655648710288E-2</v>
      </c>
      <c r="O26" s="262">
        <v>2.8817365269461079E-2</v>
      </c>
      <c r="P26" s="108">
        <f>('Modelo AHP'!$U$37*aux!P29)+('Modelo AHP'!$U$38*aux!R29)+('Modelo AHP'!$U$39*aux!S29)</f>
        <v>4.988228216357085E-3</v>
      </c>
      <c r="Q26" s="110">
        <f>aux!U29</f>
        <v>7.5778512335519304E-3</v>
      </c>
      <c r="R26" s="108">
        <f>('Modelo AHP'!$U$47*aux!V29)+('Modelo AHP'!$U$48*aux!W29)+('Modelo AHP'!$U$49*aux!X29)</f>
        <v>4.5366789601255135E-3</v>
      </c>
      <c r="S26" s="110">
        <f>aux!Z29</f>
        <v>7.5410170160574164E-3</v>
      </c>
      <c r="T26" s="112">
        <f>('Modelo AHP'!$U$56*aux!AA29)+('Modelo AHP'!$U$57*aux!AB29)+('Modelo AHP'!$U$58*aux!AC29)+('Modelo AHP'!$U$59*aux!AD29)</f>
        <v>2.8389015648222268E-3</v>
      </c>
      <c r="U26" s="126">
        <f>('Modelo AHP'!$U$23*aux!AE29)+('Modelo AHP'!$U$24*aux!AF29)+('Modelo AHP'!$U$25*aux!AG29)+('Modelo AHP'!$U$26*aux!AH29)+('Modelo AHP'!$U$27*aux!AI29)</f>
        <v>5.660012821050742E-3</v>
      </c>
    </row>
    <row r="27" spans="1:21" ht="16.8" thickTop="1" thickBot="1">
      <c r="A27" s="152">
        <f t="shared" si="0"/>
        <v>129</v>
      </c>
      <c r="B27" s="104" t="s">
        <v>41</v>
      </c>
      <c r="C27" s="106" t="s">
        <v>42</v>
      </c>
      <c r="D27" s="194">
        <v>5.774278215223097E-2</v>
      </c>
      <c r="E27" s="140">
        <v>84.73</v>
      </c>
      <c r="F27" s="156">
        <v>0.1626400426796738</v>
      </c>
      <c r="G27" s="138">
        <v>103573.08265600556</v>
      </c>
      <c r="H27" s="98">
        <v>3.41</v>
      </c>
      <c r="I27" s="167">
        <v>4.37</v>
      </c>
      <c r="J27" s="158">
        <v>2.8481565612441029E-2</v>
      </c>
      <c r="K27" s="165">
        <v>315478.28000000003</v>
      </c>
      <c r="L27" s="262">
        <v>2.4314688175813899E-2</v>
      </c>
      <c r="M27" s="263">
        <v>147</v>
      </c>
      <c r="N27" s="262">
        <v>2.2742603835405224E-2</v>
      </c>
      <c r="O27" s="262">
        <v>2.9815369261477046E-2</v>
      </c>
      <c r="P27" s="108">
        <f>('Modelo AHP'!$U$37*aux!P30)+('Modelo AHP'!$U$38*aux!R30)+('Modelo AHP'!$U$39*aux!S30)</f>
        <v>4.3495161016037041E-3</v>
      </c>
      <c r="Q27" s="110">
        <f>aux!U30</f>
        <v>7.5491554222312292E-3</v>
      </c>
      <c r="R27" s="108">
        <f>('Modelo AHP'!$U$47*aux!V30)+('Modelo AHP'!$U$48*aux!W30)+('Modelo AHP'!$U$49*aux!X30)</f>
        <v>3.9620597221668892E-3</v>
      </c>
      <c r="S27" s="110">
        <f>aux!Z30</f>
        <v>7.5098940894435173E-3</v>
      </c>
      <c r="T27" s="112">
        <f>('Modelo AHP'!$U$56*aux!AA30)+('Modelo AHP'!$U$57*aux!AB30)+('Modelo AHP'!$U$58*aux!AC30)+('Modelo AHP'!$U$59*aux!AD30)</f>
        <v>2.607079613280148E-3</v>
      </c>
      <c r="U27" s="126">
        <f>('Modelo AHP'!$U$23*aux!AE30)+('Modelo AHP'!$U$24*aux!AF30)+('Modelo AHP'!$U$25*aux!AG30)+('Modelo AHP'!$U$26*aux!AH30)+('Modelo AHP'!$U$27*aux!AI30)</f>
        <v>5.3237595843744923E-3</v>
      </c>
    </row>
    <row r="28" spans="1:21" ht="16.8" thickTop="1" thickBot="1">
      <c r="A28" s="152">
        <f t="shared" si="0"/>
        <v>98</v>
      </c>
      <c r="B28" s="104" t="s">
        <v>41</v>
      </c>
      <c r="C28" s="106" t="s">
        <v>43</v>
      </c>
      <c r="D28" s="194">
        <v>6.1332895241224462E-2</v>
      </c>
      <c r="E28" s="140">
        <v>83.04</v>
      </c>
      <c r="F28" s="156">
        <v>0.22787395774034758</v>
      </c>
      <c r="G28" s="138">
        <v>43701.522001574493</v>
      </c>
      <c r="H28" s="98">
        <v>6.39</v>
      </c>
      <c r="I28" s="167">
        <v>8.5399999999999991</v>
      </c>
      <c r="J28" s="158">
        <v>2.8481565612441029E-2</v>
      </c>
      <c r="K28" s="165">
        <v>101729.75</v>
      </c>
      <c r="L28" s="262">
        <v>2.4314688175813899E-2</v>
      </c>
      <c r="M28" s="263">
        <v>147</v>
      </c>
      <c r="N28" s="262">
        <v>2.2742603835405224E-2</v>
      </c>
      <c r="O28" s="262">
        <v>2.9815369261477046E-2</v>
      </c>
      <c r="P28" s="108">
        <f>('Modelo AHP'!$U$37*aux!P31)+('Modelo AHP'!$U$38*aux!R31)+('Modelo AHP'!$U$39*aux!S31)</f>
        <v>5.2506790770494877E-3</v>
      </c>
      <c r="Q28" s="110">
        <f>aux!U31</f>
        <v>7.6319061678971492E-3</v>
      </c>
      <c r="R28" s="108">
        <f>('Modelo AHP'!$U$47*aux!V31)+('Modelo AHP'!$U$48*aux!W31)+('Modelo AHP'!$U$49*aux!X31)</f>
        <v>6.0057044346721548E-3</v>
      </c>
      <c r="S28" s="110">
        <f>aux!Z31</f>
        <v>7.6334862412208793E-3</v>
      </c>
      <c r="T28" s="112">
        <f>('Modelo AHP'!$U$56*aux!AA31)+('Modelo AHP'!$U$57*aux!AB31)+('Modelo AHP'!$U$58*aux!AC31)+('Modelo AHP'!$U$59*aux!AD31)</f>
        <v>2.607079613280148E-3</v>
      </c>
      <c r="U28" s="126">
        <f>('Modelo AHP'!$U$23*aux!AE31)+('Modelo AHP'!$U$24*aux!AF31)+('Modelo AHP'!$U$25*aux!AG31)+('Modelo AHP'!$U$26*aux!AH31)+('Modelo AHP'!$U$27*aux!AI31)</f>
        <v>6.2085011973208835E-3</v>
      </c>
    </row>
    <row r="29" spans="1:21" ht="16.8" thickTop="1" thickBot="1">
      <c r="A29" s="152">
        <f t="shared" si="0"/>
        <v>97</v>
      </c>
      <c r="B29" s="104" t="s">
        <v>41</v>
      </c>
      <c r="C29" s="106" t="s">
        <v>44</v>
      </c>
      <c r="D29" s="194">
        <v>7.1834261913777245E-2</v>
      </c>
      <c r="E29" s="140">
        <v>83.46</v>
      </c>
      <c r="F29" s="156">
        <v>0.24704697986577182</v>
      </c>
      <c r="G29" s="138">
        <v>43706.982619804076</v>
      </c>
      <c r="H29" s="98">
        <v>6.32</v>
      </c>
      <c r="I29" s="167">
        <v>7.98</v>
      </c>
      <c r="J29" s="158">
        <v>2.8481565612441029E-2</v>
      </c>
      <c r="K29" s="165">
        <v>114722.5</v>
      </c>
      <c r="L29" s="262">
        <v>2.4314688175813899E-2</v>
      </c>
      <c r="M29" s="263">
        <v>147</v>
      </c>
      <c r="N29" s="262">
        <v>2.2742603835405224E-2</v>
      </c>
      <c r="O29" s="262">
        <v>2.9815369261477046E-2</v>
      </c>
      <c r="P29" s="108">
        <f>('Modelo AHP'!$U$37*aux!P32)+('Modelo AHP'!$U$38*aux!R32)+('Modelo AHP'!$U$39*aux!S32)</f>
        <v>5.7748664940843655E-3</v>
      </c>
      <c r="Q29" s="110">
        <f>aux!U32</f>
        <v>7.631898620570416E-3</v>
      </c>
      <c r="R29" s="108">
        <f>('Modelo AHP'!$U$47*aux!V32)+('Modelo AHP'!$U$48*aux!W32)+('Modelo AHP'!$U$49*aux!X32)</f>
        <v>5.7880321059538709E-3</v>
      </c>
      <c r="S29" s="110">
        <f>aux!Z32</f>
        <v>7.6259736659063018E-3</v>
      </c>
      <c r="T29" s="112">
        <f>('Modelo AHP'!$U$56*aux!AA32)+('Modelo AHP'!$U$57*aux!AB32)+('Modelo AHP'!$U$58*aux!AC32)+('Modelo AHP'!$U$59*aux!AD32)</f>
        <v>2.607079613280148E-3</v>
      </c>
      <c r="U29" s="126">
        <f>('Modelo AHP'!$U$23*aux!AE32)+('Modelo AHP'!$U$24*aux!AF32)+('Modelo AHP'!$U$25*aux!AG32)+('Modelo AHP'!$U$26*aux!AH32)+('Modelo AHP'!$U$27*aux!AI32)</f>
        <v>6.2210289365961209E-3</v>
      </c>
    </row>
    <row r="30" spans="1:21" ht="16.8" thickTop="1" thickBot="1">
      <c r="A30" s="152">
        <f t="shared" si="0"/>
        <v>121</v>
      </c>
      <c r="B30" s="104" t="s">
        <v>41</v>
      </c>
      <c r="C30" s="106" t="s">
        <v>45</v>
      </c>
      <c r="D30" s="194">
        <v>3.5189494151021579E-2</v>
      </c>
      <c r="E30" s="140">
        <v>84.24</v>
      </c>
      <c r="F30" s="156">
        <v>0.1715201051464246</v>
      </c>
      <c r="G30" s="138">
        <v>62635.35035399715</v>
      </c>
      <c r="H30" s="98">
        <v>4.88</v>
      </c>
      <c r="I30" s="167">
        <v>6.49</v>
      </c>
      <c r="J30" s="158">
        <v>2.8481565612441029E-2</v>
      </c>
      <c r="K30" s="165">
        <v>156270.15</v>
      </c>
      <c r="L30" s="262">
        <v>2.4314688175813899E-2</v>
      </c>
      <c r="M30" s="263">
        <v>147</v>
      </c>
      <c r="N30" s="262">
        <v>2.2742603835405224E-2</v>
      </c>
      <c r="O30" s="262">
        <v>2.9815369261477046E-2</v>
      </c>
      <c r="P30" s="108">
        <f>('Modelo AHP'!$U$37*aux!P33)+('Modelo AHP'!$U$38*aux!R33)+('Modelo AHP'!$U$39*aux!S33)</f>
        <v>3.839479713827562E-3</v>
      </c>
      <c r="Q30" s="110">
        <f>aux!U33</f>
        <v>7.6057370084941268E-3</v>
      </c>
      <c r="R30" s="108">
        <f>('Modelo AHP'!$U$47*aux!V33)+('Modelo AHP'!$U$48*aux!W33)+('Modelo AHP'!$U$49*aux!X33)</f>
        <v>4.9932955040675187E-3</v>
      </c>
      <c r="S30" s="110">
        <f>aux!Z33</f>
        <v>7.6019502798049202E-3</v>
      </c>
      <c r="T30" s="112">
        <f>('Modelo AHP'!$U$56*aux!AA33)+('Modelo AHP'!$U$57*aux!AB33)+('Modelo AHP'!$U$58*aux!AC33)+('Modelo AHP'!$U$59*aux!AD33)</f>
        <v>2.607079613280148E-3</v>
      </c>
      <c r="U30" s="126">
        <f>('Modelo AHP'!$U$23*aux!AE33)+('Modelo AHP'!$U$24*aux!AF33)+('Modelo AHP'!$U$25*aux!AG33)+('Modelo AHP'!$U$26*aux!AH33)+('Modelo AHP'!$U$27*aux!AI33)</f>
        <v>5.6162144462207422E-3</v>
      </c>
    </row>
    <row r="31" spans="1:21" ht="16.8" thickTop="1" thickBot="1">
      <c r="A31" s="152">
        <f t="shared" si="0"/>
        <v>128</v>
      </c>
      <c r="B31" s="104" t="s">
        <v>41</v>
      </c>
      <c r="C31" s="106" t="s">
        <v>46</v>
      </c>
      <c r="D31" s="194">
        <v>4.8824297844546047E-2</v>
      </c>
      <c r="E31" s="140">
        <v>84.79</v>
      </c>
      <c r="F31" s="156">
        <v>0.14127166365972335</v>
      </c>
      <c r="G31" s="138">
        <v>80248.392025596288</v>
      </c>
      <c r="H31" s="98">
        <v>3.75</v>
      </c>
      <c r="I31" s="167">
        <v>5.22</v>
      </c>
      <c r="J31" s="158">
        <v>2.8481565612441029E-2</v>
      </c>
      <c r="K31" s="165">
        <v>201904.31</v>
      </c>
      <c r="L31" s="262">
        <v>2.4314688175813899E-2</v>
      </c>
      <c r="M31" s="263">
        <v>147</v>
      </c>
      <c r="N31" s="262">
        <v>2.2742603835405224E-2</v>
      </c>
      <c r="O31" s="262">
        <v>2.9815369261477046E-2</v>
      </c>
      <c r="P31" s="108">
        <f>('Modelo AHP'!$U$37*aux!P34)+('Modelo AHP'!$U$38*aux!R34)+('Modelo AHP'!$U$39*aux!S34)</f>
        <v>3.8417545660777959E-3</v>
      </c>
      <c r="Q31" s="110">
        <f>aux!U34</f>
        <v>7.5813933582562099E-3</v>
      </c>
      <c r="R31" s="108">
        <f>('Modelo AHP'!$U$47*aux!V34)+('Modelo AHP'!$U$48*aux!W34)+('Modelo AHP'!$U$49*aux!X34)</f>
        <v>4.3326467465358131E-3</v>
      </c>
      <c r="S31" s="110">
        <f>aux!Z34</f>
        <v>7.5755640210130931E-3</v>
      </c>
      <c r="T31" s="112">
        <f>('Modelo AHP'!$U$56*aux!AA34)+('Modelo AHP'!$U$57*aux!AB34)+('Modelo AHP'!$U$58*aux!AC34)+('Modelo AHP'!$U$59*aux!AD34)</f>
        <v>2.607079613280148E-3</v>
      </c>
      <c r="U31" s="126">
        <f>('Modelo AHP'!$U$23*aux!AE34)+('Modelo AHP'!$U$24*aux!AF34)+('Modelo AHP'!$U$25*aux!AG34)+('Modelo AHP'!$U$26*aux!AH34)+('Modelo AHP'!$U$27*aux!AI34)</f>
        <v>5.3809967176532301E-3</v>
      </c>
    </row>
    <row r="32" spans="1:21" ht="16.8" thickTop="1" thickBot="1">
      <c r="A32" s="152">
        <f t="shared" si="0"/>
        <v>115</v>
      </c>
      <c r="B32" s="104" t="s">
        <v>41</v>
      </c>
      <c r="C32" s="106" t="s">
        <v>47</v>
      </c>
      <c r="D32" s="194">
        <v>4.8070653784600799E-2</v>
      </c>
      <c r="E32" s="140">
        <v>85.1</v>
      </c>
      <c r="F32" s="156">
        <v>0.18239041407553466</v>
      </c>
      <c r="G32" s="138">
        <v>54869.965013558787</v>
      </c>
      <c r="H32" s="98">
        <v>5.09</v>
      </c>
      <c r="I32" s="167">
        <v>7.29</v>
      </c>
      <c r="J32" s="158">
        <v>2.8481565612441029E-2</v>
      </c>
      <c r="K32" s="165">
        <v>106610.94</v>
      </c>
      <c r="L32" s="262">
        <v>2.4314688175813899E-2</v>
      </c>
      <c r="M32" s="263">
        <v>147</v>
      </c>
      <c r="N32" s="262">
        <v>2.2742603835405224E-2</v>
      </c>
      <c r="O32" s="262">
        <v>2.9815369261477046E-2</v>
      </c>
      <c r="P32" s="108">
        <f>('Modelo AHP'!$U$37*aux!P35)+('Modelo AHP'!$U$38*aux!R35)+('Modelo AHP'!$U$39*aux!S35)</f>
        <v>4.3268505592203629E-3</v>
      </c>
      <c r="Q32" s="110">
        <f>aux!U35</f>
        <v>7.6164698409154066E-3</v>
      </c>
      <c r="R32" s="108">
        <f>('Modelo AHP'!$U$47*aux!V35)+('Modelo AHP'!$U$48*aux!W35)+('Modelo AHP'!$U$49*aux!X35)</f>
        <v>5.3231696326869627E-3</v>
      </c>
      <c r="S32" s="110">
        <f>aux!Z35</f>
        <v>7.6306638743239745E-3</v>
      </c>
      <c r="T32" s="112">
        <f>('Modelo AHP'!$U$56*aux!AA35)+('Modelo AHP'!$U$57*aux!AB35)+('Modelo AHP'!$U$58*aux!AC35)+('Modelo AHP'!$U$59*aux!AD35)</f>
        <v>2.607079613280148E-3</v>
      </c>
      <c r="U32" s="126">
        <f>('Modelo AHP'!$U$23*aux!AE35)+('Modelo AHP'!$U$24*aux!AF35)+('Modelo AHP'!$U$25*aux!AG35)+('Modelo AHP'!$U$26*aux!AH35)+('Modelo AHP'!$U$27*aux!AI35)</f>
        <v>5.815896267975902E-3</v>
      </c>
    </row>
    <row r="33" spans="1:21" ht="16.8" thickTop="1" thickBot="1">
      <c r="A33" s="152">
        <f t="shared" si="0"/>
        <v>48</v>
      </c>
      <c r="B33" s="104" t="s">
        <v>48</v>
      </c>
      <c r="C33" s="106" t="s">
        <v>49</v>
      </c>
      <c r="D33" s="194">
        <v>0.1816695652173913</v>
      </c>
      <c r="E33" s="140">
        <v>83.1</v>
      </c>
      <c r="F33" s="156">
        <v>0.426491866532205</v>
      </c>
      <c r="G33" s="138">
        <v>31125.229902695948</v>
      </c>
      <c r="H33" s="98">
        <v>7.27</v>
      </c>
      <c r="I33" s="167">
        <v>9.52</v>
      </c>
      <c r="J33" s="158">
        <v>4.6933916378695373E-2</v>
      </c>
      <c r="K33" s="165">
        <v>78564.539999999994</v>
      </c>
      <c r="L33" s="262">
        <v>3.6296685954760655E-2</v>
      </c>
      <c r="M33" s="263">
        <v>873</v>
      </c>
      <c r="N33" s="262">
        <v>4.5967042497831741E-2</v>
      </c>
      <c r="O33" s="262">
        <v>4.6407185628742513E-2</v>
      </c>
      <c r="P33" s="108">
        <f>('Modelo AHP'!$U$37*aux!P36)+('Modelo AHP'!$U$38*aux!R36)+('Modelo AHP'!$U$39*aux!S36)</f>
        <v>1.0998338887414966E-2</v>
      </c>
      <c r="Q33" s="110">
        <f>aux!U36</f>
        <v>7.6492883362842632E-3</v>
      </c>
      <c r="R33" s="108">
        <f>('Modelo AHP'!$U$47*aux!V36)+('Modelo AHP'!$U$48*aux!W36)+('Modelo AHP'!$U$49*aux!X36)</f>
        <v>7.6642798159563836E-3</v>
      </c>
      <c r="S33" s="110">
        <f>aux!Z36</f>
        <v>7.6468806638645094E-3</v>
      </c>
      <c r="T33" s="112">
        <f>('Modelo AHP'!$U$56*aux!AA36)+('Modelo AHP'!$U$57*aux!AB36)+('Modelo AHP'!$U$58*aux!AC36)+('Modelo AHP'!$U$59*aux!AD36)</f>
        <v>7.3502016921356455E-3</v>
      </c>
      <c r="U33" s="126">
        <f>('Modelo AHP'!$U$23*aux!AE36)+('Modelo AHP'!$U$24*aux!AF36)+('Modelo AHP'!$U$25*aux!AG36)+('Modelo AHP'!$U$26*aux!AH36)+('Modelo AHP'!$U$27*aux!AI36)</f>
        <v>8.1851363910983004E-3</v>
      </c>
    </row>
    <row r="34" spans="1:21" ht="16.8" thickTop="1" thickBot="1">
      <c r="A34" s="152">
        <f t="shared" si="0"/>
        <v>68</v>
      </c>
      <c r="B34" s="104" t="s">
        <v>48</v>
      </c>
      <c r="C34" s="106" t="s">
        <v>50</v>
      </c>
      <c r="D34" s="194">
        <v>0.10445495416593684</v>
      </c>
      <c r="E34" s="140">
        <v>83.5</v>
      </c>
      <c r="F34" s="156">
        <v>0.27366541688984108</v>
      </c>
      <c r="G34" s="138">
        <v>43306.023276175816</v>
      </c>
      <c r="H34" s="98">
        <v>6.14</v>
      </c>
      <c r="I34" s="167">
        <v>8.4</v>
      </c>
      <c r="J34" s="158">
        <v>4.6933916378695373E-2</v>
      </c>
      <c r="K34" s="165">
        <v>119218.39</v>
      </c>
      <c r="L34" s="262">
        <v>3.6296685954760655E-2</v>
      </c>
      <c r="M34" s="263">
        <v>873</v>
      </c>
      <c r="N34" s="262">
        <v>4.5967042497831741E-2</v>
      </c>
      <c r="O34" s="262">
        <v>4.6407185628742513E-2</v>
      </c>
      <c r="P34" s="108">
        <f>('Modelo AHP'!$U$37*aux!P37)+('Modelo AHP'!$U$38*aux!R37)+('Modelo AHP'!$U$39*aux!S37)</f>
        <v>6.9980594381582606E-3</v>
      </c>
      <c r="Q34" s="110">
        <f>aux!U37</f>
        <v>7.6324528016257333E-3</v>
      </c>
      <c r="R34" s="108">
        <f>('Modelo AHP'!$U$47*aux!V37)+('Modelo AHP'!$U$48*aux!W37)+('Modelo AHP'!$U$49*aux!X37)</f>
        <v>7.0587122273227595E-3</v>
      </c>
      <c r="S34" s="110">
        <f>aux!Z37</f>
        <v>7.623374084429627E-3</v>
      </c>
      <c r="T34" s="112">
        <f>('Modelo AHP'!$U$56*aux!AA37)+('Modelo AHP'!$U$57*aux!AB37)+('Modelo AHP'!$U$58*aux!AC37)+('Modelo AHP'!$U$59*aux!AD37)</f>
        <v>7.3502016921356455E-3</v>
      </c>
      <c r="U34" s="126">
        <f>('Modelo AHP'!$U$23*aux!AE37)+('Modelo AHP'!$U$24*aux!AF37)+('Modelo AHP'!$U$25*aux!AG37)+('Modelo AHP'!$U$26*aux!AH37)+('Modelo AHP'!$U$27*aux!AI37)</f>
        <v>7.3034139204826154E-3</v>
      </c>
    </row>
    <row r="35" spans="1:21" ht="16.8" thickTop="1" thickBot="1">
      <c r="A35" s="152">
        <f t="shared" si="0"/>
        <v>69</v>
      </c>
      <c r="B35" s="104" t="s">
        <v>48</v>
      </c>
      <c r="C35" s="106" t="s">
        <v>51</v>
      </c>
      <c r="D35" s="194">
        <v>0.10528900456710702</v>
      </c>
      <c r="E35" s="140">
        <v>84.44</v>
      </c>
      <c r="F35" s="156">
        <v>0.26245143058989756</v>
      </c>
      <c r="G35" s="138">
        <v>45025.326885959883</v>
      </c>
      <c r="H35" s="98">
        <v>6</v>
      </c>
      <c r="I35" s="167">
        <v>8.17</v>
      </c>
      <c r="J35" s="158">
        <v>4.6933916378695373E-2</v>
      </c>
      <c r="K35" s="165">
        <v>114667.38</v>
      </c>
      <c r="L35" s="262">
        <v>3.6296685954760655E-2</v>
      </c>
      <c r="M35" s="263">
        <v>873</v>
      </c>
      <c r="N35" s="262">
        <v>4.5967042497831741E-2</v>
      </c>
      <c r="O35" s="262">
        <v>4.6407185628742513E-2</v>
      </c>
      <c r="P35" s="108">
        <f>('Modelo AHP'!$U$37*aux!P38)+('Modelo AHP'!$U$38*aux!R38)+('Modelo AHP'!$U$39*aux!S38)</f>
        <v>6.8829494757728597E-3</v>
      </c>
      <c r="Q35" s="110">
        <f>aux!U38</f>
        <v>7.6300764871588874E-3</v>
      </c>
      <c r="R35" s="108">
        <f>('Modelo AHP'!$U$47*aux!V38)+('Modelo AHP'!$U$48*aux!W38)+('Modelo AHP'!$U$49*aux!X38)</f>
        <v>6.9501825053481393E-3</v>
      </c>
      <c r="S35" s="110">
        <f>aux!Z38</f>
        <v>7.6260055369998993E-3</v>
      </c>
      <c r="T35" s="112">
        <f>('Modelo AHP'!$U$56*aux!AA38)+('Modelo AHP'!$U$57*aux!AB38)+('Modelo AHP'!$U$58*aux!AC38)+('Modelo AHP'!$U$59*aux!AD38)</f>
        <v>7.3502016921356455E-3</v>
      </c>
      <c r="U35" s="126">
        <f>('Modelo AHP'!$U$23*aux!AE38)+('Modelo AHP'!$U$24*aux!AF38)+('Modelo AHP'!$U$25*aux!AG38)+('Modelo AHP'!$U$26*aux!AH38)+('Modelo AHP'!$U$27*aux!AI38)</f>
        <v>7.2465475166660458E-3</v>
      </c>
    </row>
    <row r="36" spans="1:21" ht="16.8" thickTop="1" thickBot="1">
      <c r="A36" s="152">
        <f t="shared" si="0"/>
        <v>36</v>
      </c>
      <c r="B36" s="104" t="s">
        <v>48</v>
      </c>
      <c r="C36" s="106" t="s">
        <v>52</v>
      </c>
      <c r="D36" s="194">
        <v>0.10374202756344499</v>
      </c>
      <c r="E36" s="140">
        <v>82.6</v>
      </c>
      <c r="F36" s="156">
        <v>0.48410192806404329</v>
      </c>
      <c r="G36" s="138">
        <v>28746.703366257949</v>
      </c>
      <c r="H36" s="98">
        <v>10.69</v>
      </c>
      <c r="I36" s="167">
        <v>13.3</v>
      </c>
      <c r="J36" s="158">
        <v>4.6933916378695373E-2</v>
      </c>
      <c r="K36" s="165">
        <v>82364.88</v>
      </c>
      <c r="L36" s="262">
        <v>3.6296685954760655E-2</v>
      </c>
      <c r="M36" s="263">
        <v>873</v>
      </c>
      <c r="N36" s="262">
        <v>4.5967042497831741E-2</v>
      </c>
      <c r="O36" s="262">
        <v>4.6407185628742513E-2</v>
      </c>
      <c r="P36" s="108">
        <f>('Modelo AHP'!$U$37*aux!P39)+('Modelo AHP'!$U$38*aux!R39)+('Modelo AHP'!$U$39*aux!S39)</f>
        <v>9.567182337810615E-3</v>
      </c>
      <c r="Q36" s="110">
        <f>aux!U39</f>
        <v>7.652575787660593E-3</v>
      </c>
      <c r="R36" s="108">
        <f>('Modelo AHP'!$U$47*aux!V39)+('Modelo AHP'!$U$48*aux!W39)+('Modelo AHP'!$U$49*aux!X39)</f>
        <v>9.6403681254142188E-3</v>
      </c>
      <c r="S36" s="110">
        <f>aux!Z39</f>
        <v>7.6446832583521272E-3</v>
      </c>
      <c r="T36" s="112">
        <f>('Modelo AHP'!$U$56*aux!AA39)+('Modelo AHP'!$U$57*aux!AB39)+('Modelo AHP'!$U$58*aux!AC39)+('Modelo AHP'!$U$59*aux!AD39)</f>
        <v>7.3502016921356455E-3</v>
      </c>
      <c r="U36" s="126">
        <f>('Modelo AHP'!$U$23*aux!AE39)+('Modelo AHP'!$U$24*aux!AF39)+('Modelo AHP'!$U$25*aux!AG39)+('Modelo AHP'!$U$26*aux!AH39)+('Modelo AHP'!$U$27*aux!AI39)</f>
        <v>8.6224735623712453E-3</v>
      </c>
    </row>
    <row r="37" spans="1:21" ht="16.8" thickTop="1" thickBot="1">
      <c r="A37" s="152">
        <f t="shared" si="0"/>
        <v>41</v>
      </c>
      <c r="B37" s="104" t="s">
        <v>48</v>
      </c>
      <c r="C37" s="106" t="s">
        <v>53</v>
      </c>
      <c r="D37" s="194">
        <v>0.16921512651050019</v>
      </c>
      <c r="E37" s="140">
        <v>83.03</v>
      </c>
      <c r="F37" s="156">
        <v>0.47916978496233098</v>
      </c>
      <c r="G37" s="138">
        <v>28242.052362314509</v>
      </c>
      <c r="H37" s="98">
        <v>7.93</v>
      </c>
      <c r="I37" s="167">
        <v>10.57</v>
      </c>
      <c r="J37" s="158">
        <v>4.6933916378695373E-2</v>
      </c>
      <c r="K37" s="165">
        <v>56778.23</v>
      </c>
      <c r="L37" s="262">
        <v>3.6296685954760655E-2</v>
      </c>
      <c r="M37" s="263">
        <v>873</v>
      </c>
      <c r="N37" s="262">
        <v>4.5967042497831741E-2</v>
      </c>
      <c r="O37" s="262">
        <v>4.6407185628742513E-2</v>
      </c>
      <c r="P37" s="108">
        <f>('Modelo AHP'!$U$37*aux!P40)+('Modelo AHP'!$U$38*aux!R40)+('Modelo AHP'!$U$39*aux!S40)</f>
        <v>1.13043535894316E-2</v>
      </c>
      <c r="Q37" s="110">
        <f>aux!U40</f>
        <v>7.6532732848766487E-3</v>
      </c>
      <c r="R37" s="108">
        <f>('Modelo AHP'!$U$47*aux!V40)+('Modelo AHP'!$U$48*aux!W40)+('Modelo AHP'!$U$49*aux!X40)</f>
        <v>8.1633299523743222E-3</v>
      </c>
      <c r="S37" s="110">
        <f>aux!Z40</f>
        <v>7.6594777887766131E-3</v>
      </c>
      <c r="T37" s="112">
        <f>('Modelo AHP'!$U$56*aux!AA40)+('Modelo AHP'!$U$57*aux!AB40)+('Modelo AHP'!$U$58*aux!AC40)+('Modelo AHP'!$U$59*aux!AD40)</f>
        <v>7.3502016921356455E-3</v>
      </c>
      <c r="U37" s="126">
        <f>('Modelo AHP'!$U$23*aux!AE40)+('Modelo AHP'!$U$24*aux!AF40)+('Modelo AHP'!$U$25*aux!AG40)+('Modelo AHP'!$U$26*aux!AH40)+('Modelo AHP'!$U$27*aux!AI40)</f>
        <v>8.4089762210693957E-3</v>
      </c>
    </row>
    <row r="38" spans="1:21" ht="16.8" thickTop="1" thickBot="1">
      <c r="A38" s="152">
        <f t="shared" si="0"/>
        <v>42</v>
      </c>
      <c r="B38" s="104" t="s">
        <v>48</v>
      </c>
      <c r="C38" s="106" t="s">
        <v>54</v>
      </c>
      <c r="D38" s="194">
        <v>0.18786573472041612</v>
      </c>
      <c r="E38" s="140">
        <v>82.77</v>
      </c>
      <c r="F38" s="156">
        <v>0.45024309506568738</v>
      </c>
      <c r="G38" s="138">
        <v>28945.525477272728</v>
      </c>
      <c r="H38" s="98">
        <v>7.36</v>
      </c>
      <c r="I38" s="167">
        <v>10.31</v>
      </c>
      <c r="J38" s="158">
        <v>4.6933916378695373E-2</v>
      </c>
      <c r="K38" s="165">
        <v>70355.899999999994</v>
      </c>
      <c r="L38" s="262">
        <v>3.6296685954760655E-2</v>
      </c>
      <c r="M38" s="263">
        <v>873</v>
      </c>
      <c r="N38" s="262">
        <v>4.5967042497831741E-2</v>
      </c>
      <c r="O38" s="262">
        <v>4.6407185628742513E-2</v>
      </c>
      <c r="P38" s="108">
        <f>('Modelo AHP'!$U$37*aux!P41)+('Modelo AHP'!$U$38*aux!R41)+('Modelo AHP'!$U$39*aux!S41)</f>
        <v>1.1460677580186412E-2</v>
      </c>
      <c r="Q38" s="110">
        <f>aux!U41</f>
        <v>7.6523009881103313E-3</v>
      </c>
      <c r="R38" s="108">
        <f>('Modelo AHP'!$U$47*aux!V41)+('Modelo AHP'!$U$48*aux!W41)+('Modelo AHP'!$U$49*aux!X41)</f>
        <v>7.9698487840799501E-3</v>
      </c>
      <c r="S38" s="110">
        <f>aux!Z41</f>
        <v>7.6516270051879588E-3</v>
      </c>
      <c r="T38" s="112">
        <f>('Modelo AHP'!$U$56*aux!AA41)+('Modelo AHP'!$U$57*aux!AB41)+('Modelo AHP'!$U$58*aux!AC41)+('Modelo AHP'!$U$59*aux!AD41)</f>
        <v>7.3502016921356455E-3</v>
      </c>
      <c r="U38" s="126">
        <f>('Modelo AHP'!$U$23*aux!AE41)+('Modelo AHP'!$U$24*aux!AF41)+('Modelo AHP'!$U$25*aux!AG41)+('Modelo AHP'!$U$26*aux!AH41)+('Modelo AHP'!$U$27*aux!AI41)</f>
        <v>8.3680431698391466E-3</v>
      </c>
    </row>
    <row r="39" spans="1:21" ht="16.8" thickTop="1" thickBot="1">
      <c r="A39" s="152">
        <f t="shared" si="0"/>
        <v>96</v>
      </c>
      <c r="B39" s="104" t="s">
        <v>55</v>
      </c>
      <c r="C39" s="106" t="s">
        <v>56</v>
      </c>
      <c r="D39" s="194">
        <v>6.1457689932056823E-2</v>
      </c>
      <c r="E39" s="140">
        <v>83.84</v>
      </c>
      <c r="F39" s="156">
        <v>0.22174542723810545</v>
      </c>
      <c r="G39" s="138">
        <v>42607.636540203282</v>
      </c>
      <c r="H39" s="98">
        <v>6.15</v>
      </c>
      <c r="I39" s="167">
        <v>8.02</v>
      </c>
      <c r="J39" s="158">
        <v>3.0146559686627123E-2</v>
      </c>
      <c r="K39" s="165">
        <v>112274.14</v>
      </c>
      <c r="L39" s="262">
        <v>4.1440177684259748E-2</v>
      </c>
      <c r="M39" s="263">
        <v>154</v>
      </c>
      <c r="N39" s="262">
        <v>3.2379300375831165E-2</v>
      </c>
      <c r="O39" s="262">
        <v>3.2559880239520958E-2</v>
      </c>
      <c r="P39" s="108">
        <f>('Modelo AHP'!$U$37*aux!P42)+('Modelo AHP'!$U$38*aux!R42)+('Modelo AHP'!$U$39*aux!S42)</f>
        <v>5.1786606089977054E-3</v>
      </c>
      <c r="Q39" s="110">
        <f>aux!U42</f>
        <v>7.6334180683155142E-3</v>
      </c>
      <c r="R39" s="108">
        <f>('Modelo AHP'!$U$47*aux!V42)+('Modelo AHP'!$U$48*aux!W42)+('Modelo AHP'!$U$49*aux!X42)</f>
        <v>5.8770227342289528E-3</v>
      </c>
      <c r="S39" s="110">
        <f>aux!Z42</f>
        <v>7.6273893391777181E-3</v>
      </c>
      <c r="T39" s="112">
        <f>('Modelo AHP'!$U$56*aux!AA42)+('Modelo AHP'!$U$57*aux!AB42)+('Modelo AHP'!$U$58*aux!AC42)+('Modelo AHP'!$U$59*aux!AD42)</f>
        <v>3.439020135709488E-3</v>
      </c>
      <c r="U39" s="126">
        <f>('Modelo AHP'!$U$23*aux!AE42)+('Modelo AHP'!$U$24*aux!AF42)+('Modelo AHP'!$U$25*aux!AG42)+('Modelo AHP'!$U$26*aux!AH42)+('Modelo AHP'!$U$27*aux!AI42)</f>
        <v>6.2304233289401561E-3</v>
      </c>
    </row>
    <row r="40" spans="1:21" ht="16.8" thickTop="1" thickBot="1">
      <c r="A40" s="152">
        <f t="shared" si="0"/>
        <v>94</v>
      </c>
      <c r="B40" s="104" t="s">
        <v>55</v>
      </c>
      <c r="C40" s="106" t="s">
        <v>57</v>
      </c>
      <c r="D40" s="194">
        <v>5.7941236901582087E-2</v>
      </c>
      <c r="E40" s="140">
        <v>82.97</v>
      </c>
      <c r="F40" s="156">
        <v>0.24013868649816592</v>
      </c>
      <c r="G40" s="138">
        <v>42210.151776515151</v>
      </c>
      <c r="H40" s="98">
        <v>5.96</v>
      </c>
      <c r="I40" s="167">
        <v>8.14</v>
      </c>
      <c r="J40" s="158">
        <v>3.0146559686627123E-2</v>
      </c>
      <c r="K40" s="165">
        <v>120510.75</v>
      </c>
      <c r="L40" s="262">
        <v>4.1440177684259748E-2</v>
      </c>
      <c r="M40" s="263">
        <v>154</v>
      </c>
      <c r="N40" s="262">
        <v>3.2379300375831165E-2</v>
      </c>
      <c r="O40" s="262">
        <v>3.2559880239520958E-2</v>
      </c>
      <c r="P40" s="108">
        <f>('Modelo AHP'!$U$37*aux!P43)+('Modelo AHP'!$U$38*aux!R43)+('Modelo AHP'!$U$39*aux!S43)</f>
        <v>5.3084217439677353E-3</v>
      </c>
      <c r="Q40" s="110">
        <f>aux!U43</f>
        <v>7.6339674470226413E-3</v>
      </c>
      <c r="R40" s="108">
        <f>('Modelo AHP'!$U$47*aux!V43)+('Modelo AHP'!$U$48*aux!W43)+('Modelo AHP'!$U$49*aux!X43)</f>
        <v>5.8884186219459629E-3</v>
      </c>
      <c r="S40" s="110">
        <f>aux!Z43</f>
        <v>7.6226268252401917E-3</v>
      </c>
      <c r="T40" s="112">
        <f>('Modelo AHP'!$U$56*aux!AA43)+('Modelo AHP'!$U$57*aux!AB43)+('Modelo AHP'!$U$58*aux!AC43)+('Modelo AHP'!$U$59*aux!AD43)</f>
        <v>3.439020135709488E-3</v>
      </c>
      <c r="U40" s="126">
        <f>('Modelo AHP'!$U$23*aux!AE43)+('Modelo AHP'!$U$24*aux!AF43)+('Modelo AHP'!$U$25*aux!AG43)+('Modelo AHP'!$U$26*aux!AH43)+('Modelo AHP'!$U$27*aux!AI43)</f>
        <v>6.2557921064863393E-3</v>
      </c>
    </row>
    <row r="41" spans="1:21" ht="16.8" thickTop="1" thickBot="1">
      <c r="A41" s="152">
        <f t="shared" si="0"/>
        <v>100</v>
      </c>
      <c r="B41" s="104" t="s">
        <v>55</v>
      </c>
      <c r="C41" s="106" t="s">
        <v>58</v>
      </c>
      <c r="D41" s="194">
        <v>6.2553521184194438E-2</v>
      </c>
      <c r="E41" s="140">
        <v>83.5</v>
      </c>
      <c r="F41" s="156">
        <v>0.21946527229676402</v>
      </c>
      <c r="G41" s="138">
        <v>41126.219802584354</v>
      </c>
      <c r="H41" s="98">
        <v>5.89</v>
      </c>
      <c r="I41" s="167">
        <v>7.61</v>
      </c>
      <c r="J41" s="158">
        <v>3.0146559686627123E-2</v>
      </c>
      <c r="K41" s="165">
        <v>116258.33</v>
      </c>
      <c r="L41" s="262">
        <v>4.1440177684259748E-2</v>
      </c>
      <c r="M41" s="263">
        <v>154</v>
      </c>
      <c r="N41" s="262">
        <v>3.2379300375831165E-2</v>
      </c>
      <c r="O41" s="262">
        <v>3.2559880239520958E-2</v>
      </c>
      <c r="P41" s="108">
        <f>('Modelo AHP'!$U$37*aux!P44)+('Modelo AHP'!$U$38*aux!R44)+('Modelo AHP'!$U$39*aux!S44)</f>
        <v>5.1807270899287324E-3</v>
      </c>
      <c r="Q41" s="110">
        <f>aux!U44</f>
        <v>7.6354655903500155E-3</v>
      </c>
      <c r="R41" s="108">
        <f>('Modelo AHP'!$U$47*aux!V44)+('Modelo AHP'!$U$48*aux!W44)+('Modelo AHP'!$U$49*aux!X44)</f>
        <v>5.6817625270072954E-3</v>
      </c>
      <c r="S41" s="110">
        <f>aux!Z44</f>
        <v>7.6250856292285089E-3</v>
      </c>
      <c r="T41" s="112">
        <f>('Modelo AHP'!$U$56*aux!AA44)+('Modelo AHP'!$U$57*aux!AB44)+('Modelo AHP'!$U$58*aux!AC44)+('Modelo AHP'!$U$59*aux!AD44)</f>
        <v>3.439020135709488E-3</v>
      </c>
      <c r="U41" s="126">
        <f>('Modelo AHP'!$U$23*aux!AE44)+('Modelo AHP'!$U$24*aux!AF44)+('Modelo AHP'!$U$25*aux!AG44)+('Modelo AHP'!$U$26*aux!AH44)+('Modelo AHP'!$U$27*aux!AI44)</f>
        <v>6.1645302003219523E-3</v>
      </c>
    </row>
    <row r="42" spans="1:21" ht="16.8" thickTop="1" thickBot="1">
      <c r="A42" s="152">
        <f t="shared" si="0"/>
        <v>116</v>
      </c>
      <c r="B42" s="104" t="s">
        <v>55</v>
      </c>
      <c r="C42" s="106" t="s">
        <v>59</v>
      </c>
      <c r="D42" s="194">
        <v>6.8589322693065308E-2</v>
      </c>
      <c r="E42" s="140">
        <v>84.02</v>
      </c>
      <c r="F42" s="156">
        <v>0.19587173336699912</v>
      </c>
      <c r="G42" s="138">
        <v>68786.709213910755</v>
      </c>
      <c r="H42" s="98">
        <v>4.3899999999999997</v>
      </c>
      <c r="I42" s="167">
        <v>5.75</v>
      </c>
      <c r="J42" s="158">
        <v>3.0146559686627123E-2</v>
      </c>
      <c r="K42" s="165">
        <v>183975.01</v>
      </c>
      <c r="L42" s="262">
        <v>4.1440177684259748E-2</v>
      </c>
      <c r="M42" s="263">
        <v>154</v>
      </c>
      <c r="N42" s="262">
        <v>3.2379300375831165E-2</v>
      </c>
      <c r="O42" s="262">
        <v>3.2559880239520958E-2</v>
      </c>
      <c r="P42" s="108">
        <f>('Modelo AHP'!$U$37*aux!P45)+('Modelo AHP'!$U$38*aux!R45)+('Modelo AHP'!$U$39*aux!S45)</f>
        <v>5.0562012969387962E-3</v>
      </c>
      <c r="Q42" s="110">
        <f>aux!U45</f>
        <v>7.5972349830424352E-3</v>
      </c>
      <c r="R42" s="108">
        <f>('Modelo AHP'!$U$47*aux!V45)+('Modelo AHP'!$U$48*aux!W45)+('Modelo AHP'!$U$49*aux!X45)</f>
        <v>4.7408425005543396E-3</v>
      </c>
      <c r="S42" s="110">
        <f>aux!Z45</f>
        <v>7.5859309730892648E-3</v>
      </c>
      <c r="T42" s="112">
        <f>('Modelo AHP'!$U$56*aux!AA45)+('Modelo AHP'!$U$57*aux!AB45)+('Modelo AHP'!$U$58*aux!AC45)+('Modelo AHP'!$U$59*aux!AD45)</f>
        <v>3.439020135709488E-3</v>
      </c>
      <c r="U42" s="126">
        <f>('Modelo AHP'!$U$23*aux!AE45)+('Modelo AHP'!$U$24*aux!AF45)+('Modelo AHP'!$U$25*aux!AG45)+('Modelo AHP'!$U$26*aux!AH45)+('Modelo AHP'!$U$27*aux!AI45)</f>
        <v>5.8069356892807384E-3</v>
      </c>
    </row>
    <row r="43" spans="1:21" ht="16.8" thickTop="1" thickBot="1">
      <c r="A43" s="152">
        <f t="shared" si="0"/>
        <v>105</v>
      </c>
      <c r="B43" s="104" t="s">
        <v>55</v>
      </c>
      <c r="C43" s="106" t="s">
        <v>60</v>
      </c>
      <c r="D43" s="194">
        <v>5.9040999667270506E-2</v>
      </c>
      <c r="E43" s="140">
        <v>84.44</v>
      </c>
      <c r="F43" s="156">
        <v>0.21772220712150039</v>
      </c>
      <c r="G43" s="138">
        <v>47955.279166739681</v>
      </c>
      <c r="H43" s="98">
        <v>5.31</v>
      </c>
      <c r="I43" s="167">
        <v>7.18</v>
      </c>
      <c r="J43" s="158">
        <v>3.0146559686627123E-2</v>
      </c>
      <c r="K43" s="165">
        <v>121443.52</v>
      </c>
      <c r="L43" s="262">
        <v>4.1440177684259748E-2</v>
      </c>
      <c r="M43" s="263">
        <v>154</v>
      </c>
      <c r="N43" s="262">
        <v>3.2379300375831165E-2</v>
      </c>
      <c r="O43" s="262">
        <v>3.2559880239520958E-2</v>
      </c>
      <c r="P43" s="108">
        <f>('Modelo AHP'!$U$37*aux!P46)+('Modelo AHP'!$U$38*aux!R46)+('Modelo AHP'!$U$39*aux!S46)</f>
        <v>5.0627658005271015E-3</v>
      </c>
      <c r="Q43" s="110">
        <f>aux!U46</f>
        <v>7.6260268894308529E-3</v>
      </c>
      <c r="R43" s="108">
        <f>('Modelo AHP'!$U$47*aux!V46)+('Modelo AHP'!$U$48*aux!W46)+('Modelo AHP'!$U$49*aux!X46)</f>
        <v>5.4241366104143185E-3</v>
      </c>
      <c r="S43" s="110">
        <f>aux!Z46</f>
        <v>7.6220874856180038E-3</v>
      </c>
      <c r="T43" s="112">
        <f>('Modelo AHP'!$U$56*aux!AA46)+('Modelo AHP'!$U$57*aux!AB46)+('Modelo AHP'!$U$58*aux!AC46)+('Modelo AHP'!$U$59*aux!AD46)</f>
        <v>3.439020135709488E-3</v>
      </c>
      <c r="U43" s="126">
        <f>('Modelo AHP'!$U$23*aux!AE46)+('Modelo AHP'!$U$24*aux!AF46)+('Modelo AHP'!$U$25*aux!AG46)+('Modelo AHP'!$U$26*aux!AH46)+('Modelo AHP'!$U$27*aux!AI46)</f>
        <v>6.0535364150424101E-3</v>
      </c>
    </row>
    <row r="44" spans="1:21" ht="16.8" thickTop="1" thickBot="1">
      <c r="A44" s="152">
        <f t="shared" si="0"/>
        <v>120</v>
      </c>
      <c r="B44" s="104" t="s">
        <v>55</v>
      </c>
      <c r="C44" s="106" t="s">
        <v>61</v>
      </c>
      <c r="D44" s="194">
        <v>3.5967275266886166E-2</v>
      </c>
      <c r="E44" s="140">
        <v>84.33</v>
      </c>
      <c r="F44" s="156">
        <v>0.17160165667305433</v>
      </c>
      <c r="G44" s="138">
        <v>59458.575400225483</v>
      </c>
      <c r="H44" s="98">
        <v>4.63</v>
      </c>
      <c r="I44" s="167">
        <v>5.92</v>
      </c>
      <c r="J44" s="158">
        <v>3.0146559686627123E-2</v>
      </c>
      <c r="K44" s="165">
        <v>177760.6</v>
      </c>
      <c r="L44" s="262">
        <v>4.1440177684259748E-2</v>
      </c>
      <c r="M44" s="263">
        <v>154</v>
      </c>
      <c r="N44" s="262">
        <v>3.2379300375831165E-2</v>
      </c>
      <c r="O44" s="262">
        <v>3.2559880239520958E-2</v>
      </c>
      <c r="P44" s="108">
        <f>('Modelo AHP'!$U$37*aux!P47)+('Modelo AHP'!$U$38*aux!R47)+('Modelo AHP'!$U$39*aux!S47)</f>
        <v>3.8618341893237674E-3</v>
      </c>
      <c r="Q44" s="110">
        <f>aux!U47</f>
        <v>7.6101277491623844E-3</v>
      </c>
      <c r="R44" s="108">
        <f>('Modelo AHP'!$U$47*aux!V47)+('Modelo AHP'!$U$48*aux!W47)+('Modelo AHP'!$U$49*aux!X47)</f>
        <v>4.8445339904441779E-3</v>
      </c>
      <c r="S44" s="110">
        <f>aux!Z47</f>
        <v>7.5895242249536246E-3</v>
      </c>
      <c r="T44" s="112">
        <f>('Modelo AHP'!$U$56*aux!AA47)+('Modelo AHP'!$U$57*aux!AB47)+('Modelo AHP'!$U$58*aux!AC47)+('Modelo AHP'!$U$59*aux!AD47)</f>
        <v>3.439020135709488E-3</v>
      </c>
      <c r="U44" s="126">
        <f>('Modelo AHP'!$U$23*aux!AE47)+('Modelo AHP'!$U$24*aux!AF47)+('Modelo AHP'!$U$25*aux!AG47)+('Modelo AHP'!$U$26*aux!AH47)+('Modelo AHP'!$U$27*aux!AI47)</f>
        <v>5.6474773353602662E-3</v>
      </c>
    </row>
    <row r="45" spans="1:21" ht="16.8" thickTop="1" thickBot="1">
      <c r="A45" s="152">
        <f t="shared" si="0"/>
        <v>78</v>
      </c>
      <c r="B45" s="104" t="s">
        <v>62</v>
      </c>
      <c r="C45" s="106" t="s">
        <v>63</v>
      </c>
      <c r="D45" s="194">
        <v>2.1122685185185185E-2</v>
      </c>
      <c r="E45" s="140">
        <v>80.209999999999994</v>
      </c>
      <c r="F45" s="156">
        <v>0.48211122918880622</v>
      </c>
      <c r="G45" s="138">
        <v>39061.727086553321</v>
      </c>
      <c r="H45" s="98">
        <v>6.21</v>
      </c>
      <c r="I45" s="167">
        <v>8.1199999999999992</v>
      </c>
      <c r="J45" s="158">
        <v>3.6110834577733529E-2</v>
      </c>
      <c r="K45" s="165">
        <v>94498.3</v>
      </c>
      <c r="L45" s="262">
        <v>5.0324390671576361E-2</v>
      </c>
      <c r="M45" s="263">
        <v>475</v>
      </c>
      <c r="N45" s="262">
        <v>5.4736436349619354E-2</v>
      </c>
      <c r="O45" s="262">
        <v>5.4204091816367268E-2</v>
      </c>
      <c r="P45" s="108">
        <f>('Modelo AHP'!$U$37*aux!P48)+('Modelo AHP'!$U$38*aux!R48)+('Modelo AHP'!$U$39*aux!S48)</f>
        <v>7.2741588848349269E-3</v>
      </c>
      <c r="Q45" s="110">
        <f>aux!U48</f>
        <v>7.6383190037203376E-3</v>
      </c>
      <c r="R45" s="108">
        <f>('Modelo AHP'!$U$47*aux!V48)+('Modelo AHP'!$U$48*aux!W48)+('Modelo AHP'!$U$49*aux!X48)</f>
        <v>6.2949300779143215E-3</v>
      </c>
      <c r="S45" s="110">
        <f>aux!Z48</f>
        <v>7.6376675587062929E-3</v>
      </c>
      <c r="T45" s="112">
        <f>('Modelo AHP'!$U$56*aux!AA48)+('Modelo AHP'!$U$57*aux!AB48)+('Modelo AHP'!$U$58*aux!AC48)+('Modelo AHP'!$U$59*aux!AD48)</f>
        <v>6.2959733126336185E-3</v>
      </c>
      <c r="U45" s="126">
        <f>('Modelo AHP'!$U$23*aux!AE48)+('Modelo AHP'!$U$24*aux!AF48)+('Modelo AHP'!$U$25*aux!AG48)+('Modelo AHP'!$U$26*aux!AH48)+('Modelo AHP'!$U$27*aux!AI48)</f>
        <v>6.9927579784292556E-3</v>
      </c>
    </row>
    <row r="46" spans="1:21" ht="16.8" thickTop="1" thickBot="1">
      <c r="A46" s="152">
        <f t="shared" si="0"/>
        <v>113</v>
      </c>
      <c r="B46" s="104" t="s">
        <v>62</v>
      </c>
      <c r="C46" s="106" t="s">
        <v>64</v>
      </c>
      <c r="D46" s="194">
        <v>4.5145330859616577E-2</v>
      </c>
      <c r="E46" s="140">
        <v>84.91</v>
      </c>
      <c r="F46" s="156">
        <v>0.16141396933560476</v>
      </c>
      <c r="G46" s="138">
        <v>98155.792942289496</v>
      </c>
      <c r="H46" s="98">
        <v>3.31</v>
      </c>
      <c r="I46" s="167">
        <v>4.76</v>
      </c>
      <c r="J46" s="158">
        <v>3.6110834577733529E-2</v>
      </c>
      <c r="K46" s="165">
        <v>172607.26</v>
      </c>
      <c r="L46" s="262">
        <v>5.0324390671576361E-2</v>
      </c>
      <c r="M46" s="263">
        <v>475</v>
      </c>
      <c r="N46" s="262">
        <v>5.4736436349619354E-2</v>
      </c>
      <c r="O46" s="262">
        <v>5.4204091816367268E-2</v>
      </c>
      <c r="P46" s="108">
        <f>('Modelo AHP'!$U$37*aux!P49)+('Modelo AHP'!$U$38*aux!R49)+('Modelo AHP'!$U$39*aux!S49)</f>
        <v>3.988498562350503E-3</v>
      </c>
      <c r="Q46" s="110">
        <f>aux!U49</f>
        <v>7.5566428629860434E-3</v>
      </c>
      <c r="R46" s="108">
        <f>('Modelo AHP'!$U$47*aux!V49)+('Modelo AHP'!$U$48*aux!W49)+('Modelo AHP'!$U$49*aux!X49)</f>
        <v>4.5624790658382553E-3</v>
      </c>
      <c r="S46" s="110">
        <f>aux!Z49</f>
        <v>7.5925039524841025E-3</v>
      </c>
      <c r="T46" s="112">
        <f>('Modelo AHP'!$U$56*aux!AA49)+('Modelo AHP'!$U$57*aux!AB49)+('Modelo AHP'!$U$58*aux!AC49)+('Modelo AHP'!$U$59*aux!AD49)</f>
        <v>6.2959733126336185E-3</v>
      </c>
      <c r="U46" s="126">
        <f>('Modelo AHP'!$U$23*aux!AE49)+('Modelo AHP'!$U$24*aux!AF49)+('Modelo AHP'!$U$25*aux!AG49)+('Modelo AHP'!$U$26*aux!AH49)+('Modelo AHP'!$U$27*aux!AI49)</f>
        <v>5.8226632619485354E-3</v>
      </c>
    </row>
    <row r="47" spans="1:21" ht="16.8" thickTop="1" thickBot="1">
      <c r="A47" s="152">
        <f t="shared" si="0"/>
        <v>80</v>
      </c>
      <c r="B47" s="104" t="s">
        <v>62</v>
      </c>
      <c r="C47" s="106" t="s">
        <v>65</v>
      </c>
      <c r="D47" s="194">
        <v>4.8995766909844189E-2</v>
      </c>
      <c r="E47" s="140">
        <v>83.13</v>
      </c>
      <c r="F47" s="156">
        <v>0.35507329363261569</v>
      </c>
      <c r="G47" s="138">
        <v>45508.058073087683</v>
      </c>
      <c r="H47" s="98">
        <v>6.82</v>
      </c>
      <c r="I47" s="167">
        <v>8.35</v>
      </c>
      <c r="J47" s="158">
        <v>3.6110834577733529E-2</v>
      </c>
      <c r="K47" s="165">
        <v>100133.82</v>
      </c>
      <c r="L47" s="262">
        <v>5.0324390671576361E-2</v>
      </c>
      <c r="M47" s="263">
        <v>475</v>
      </c>
      <c r="N47" s="262">
        <v>5.4736436349619354E-2</v>
      </c>
      <c r="O47" s="262">
        <v>5.4204091816367268E-2</v>
      </c>
      <c r="P47" s="108">
        <f>('Modelo AHP'!$U$37*aux!P50)+('Modelo AHP'!$U$38*aux!R50)+('Modelo AHP'!$U$39*aux!S50)</f>
        <v>6.4766117246291798E-3</v>
      </c>
      <c r="Q47" s="110">
        <f>aux!U50</f>
        <v>7.6294092861496875E-3</v>
      </c>
      <c r="R47" s="108">
        <f>('Modelo AHP'!$U$47*aux!V50)+('Modelo AHP'!$U$48*aux!W50)+('Modelo AHP'!$U$49*aux!X50)</f>
        <v>6.4842727066188582E-3</v>
      </c>
      <c r="S47" s="110">
        <f>aux!Z50</f>
        <v>7.6344090284923803E-3</v>
      </c>
      <c r="T47" s="112">
        <f>('Modelo AHP'!$U$56*aux!AA50)+('Modelo AHP'!$U$57*aux!AB50)+('Modelo AHP'!$U$58*aux!AC50)+('Modelo AHP'!$U$59*aux!AD50)</f>
        <v>6.2959733126336185E-3</v>
      </c>
      <c r="U47" s="126">
        <f>('Modelo AHP'!$U$23*aux!AE50)+('Modelo AHP'!$U$24*aux!AF50)+('Modelo AHP'!$U$25*aux!AG50)+('Modelo AHP'!$U$26*aux!AH50)+('Modelo AHP'!$U$27*aux!AI50)</f>
        <v>6.9212432802860649E-3</v>
      </c>
    </row>
    <row r="48" spans="1:21" ht="16.8" thickTop="1" thickBot="1">
      <c r="A48" s="152">
        <f t="shared" si="0"/>
        <v>67</v>
      </c>
      <c r="B48" s="104" t="s">
        <v>62</v>
      </c>
      <c r="C48" s="106" t="s">
        <v>321</v>
      </c>
      <c r="D48" s="194">
        <v>7.6560940686423398E-2</v>
      </c>
      <c r="E48" s="140">
        <v>83.61</v>
      </c>
      <c r="F48" s="156">
        <v>0.44160679637107347</v>
      </c>
      <c r="G48" s="138">
        <v>33746.013818845568</v>
      </c>
      <c r="H48" s="98">
        <v>7.08</v>
      </c>
      <c r="I48" s="167">
        <v>9</v>
      </c>
      <c r="J48" s="158">
        <v>3.6110834577733529E-2</v>
      </c>
      <c r="K48" s="165">
        <v>75022.460000000006</v>
      </c>
      <c r="L48" s="262">
        <v>5.0324390671576361E-2</v>
      </c>
      <c r="M48" s="263">
        <v>475</v>
      </c>
      <c r="N48" s="262">
        <v>5.4736436349619354E-2</v>
      </c>
      <c r="O48" s="262">
        <v>5.4204091816367268E-2</v>
      </c>
      <c r="P48" s="108">
        <f>('Modelo AHP'!$U$37*aux!P51)+('Modelo AHP'!$U$38*aux!R51)+('Modelo AHP'!$U$39*aux!S51)</f>
        <v>8.2979816950967313E-3</v>
      </c>
      <c r="Q48" s="110">
        <f>aux!U51</f>
        <v>7.6456660518320107E-3</v>
      </c>
      <c r="R48" s="108">
        <f>('Modelo AHP'!$U$47*aux!V51)+('Modelo AHP'!$U$48*aux!W51)+('Modelo AHP'!$U$49*aux!X51)</f>
        <v>6.767662784077446E-3</v>
      </c>
      <c r="S48" s="110">
        <f>aux!Z51</f>
        <v>7.6489287401201329E-3</v>
      </c>
      <c r="T48" s="112">
        <f>('Modelo AHP'!$U$56*aux!AA51)+('Modelo AHP'!$U$57*aux!AB51)+('Modelo AHP'!$U$58*aux!AC51)+('Modelo AHP'!$U$59*aux!AD51)</f>
        <v>6.2959733126336185E-3</v>
      </c>
      <c r="U48" s="126">
        <f>('Modelo AHP'!$U$23*aux!AE51)+('Modelo AHP'!$U$24*aux!AF51)+('Modelo AHP'!$U$25*aux!AG51)+('Modelo AHP'!$U$26*aux!AH51)+('Modelo AHP'!$U$27*aux!AI51)</f>
        <v>7.3283801133644634E-3</v>
      </c>
    </row>
    <row r="49" spans="1:21" ht="16.8" thickTop="1" thickBot="1">
      <c r="A49" s="152">
        <f t="shared" si="0"/>
        <v>93</v>
      </c>
      <c r="B49" s="104" t="s">
        <v>62</v>
      </c>
      <c r="C49" s="106" t="s">
        <v>66</v>
      </c>
      <c r="D49" s="194">
        <v>2.8179853772607524E-2</v>
      </c>
      <c r="E49" s="140">
        <v>84.4</v>
      </c>
      <c r="F49" s="156">
        <v>0.2352898759734641</v>
      </c>
      <c r="G49" s="138">
        <v>58457.375286918461</v>
      </c>
      <c r="H49" s="98">
        <v>5.32</v>
      </c>
      <c r="I49" s="167">
        <v>6.62</v>
      </c>
      <c r="J49" s="158">
        <v>3.6110834577733529E-2</v>
      </c>
      <c r="K49" s="165">
        <v>96815.18</v>
      </c>
      <c r="L49" s="262">
        <v>5.0324390671576361E-2</v>
      </c>
      <c r="M49" s="263">
        <v>475</v>
      </c>
      <c r="N49" s="262">
        <v>5.4736436349619354E-2</v>
      </c>
      <c r="O49" s="262">
        <v>5.4204091816367268E-2</v>
      </c>
      <c r="P49" s="108">
        <f>('Modelo AHP'!$U$37*aux!P52)+('Modelo AHP'!$U$38*aux!R52)+('Modelo AHP'!$U$39*aux!S52)</f>
        <v>4.4314346614347236E-3</v>
      </c>
      <c r="Q49" s="110">
        <f>aux!U52</f>
        <v>7.6115115456599431E-3</v>
      </c>
      <c r="R49" s="108">
        <f>('Modelo AHP'!$U$47*aux!V52)+('Modelo AHP'!$U$48*aux!W52)+('Modelo AHP'!$U$49*aux!X52)</f>
        <v>5.5910896932109067E-3</v>
      </c>
      <c r="S49" s="110">
        <f>aux!Z52</f>
        <v>7.6363279088635088E-3</v>
      </c>
      <c r="T49" s="112">
        <f>('Modelo AHP'!$U$56*aux!AA52)+('Modelo AHP'!$U$57*aux!AB52)+('Modelo AHP'!$U$58*aux!AC52)+('Modelo AHP'!$U$59*aux!AD52)</f>
        <v>6.2959733126336185E-3</v>
      </c>
      <c r="U49" s="126">
        <f>('Modelo AHP'!$U$23*aux!AE52)+('Modelo AHP'!$U$24*aux!AF52)+('Modelo AHP'!$U$25*aux!AG52)+('Modelo AHP'!$U$26*aux!AH52)+('Modelo AHP'!$U$27*aux!AI52)</f>
        <v>6.2690804587972925E-3</v>
      </c>
    </row>
    <row r="50" spans="1:21" ht="16.8" thickTop="1" thickBot="1">
      <c r="A50" s="152">
        <f t="shared" si="0"/>
        <v>81</v>
      </c>
      <c r="B50" s="104" t="s">
        <v>62</v>
      </c>
      <c r="C50" s="106" t="s">
        <v>67</v>
      </c>
      <c r="D50" s="194">
        <v>7.2536768860690007E-2</v>
      </c>
      <c r="E50" s="140">
        <v>82.22</v>
      </c>
      <c r="F50" s="156">
        <v>0.30510828625235403</v>
      </c>
      <c r="G50" s="138">
        <v>42537.250096005242</v>
      </c>
      <c r="H50" s="98">
        <v>6.6</v>
      </c>
      <c r="I50" s="167">
        <v>8.36</v>
      </c>
      <c r="J50" s="158">
        <v>3.6110834577733529E-2</v>
      </c>
      <c r="K50" s="165">
        <v>84332.83</v>
      </c>
      <c r="L50" s="262">
        <v>5.0324390671576361E-2</v>
      </c>
      <c r="M50" s="263">
        <v>475</v>
      </c>
      <c r="N50" s="262">
        <v>5.4736436349619354E-2</v>
      </c>
      <c r="O50" s="262">
        <v>5.4204091816367268E-2</v>
      </c>
      <c r="P50" s="108">
        <f>('Modelo AHP'!$U$37*aux!P53)+('Modelo AHP'!$U$38*aux!R53)+('Modelo AHP'!$U$39*aux!S53)</f>
        <v>6.5084725788437207E-3</v>
      </c>
      <c r="Q50" s="110">
        <f>aux!U53</f>
        <v>7.6335153520789316E-3</v>
      </c>
      <c r="R50" s="108">
        <f>('Modelo AHP'!$U$47*aux!V53)+('Modelo AHP'!$U$48*aux!W53)+('Modelo AHP'!$U$49*aux!X53)</f>
        <v>6.4501174665016064E-3</v>
      </c>
      <c r="S50" s="110">
        <f>aux!Z53</f>
        <v>7.6435453643273572E-3</v>
      </c>
      <c r="T50" s="112">
        <f>('Modelo AHP'!$U$56*aux!AA53)+('Modelo AHP'!$U$57*aux!AB53)+('Modelo AHP'!$U$58*aux!AC53)+('Modelo AHP'!$U$59*aux!AD53)</f>
        <v>6.2959733126336185E-3</v>
      </c>
      <c r="U50" s="126">
        <f>('Modelo AHP'!$U$23*aux!AE53)+('Modelo AHP'!$U$24*aux!AF53)+('Modelo AHP'!$U$25*aux!AG53)+('Modelo AHP'!$U$26*aux!AH53)+('Modelo AHP'!$U$27*aux!AI53)</f>
        <v>6.9168999586100262E-3</v>
      </c>
    </row>
    <row r="51" spans="1:21" ht="16.8" thickTop="1" thickBot="1">
      <c r="A51" s="152">
        <f t="shared" si="0"/>
        <v>111</v>
      </c>
      <c r="B51" s="104" t="s">
        <v>62</v>
      </c>
      <c r="C51" s="106" t="s">
        <v>68</v>
      </c>
      <c r="D51" s="194">
        <v>2.0431717512009482E-2</v>
      </c>
      <c r="E51" s="140">
        <v>82.79</v>
      </c>
      <c r="F51" s="156">
        <v>0.15631551973163119</v>
      </c>
      <c r="G51" s="138">
        <v>78328.100556215562</v>
      </c>
      <c r="H51" s="98">
        <v>4.1399999999999997</v>
      </c>
      <c r="I51" s="167">
        <v>5.62</v>
      </c>
      <c r="J51" s="158">
        <v>3.6110834577733529E-2</v>
      </c>
      <c r="K51" s="165">
        <v>137514.56</v>
      </c>
      <c r="L51" s="262">
        <v>5.0324390671576361E-2</v>
      </c>
      <c r="M51" s="263">
        <v>475</v>
      </c>
      <c r="N51" s="262">
        <v>5.4736436349619354E-2</v>
      </c>
      <c r="O51" s="262">
        <v>5.4204091816367268E-2</v>
      </c>
      <c r="P51" s="108">
        <f>('Modelo AHP'!$U$37*aux!P54)+('Modelo AHP'!$U$38*aux!R54)+('Modelo AHP'!$U$39*aux!S54)</f>
        <v>3.247302124184811E-3</v>
      </c>
      <c r="Q51" s="110">
        <f>aux!U54</f>
        <v>7.5840474656362449E-3</v>
      </c>
      <c r="R51" s="108">
        <f>('Modelo AHP'!$U$47*aux!V54)+('Modelo AHP'!$U$48*aux!W54)+('Modelo AHP'!$U$49*aux!X54)</f>
        <v>5.0209899219585226E-3</v>
      </c>
      <c r="S51" s="110">
        <f>aux!Z54</f>
        <v>7.6127950033964874E-3</v>
      </c>
      <c r="T51" s="112">
        <f>('Modelo AHP'!$U$56*aux!AA54)+('Modelo AHP'!$U$57*aux!AB54)+('Modelo AHP'!$U$58*aux!AC54)+('Modelo AHP'!$U$59*aux!AD54)</f>
        <v>6.2959733126336185E-3</v>
      </c>
      <c r="U51" s="126">
        <f>('Modelo AHP'!$U$23*aux!AE54)+('Modelo AHP'!$U$24*aux!AF54)+('Modelo AHP'!$U$25*aux!AG54)+('Modelo AHP'!$U$26*aux!AH54)+('Modelo AHP'!$U$27*aux!AI54)</f>
        <v>5.8660198363318736E-3</v>
      </c>
    </row>
    <row r="52" spans="1:21" ht="16.8" thickTop="1" thickBot="1">
      <c r="A52" s="152">
        <f t="shared" si="0"/>
        <v>114</v>
      </c>
      <c r="B52" s="104" t="s">
        <v>62</v>
      </c>
      <c r="C52" s="106" t="s">
        <v>69</v>
      </c>
      <c r="D52" s="194">
        <v>2.1281337047353757E-2</v>
      </c>
      <c r="E52" s="140">
        <v>88.66</v>
      </c>
      <c r="F52" s="156">
        <v>0.15826750204304005</v>
      </c>
      <c r="G52" s="138">
        <v>57441.344233021082</v>
      </c>
      <c r="H52" s="98">
        <v>3.73</v>
      </c>
      <c r="I52" s="167">
        <v>5.3</v>
      </c>
      <c r="J52" s="158">
        <v>3.6110834577733529E-2</v>
      </c>
      <c r="K52" s="165">
        <v>81519.53</v>
      </c>
      <c r="L52" s="262">
        <v>5.0324390671576361E-2</v>
      </c>
      <c r="M52" s="263">
        <v>475</v>
      </c>
      <c r="N52" s="262">
        <v>5.4736436349619354E-2</v>
      </c>
      <c r="O52" s="262">
        <v>5.4204091816367268E-2</v>
      </c>
      <c r="P52" s="108">
        <f>('Modelo AHP'!$U$37*aux!P55)+('Modelo AHP'!$U$38*aux!R55)+('Modelo AHP'!$U$39*aux!S55)</f>
        <v>3.2942290162565587E-3</v>
      </c>
      <c r="Q52" s="110">
        <f>aux!U55</f>
        <v>7.6129158405607395E-3</v>
      </c>
      <c r="R52" s="108">
        <f>('Modelo AHP'!$U$47*aux!V55)+('Modelo AHP'!$U$48*aux!W55)+('Modelo AHP'!$U$49*aux!X55)</f>
        <v>4.8329870628640373E-3</v>
      </c>
      <c r="S52" s="110">
        <f>aux!Z55</f>
        <v>7.6451720506048966E-3</v>
      </c>
      <c r="T52" s="112">
        <f>('Modelo AHP'!$U$56*aux!AA55)+('Modelo AHP'!$U$57*aux!AB55)+('Modelo AHP'!$U$58*aux!AC55)+('Modelo AHP'!$U$59*aux!AD55)</f>
        <v>6.2959733126336185E-3</v>
      </c>
      <c r="U52" s="126">
        <f>('Modelo AHP'!$U$23*aux!AE55)+('Modelo AHP'!$U$24*aux!AF55)+('Modelo AHP'!$U$25*aux!AG55)+('Modelo AHP'!$U$26*aux!AH55)+('Modelo AHP'!$U$27*aux!AI55)</f>
        <v>5.8213524894769253E-3</v>
      </c>
    </row>
    <row r="53" spans="1:21" ht="16.8" thickTop="1" thickBot="1">
      <c r="A53" s="152">
        <f t="shared" si="0"/>
        <v>87</v>
      </c>
      <c r="B53" s="104" t="s">
        <v>70</v>
      </c>
      <c r="C53" s="106" t="s">
        <v>71</v>
      </c>
      <c r="D53" s="194">
        <v>4.2713178294573641E-2</v>
      </c>
      <c r="E53" s="140">
        <v>82.74</v>
      </c>
      <c r="F53" s="156">
        <v>0.28358350750522515</v>
      </c>
      <c r="G53" s="138">
        <v>41436.083852990181</v>
      </c>
      <c r="H53" s="98">
        <v>7.57</v>
      </c>
      <c r="I53" s="167">
        <v>9.5299999999999994</v>
      </c>
      <c r="J53" s="158">
        <v>3.2221233886064016E-2</v>
      </c>
      <c r="K53" s="165">
        <v>98568.69</v>
      </c>
      <c r="L53" s="262">
        <v>2.4548483254427496E-2</v>
      </c>
      <c r="M53" s="263">
        <v>242</v>
      </c>
      <c r="N53" s="262">
        <v>2.4766310108894671E-2</v>
      </c>
      <c r="O53" s="262">
        <v>2.3858532934131736E-2</v>
      </c>
      <c r="P53" s="108">
        <f>('Modelo AHP'!$U$37*aux!P56)+('Modelo AHP'!$U$38*aux!R56)+('Modelo AHP'!$U$39*aux!S56)</f>
        <v>5.4247061167785413E-3</v>
      </c>
      <c r="Q53" s="110">
        <f>aux!U56</f>
        <v>7.6350373155406421E-3</v>
      </c>
      <c r="R53" s="108">
        <f>('Modelo AHP'!$U$47*aux!V56)+('Modelo AHP'!$U$48*aux!W56)+('Modelo AHP'!$U$49*aux!X56)</f>
        <v>6.8046718557065716E-3</v>
      </c>
      <c r="S53" s="110">
        <f>aux!Z56</f>
        <v>7.6353140068073713E-3</v>
      </c>
      <c r="T53" s="112">
        <f>('Modelo AHP'!$U$56*aux!AA56)+('Modelo AHP'!$U$57*aux!AB56)+('Modelo AHP'!$U$58*aux!AC56)+('Modelo AHP'!$U$59*aux!AD56)</f>
        <v>3.0061543099865126E-3</v>
      </c>
      <c r="U53" s="126">
        <f>('Modelo AHP'!$U$23*aux!AE56)+('Modelo AHP'!$U$24*aux!AF56)+('Modelo AHP'!$U$25*aux!AG56)+('Modelo AHP'!$U$26*aux!AH56)+('Modelo AHP'!$U$27*aux!AI56)</f>
        <v>6.549079795682919E-3</v>
      </c>
    </row>
    <row r="54" spans="1:21" ht="16.8" thickTop="1" thickBot="1">
      <c r="A54" s="152">
        <f t="shared" si="0"/>
        <v>101</v>
      </c>
      <c r="B54" s="104" t="s">
        <v>70</v>
      </c>
      <c r="C54" s="106" t="s">
        <v>72</v>
      </c>
      <c r="D54" s="194">
        <v>6.7189063021007009E-2</v>
      </c>
      <c r="E54" s="140">
        <v>82.88</v>
      </c>
      <c r="F54" s="156">
        <v>0.20794190829228659</v>
      </c>
      <c r="G54" s="138">
        <v>53460.643562335827</v>
      </c>
      <c r="H54" s="98">
        <v>5.81</v>
      </c>
      <c r="I54" s="167">
        <v>7.51</v>
      </c>
      <c r="J54" s="158">
        <v>3.2221233886064016E-2</v>
      </c>
      <c r="K54" s="165">
        <v>202053.54</v>
      </c>
      <c r="L54" s="262">
        <v>2.4548483254427496E-2</v>
      </c>
      <c r="M54" s="263">
        <v>242</v>
      </c>
      <c r="N54" s="262">
        <v>2.4766310108894671E-2</v>
      </c>
      <c r="O54" s="262">
        <v>2.3858532934131736E-2</v>
      </c>
      <c r="P54" s="108">
        <f>('Modelo AHP'!$U$37*aux!P57)+('Modelo AHP'!$U$38*aux!R57)+('Modelo AHP'!$U$39*aux!S57)</f>
        <v>5.1663096639259116E-3</v>
      </c>
      <c r="Q54" s="110">
        <f>aux!U57</f>
        <v>7.6184177173311361E-3</v>
      </c>
      <c r="R54" s="108">
        <f>('Modelo AHP'!$U$47*aux!V57)+('Modelo AHP'!$U$48*aux!W57)+('Modelo AHP'!$U$49*aux!X57)</f>
        <v>5.7602935701954253E-3</v>
      </c>
      <c r="S54" s="110">
        <f>aux!Z57</f>
        <v>7.5754777343059534E-3</v>
      </c>
      <c r="T54" s="112">
        <f>('Modelo AHP'!$U$56*aux!AA57)+('Modelo AHP'!$U$57*aux!AB57)+('Modelo AHP'!$U$58*aux!AC57)+('Modelo AHP'!$U$59*aux!AD57)</f>
        <v>3.0061543099865126E-3</v>
      </c>
      <c r="U54" s="126">
        <f>('Modelo AHP'!$U$23*aux!AE57)+('Modelo AHP'!$U$24*aux!AF57)+('Modelo AHP'!$U$25*aux!AG57)+('Modelo AHP'!$U$26*aux!AH57)+('Modelo AHP'!$U$27*aux!AI57)</f>
        <v>6.1392078029350282E-3</v>
      </c>
    </row>
    <row r="55" spans="1:21" ht="16.8" thickTop="1" thickBot="1">
      <c r="A55" s="152">
        <f t="shared" si="0"/>
        <v>110</v>
      </c>
      <c r="B55" s="104" t="s">
        <v>70</v>
      </c>
      <c r="C55" s="106" t="s">
        <v>73</v>
      </c>
      <c r="D55" s="194">
        <v>6.3241597813257125E-2</v>
      </c>
      <c r="E55" s="140">
        <v>83.16</v>
      </c>
      <c r="F55" s="156">
        <v>0.18347450855042352</v>
      </c>
      <c r="G55" s="138">
        <v>67390.492096167014</v>
      </c>
      <c r="H55" s="98">
        <v>4.8600000000000003</v>
      </c>
      <c r="I55" s="167">
        <v>6.66</v>
      </c>
      <c r="J55" s="158">
        <v>3.2221233886064016E-2</v>
      </c>
      <c r="K55" s="165">
        <v>154344.74</v>
      </c>
      <c r="L55" s="262">
        <v>2.4548483254427496E-2</v>
      </c>
      <c r="M55" s="263">
        <v>242</v>
      </c>
      <c r="N55" s="262">
        <v>2.4766310108894671E-2</v>
      </c>
      <c r="O55" s="262">
        <v>2.3858532934131736E-2</v>
      </c>
      <c r="P55" s="108">
        <f>('Modelo AHP'!$U$37*aux!P58)+('Modelo AHP'!$U$38*aux!R58)+('Modelo AHP'!$U$39*aux!S58)</f>
        <v>4.7569134957235106E-3</v>
      </c>
      <c r="Q55" s="110">
        <f>aux!U58</f>
        <v>7.5991647474638376E-3</v>
      </c>
      <c r="R55" s="108">
        <f>('Modelo AHP'!$U$47*aux!V58)+('Modelo AHP'!$U$48*aux!W58)+('Modelo AHP'!$U$49*aux!X58)</f>
        <v>5.2848217094323569E-3</v>
      </c>
      <c r="S55" s="110">
        <f>aux!Z58</f>
        <v>7.6030635766540433E-3</v>
      </c>
      <c r="T55" s="112">
        <f>('Modelo AHP'!$U$56*aux!AA58)+('Modelo AHP'!$U$57*aux!AB58)+('Modelo AHP'!$U$58*aux!AC58)+('Modelo AHP'!$U$59*aux!AD58)</f>
        <v>3.0061543099865126E-3</v>
      </c>
      <c r="U55" s="126">
        <f>('Modelo AHP'!$U$23*aux!AE58)+('Modelo AHP'!$U$24*aux!AF58)+('Modelo AHP'!$U$25*aux!AG58)+('Modelo AHP'!$U$26*aux!AH58)+('Modelo AHP'!$U$27*aux!AI58)</f>
        <v>5.9042665276142995E-3</v>
      </c>
    </row>
    <row r="56" spans="1:21" ht="16.8" thickTop="1" thickBot="1">
      <c r="A56" s="152">
        <f t="shared" si="0"/>
        <v>82</v>
      </c>
      <c r="B56" s="104" t="s">
        <v>70</v>
      </c>
      <c r="C56" s="106" t="s">
        <v>74</v>
      </c>
      <c r="D56" s="194">
        <v>7.7299612482153779E-2</v>
      </c>
      <c r="E56" s="140">
        <v>83.7</v>
      </c>
      <c r="F56" s="156">
        <v>0.40012051822838202</v>
      </c>
      <c r="G56" s="138">
        <v>34996.93079768688</v>
      </c>
      <c r="H56" s="98">
        <v>7.36</v>
      </c>
      <c r="I56" s="167">
        <v>8.85</v>
      </c>
      <c r="J56" s="158">
        <v>3.2221233886064016E-2</v>
      </c>
      <c r="K56" s="165">
        <v>81625.61</v>
      </c>
      <c r="L56" s="262">
        <v>2.4548483254427496E-2</v>
      </c>
      <c r="M56" s="263">
        <v>242</v>
      </c>
      <c r="N56" s="262">
        <v>2.4766310108894671E-2</v>
      </c>
      <c r="O56" s="262">
        <v>2.3858532934131736E-2</v>
      </c>
      <c r="P56" s="108">
        <f>('Modelo AHP'!$U$37*aux!P59)+('Modelo AHP'!$U$38*aux!R59)+('Modelo AHP'!$U$39*aux!S59)</f>
        <v>7.8079252116985314E-3</v>
      </c>
      <c r="Q56" s="110">
        <f>aux!U59</f>
        <v>7.6439371122213875E-3</v>
      </c>
      <c r="R56" s="108">
        <f>('Modelo AHP'!$U$47*aux!V59)+('Modelo AHP'!$U$48*aux!W59)+('Modelo AHP'!$U$49*aux!X59)</f>
        <v>6.518862662205591E-3</v>
      </c>
      <c r="S56" s="110">
        <f>aux!Z59</f>
        <v>7.6451107137832557E-3</v>
      </c>
      <c r="T56" s="112">
        <f>('Modelo AHP'!$U$56*aux!AA59)+('Modelo AHP'!$U$57*aux!AB59)+('Modelo AHP'!$U$58*aux!AC59)+('Modelo AHP'!$U$59*aux!AD59)</f>
        <v>3.0061543099865126E-3</v>
      </c>
      <c r="U56" s="126">
        <f>('Modelo AHP'!$U$23*aux!AE59)+('Modelo AHP'!$U$24*aux!AF59)+('Modelo AHP'!$U$25*aux!AG59)+('Modelo AHP'!$U$26*aux!AH59)+('Modelo AHP'!$U$27*aux!AI59)</f>
        <v>6.8527423201551682E-3</v>
      </c>
    </row>
    <row r="57" spans="1:21" ht="16.8" thickTop="1" thickBot="1">
      <c r="A57" s="152">
        <f t="shared" si="0"/>
        <v>127</v>
      </c>
      <c r="B57" s="104" t="s">
        <v>70</v>
      </c>
      <c r="C57" s="106" t="s">
        <v>75</v>
      </c>
      <c r="D57" s="194">
        <v>5.7926829268292686E-2</v>
      </c>
      <c r="E57" s="140">
        <v>81.2</v>
      </c>
      <c r="F57" s="156">
        <v>0.14602314700812608</v>
      </c>
      <c r="G57" s="138">
        <v>112320.74809387521</v>
      </c>
      <c r="H57" s="98">
        <v>3.4</v>
      </c>
      <c r="I57" s="167">
        <v>4.38</v>
      </c>
      <c r="J57" s="158">
        <v>3.2221233886064016E-2</v>
      </c>
      <c r="K57" s="165">
        <v>200754.89</v>
      </c>
      <c r="L57" s="262">
        <v>2.4548483254427496E-2</v>
      </c>
      <c r="M57" s="263">
        <v>242</v>
      </c>
      <c r="N57" s="262">
        <v>2.4766310108894671E-2</v>
      </c>
      <c r="O57" s="262">
        <v>2.3858532934131736E-2</v>
      </c>
      <c r="P57" s="108">
        <f>('Modelo AHP'!$U$37*aux!P60)+('Modelo AHP'!$U$38*aux!R60)+('Modelo AHP'!$U$39*aux!S60)</f>
        <v>4.1504108288237607E-3</v>
      </c>
      <c r="Q57" s="110">
        <f>aux!U60</f>
        <v>7.5370649433810491E-3</v>
      </c>
      <c r="R57" s="108">
        <f>('Modelo AHP'!$U$47*aux!V60)+('Modelo AHP'!$U$48*aux!W60)+('Modelo AHP'!$U$49*aux!X60)</f>
        <v>4.1965521042545539E-3</v>
      </c>
      <c r="S57" s="110">
        <f>aux!Z60</f>
        <v>7.5762286304543649E-3</v>
      </c>
      <c r="T57" s="112">
        <f>('Modelo AHP'!$U$56*aux!AA60)+('Modelo AHP'!$U$57*aux!AB60)+('Modelo AHP'!$U$58*aux!AC60)+('Modelo AHP'!$U$59*aux!AD60)</f>
        <v>3.0061543099865126E-3</v>
      </c>
      <c r="U57" s="126">
        <f>('Modelo AHP'!$U$23*aux!AE60)+('Modelo AHP'!$U$24*aux!AF60)+('Modelo AHP'!$U$25*aux!AG60)+('Modelo AHP'!$U$26*aux!AH60)+('Modelo AHP'!$U$27*aux!AI60)</f>
        <v>5.4091093801441285E-3</v>
      </c>
    </row>
    <row r="58" spans="1:21" ht="16.8" thickTop="1" thickBot="1">
      <c r="A58" s="152">
        <f t="shared" si="0"/>
        <v>131</v>
      </c>
      <c r="B58" s="104" t="s">
        <v>70</v>
      </c>
      <c r="C58" s="106" t="s">
        <v>76</v>
      </c>
      <c r="D58" s="194">
        <v>4.6691176470588236E-2</v>
      </c>
      <c r="E58" s="140">
        <v>79.150000000000006</v>
      </c>
      <c r="F58" s="156">
        <v>0.16675324675324676</v>
      </c>
      <c r="G58" s="138">
        <v>101419.17171036206</v>
      </c>
      <c r="H58" s="98">
        <v>2.94</v>
      </c>
      <c r="I58" s="167">
        <v>3.7</v>
      </c>
      <c r="J58" s="158">
        <v>3.2221233886064016E-2</v>
      </c>
      <c r="K58" s="165">
        <v>386518.19</v>
      </c>
      <c r="L58" s="262">
        <v>2.4548483254427496E-2</v>
      </c>
      <c r="M58" s="263">
        <v>242</v>
      </c>
      <c r="N58" s="262">
        <v>2.4766310108894671E-2</v>
      </c>
      <c r="O58" s="262">
        <v>2.3858532934131736E-2</v>
      </c>
      <c r="P58" s="108">
        <f>('Modelo AHP'!$U$37*aux!P61)+('Modelo AHP'!$U$38*aux!R61)+('Modelo AHP'!$U$39*aux!S61)</f>
        <v>4.0970344447299606E-3</v>
      </c>
      <c r="Q58" s="110">
        <f>aux!U61</f>
        <v>7.5521324239145289E-3</v>
      </c>
      <c r="R58" s="108">
        <f>('Modelo AHP'!$U$47*aux!V61)+('Modelo AHP'!$U$48*aux!W61)+('Modelo AHP'!$U$49*aux!X61)</f>
        <v>3.8677573220674494E-3</v>
      </c>
      <c r="S58" s="110">
        <f>aux!Z61</f>
        <v>7.4688178989360541E-3</v>
      </c>
      <c r="T58" s="112">
        <f>('Modelo AHP'!$U$56*aux!AA61)+('Modelo AHP'!$U$57*aux!AB61)+('Modelo AHP'!$U$58*aux!AC61)+('Modelo AHP'!$U$59*aux!AD61)</f>
        <v>3.0061543099865126E-3</v>
      </c>
      <c r="U58" s="126">
        <f>('Modelo AHP'!$U$23*aux!AE61)+('Modelo AHP'!$U$24*aux!AF61)+('Modelo AHP'!$U$25*aux!AG61)+('Modelo AHP'!$U$26*aux!AH61)+('Modelo AHP'!$U$27*aux!AI61)</f>
        <v>5.28463299454697E-3</v>
      </c>
    </row>
    <row r="59" spans="1:21" ht="16.8" thickTop="1" thickBot="1">
      <c r="A59" s="152">
        <f t="shared" si="0"/>
        <v>123</v>
      </c>
      <c r="B59" s="104" t="s">
        <v>70</v>
      </c>
      <c r="C59" s="106" t="s">
        <v>77</v>
      </c>
      <c r="D59" s="194">
        <v>4.5816123604099736E-2</v>
      </c>
      <c r="E59" s="140">
        <v>81.98</v>
      </c>
      <c r="F59" s="156">
        <v>0.18678867600800686</v>
      </c>
      <c r="G59" s="138">
        <v>77060.755639745345</v>
      </c>
      <c r="H59" s="98">
        <v>3.93</v>
      </c>
      <c r="I59" s="167">
        <v>5.17</v>
      </c>
      <c r="J59" s="158">
        <v>3.2221233886064016E-2</v>
      </c>
      <c r="K59" s="165">
        <v>147611.65</v>
      </c>
      <c r="L59" s="262">
        <v>2.4548483254427496E-2</v>
      </c>
      <c r="M59" s="263">
        <v>242</v>
      </c>
      <c r="N59" s="262">
        <v>2.4766310108894671E-2</v>
      </c>
      <c r="O59" s="262">
        <v>2.3858532934131736E-2</v>
      </c>
      <c r="P59" s="108">
        <f>('Modelo AHP'!$U$37*aux!P62)+('Modelo AHP'!$U$38*aux!R62)+('Modelo AHP'!$U$39*aux!S62)</f>
        <v>4.3192667115574887E-3</v>
      </c>
      <c r="Q59" s="110">
        <f>aux!U62</f>
        <v>7.5857991109200404E-3</v>
      </c>
      <c r="R59" s="108">
        <f>('Modelo AHP'!$U$47*aux!V62)+('Modelo AHP'!$U$48*aux!W62)+('Modelo AHP'!$U$49*aux!X62)</f>
        <v>4.5777757084656994E-3</v>
      </c>
      <c r="S59" s="110">
        <f>aux!Z62</f>
        <v>7.6069567359717261E-3</v>
      </c>
      <c r="T59" s="112">
        <f>('Modelo AHP'!$U$56*aux!AA62)+('Modelo AHP'!$U$57*aux!AB62)+('Modelo AHP'!$U$58*aux!AC62)+('Modelo AHP'!$U$59*aux!AD62)</f>
        <v>3.0061543099865126E-3</v>
      </c>
      <c r="U59" s="126">
        <f>('Modelo AHP'!$U$23*aux!AE62)+('Modelo AHP'!$U$24*aux!AF62)+('Modelo AHP'!$U$25*aux!AG62)+('Modelo AHP'!$U$26*aux!AH62)+('Modelo AHP'!$U$27*aux!AI62)</f>
        <v>5.5855946313857303E-3</v>
      </c>
    </row>
    <row r="60" spans="1:21" ht="16.8" thickTop="1" thickBot="1">
      <c r="A60" s="152">
        <f t="shared" si="0"/>
        <v>27</v>
      </c>
      <c r="B60" s="104" t="s">
        <v>78</v>
      </c>
      <c r="C60" s="106" t="s">
        <v>322</v>
      </c>
      <c r="D60" s="194">
        <v>0.10004653327128897</v>
      </c>
      <c r="E60" s="140">
        <v>82.44</v>
      </c>
      <c r="F60" s="156">
        <v>0.51445446067764999</v>
      </c>
      <c r="G60" s="138">
        <v>29540.957694128785</v>
      </c>
      <c r="H60" s="98">
        <v>11.07</v>
      </c>
      <c r="I60" s="167">
        <v>12.1</v>
      </c>
      <c r="J60" s="158">
        <v>5.4923401794240677E-2</v>
      </c>
      <c r="K60" s="165">
        <v>64231.31</v>
      </c>
      <c r="L60" s="262">
        <v>0.10567537553334502</v>
      </c>
      <c r="M60" s="263">
        <v>1230</v>
      </c>
      <c r="N60" s="262">
        <v>9.9868298480614182E-2</v>
      </c>
      <c r="O60" s="262">
        <v>8.3052644710578841E-2</v>
      </c>
      <c r="P60" s="108">
        <f>('Modelo AHP'!$U$37*aux!P63)+('Modelo AHP'!$U$38*aux!R63)+('Modelo AHP'!$U$39*aux!S63)</f>
        <v>9.8390910494662222E-3</v>
      </c>
      <c r="Q60" s="110">
        <f>aux!U63</f>
        <v>7.651478018750592E-3</v>
      </c>
      <c r="R60" s="108">
        <f>('Modelo AHP'!$U$47*aux!V63)+('Modelo AHP'!$U$48*aux!W63)+('Modelo AHP'!$U$49*aux!X63)</f>
        <v>9.7618583570592762E-3</v>
      </c>
      <c r="S60" s="110">
        <f>aux!Z63</f>
        <v>7.655168321972005E-3</v>
      </c>
      <c r="T60" s="112">
        <f>('Modelo AHP'!$U$56*aux!AA63)+('Modelo AHP'!$U$57*aux!AB63)+('Modelo AHP'!$U$58*aux!AC63)+('Modelo AHP'!$U$59*aux!AD63)</f>
        <v>1.3217045998815756E-2</v>
      </c>
      <c r="U60" s="126">
        <f>('Modelo AHP'!$U$23*aux!AE63)+('Modelo AHP'!$U$24*aux!AF63)+('Modelo AHP'!$U$25*aux!AG63)+('Modelo AHP'!$U$26*aux!AH63)+('Modelo AHP'!$U$27*aux!AI63)</f>
        <v>9.2590475936676318E-3</v>
      </c>
    </row>
    <row r="61" spans="1:21" ht="16.8" thickTop="1" thickBot="1">
      <c r="A61" s="152">
        <f t="shared" si="0"/>
        <v>28</v>
      </c>
      <c r="B61" s="104" t="s">
        <v>78</v>
      </c>
      <c r="C61" s="106" t="s">
        <v>323</v>
      </c>
      <c r="D61" s="194">
        <v>0.13923714278812474</v>
      </c>
      <c r="E61" s="140">
        <v>83.16</v>
      </c>
      <c r="F61" s="156">
        <v>0.48511670203091845</v>
      </c>
      <c r="G61" s="138">
        <v>27913.633911254252</v>
      </c>
      <c r="H61" s="98">
        <v>9.61</v>
      </c>
      <c r="I61" s="167">
        <v>11.76</v>
      </c>
      <c r="J61" s="158">
        <v>5.4923401794240677E-2</v>
      </c>
      <c r="K61" s="165">
        <v>69655.86</v>
      </c>
      <c r="L61" s="262">
        <v>0.10567537553334502</v>
      </c>
      <c r="M61" s="263">
        <v>1230</v>
      </c>
      <c r="N61" s="262">
        <v>9.9868298480614182E-2</v>
      </c>
      <c r="O61" s="262">
        <v>8.3052644710578841E-2</v>
      </c>
      <c r="P61" s="108">
        <f>('Modelo AHP'!$U$37*aux!P64)+('Modelo AHP'!$U$38*aux!R64)+('Modelo AHP'!$U$39*aux!S64)</f>
        <v>1.055431182750478E-2</v>
      </c>
      <c r="Q61" s="110">
        <f>aux!U64</f>
        <v>7.6537272044240705E-3</v>
      </c>
      <c r="R61" s="108">
        <f>('Modelo AHP'!$U$47*aux!V64)+('Modelo AHP'!$U$48*aux!W64)+('Modelo AHP'!$U$49*aux!X64)</f>
        <v>9.3859718696299894E-3</v>
      </c>
      <c r="S61" s="110">
        <f>aux!Z64</f>
        <v>7.6520317773280545E-3</v>
      </c>
      <c r="T61" s="112">
        <f>('Modelo AHP'!$U$56*aux!AA64)+('Modelo AHP'!$U$57*aux!AB64)+('Modelo AHP'!$U$58*aux!AC64)+('Modelo AHP'!$U$59*aux!AD64)</f>
        <v>1.3217045998815756E-2</v>
      </c>
      <c r="U61" s="126">
        <f>('Modelo AHP'!$U$23*aux!AE64)+('Modelo AHP'!$U$24*aux!AF64)+('Modelo AHP'!$U$25*aux!AG64)+('Modelo AHP'!$U$26*aux!AH64)+('Modelo AHP'!$U$27*aux!AI64)</f>
        <v>9.2504470088020374E-3</v>
      </c>
    </row>
    <row r="62" spans="1:21" ht="16.8" thickTop="1" thickBot="1">
      <c r="A62" s="152">
        <f t="shared" si="0"/>
        <v>30</v>
      </c>
      <c r="B62" s="104" t="s">
        <v>78</v>
      </c>
      <c r="C62" s="106" t="s">
        <v>79</v>
      </c>
      <c r="D62" s="194">
        <v>0.1198996844003607</v>
      </c>
      <c r="E62" s="140">
        <v>84.02</v>
      </c>
      <c r="F62" s="156">
        <v>0.50749023013460703</v>
      </c>
      <c r="G62" s="138">
        <v>30075.705553614327</v>
      </c>
      <c r="H62" s="98">
        <v>9.6300000000000008</v>
      </c>
      <c r="I62" s="167">
        <v>11.24</v>
      </c>
      <c r="J62" s="158">
        <v>5.4923401794240677E-2</v>
      </c>
      <c r="K62" s="165">
        <v>63152.23</v>
      </c>
      <c r="L62" s="262">
        <v>0.10567537553334502</v>
      </c>
      <c r="M62" s="263">
        <v>1230</v>
      </c>
      <c r="N62" s="262">
        <v>9.9868298480614182E-2</v>
      </c>
      <c r="O62" s="262">
        <v>8.3052644710578841E-2</v>
      </c>
      <c r="P62" s="108">
        <f>('Modelo AHP'!$U$37*aux!P65)+('Modelo AHP'!$U$38*aux!R65)+('Modelo AHP'!$U$39*aux!S65)</f>
        <v>1.0298472469789079E-2</v>
      </c>
      <c r="Q62" s="110">
        <f>aux!U65</f>
        <v>7.6507389235335637E-3</v>
      </c>
      <c r="R62" s="108">
        <f>('Modelo AHP'!$U$47*aux!V65)+('Modelo AHP'!$U$48*aux!W65)+('Modelo AHP'!$U$49*aux!X65)</f>
        <v>9.1984626645448646E-3</v>
      </c>
      <c r="S62" s="110">
        <f>aux!Z65</f>
        <v>7.6557922599197409E-3</v>
      </c>
      <c r="T62" s="112">
        <f>('Modelo AHP'!$U$56*aux!AA65)+('Modelo AHP'!$U$57*aux!AB65)+('Modelo AHP'!$U$58*aux!AC65)+('Modelo AHP'!$U$59*aux!AD65)</f>
        <v>1.3217045998815756E-2</v>
      </c>
      <c r="U62" s="126">
        <f>('Modelo AHP'!$U$23*aux!AE65)+('Modelo AHP'!$U$24*aux!AF65)+('Modelo AHP'!$U$25*aux!AG65)+('Modelo AHP'!$U$26*aux!AH65)+('Modelo AHP'!$U$27*aux!AI65)</f>
        <v>9.1429930827794867E-3</v>
      </c>
    </row>
    <row r="63" spans="1:21" ht="16.8" thickTop="1" thickBot="1">
      <c r="A63" s="152">
        <f t="shared" si="0"/>
        <v>33</v>
      </c>
      <c r="B63" s="104" t="s">
        <v>78</v>
      </c>
      <c r="C63" s="106" t="s">
        <v>80</v>
      </c>
      <c r="D63" s="194">
        <v>0.10428889798517306</v>
      </c>
      <c r="E63" s="140">
        <v>84.05</v>
      </c>
      <c r="F63" s="156">
        <v>0.51608198070162314</v>
      </c>
      <c r="G63" s="138">
        <v>31116.507119747333</v>
      </c>
      <c r="H63" s="98">
        <v>8.3800000000000008</v>
      </c>
      <c r="I63" s="167">
        <v>9.69</v>
      </c>
      <c r="J63" s="158">
        <v>5.4923401794240677E-2</v>
      </c>
      <c r="K63" s="165">
        <v>58979.22</v>
      </c>
      <c r="L63" s="262">
        <v>0.10567537553334502</v>
      </c>
      <c r="M63" s="263">
        <v>1230</v>
      </c>
      <c r="N63" s="262">
        <v>9.9868298480614182E-2</v>
      </c>
      <c r="O63" s="262">
        <v>8.3052644710578841E-2</v>
      </c>
      <c r="P63" s="108">
        <f>('Modelo AHP'!$U$37*aux!P66)+('Modelo AHP'!$U$38*aux!R66)+('Modelo AHP'!$U$39*aux!S66)</f>
        <v>9.9754918755371631E-3</v>
      </c>
      <c r="Q63" s="110">
        <f>aux!U66</f>
        <v>7.6493003923720848E-3</v>
      </c>
      <c r="R63" s="108">
        <f>('Modelo AHP'!$U$47*aux!V66)+('Modelo AHP'!$U$48*aux!W66)+('Modelo AHP'!$U$49*aux!X66)</f>
        <v>8.4143626425007348E-3</v>
      </c>
      <c r="S63" s="110">
        <f>aux!Z66</f>
        <v>7.6582051480237603E-3</v>
      </c>
      <c r="T63" s="112">
        <f>('Modelo AHP'!$U$56*aux!AA66)+('Modelo AHP'!$U$57*aux!AB66)+('Modelo AHP'!$U$58*aux!AC66)+('Modelo AHP'!$U$59*aux!AD66)</f>
        <v>1.3217045998815756E-2</v>
      </c>
      <c r="U63" s="126">
        <f>('Modelo AHP'!$U$23*aux!AE66)+('Modelo AHP'!$U$24*aux!AF66)+('Modelo AHP'!$U$25*aux!AG66)+('Modelo AHP'!$U$26*aux!AH66)+('Modelo AHP'!$U$27*aux!AI66)</f>
        <v>8.8208625726500112E-3</v>
      </c>
    </row>
    <row r="64" spans="1:21" ht="16.8" thickTop="1" thickBot="1">
      <c r="A64" s="152">
        <f t="shared" si="0"/>
        <v>35</v>
      </c>
      <c r="B64" s="104" t="s">
        <v>78</v>
      </c>
      <c r="C64" s="106" t="s">
        <v>81</v>
      </c>
      <c r="D64" s="194">
        <v>0.11989674972343677</v>
      </c>
      <c r="E64" s="140">
        <v>82.55</v>
      </c>
      <c r="F64" s="156">
        <v>0.47814262023217247</v>
      </c>
      <c r="G64" s="138">
        <v>31913.206846745976</v>
      </c>
      <c r="H64" s="98">
        <v>7.33</v>
      </c>
      <c r="I64" s="167">
        <v>8.7200000000000006</v>
      </c>
      <c r="J64" s="158">
        <v>5.4923401794240677E-2</v>
      </c>
      <c r="K64" s="165">
        <v>63522.080000000002</v>
      </c>
      <c r="L64" s="262">
        <v>0.10567537553334502</v>
      </c>
      <c r="M64" s="263">
        <v>1230</v>
      </c>
      <c r="N64" s="262">
        <v>9.9868298480614182E-2</v>
      </c>
      <c r="O64" s="262">
        <v>8.3052644710578841E-2</v>
      </c>
      <c r="P64" s="108">
        <f>('Modelo AHP'!$U$37*aux!P67)+('Modelo AHP'!$U$38*aux!R67)+('Modelo AHP'!$U$39*aux!S67)</f>
        <v>9.9374830574609687E-3</v>
      </c>
      <c r="Q64" s="110">
        <f>aux!U67</f>
        <v>7.6481992435835731E-3</v>
      </c>
      <c r="R64" s="108">
        <f>('Modelo AHP'!$U$47*aux!V67)+('Modelo AHP'!$U$48*aux!W67)+('Modelo AHP'!$U$49*aux!X67)</f>
        <v>7.8776316111447524E-3</v>
      </c>
      <c r="S64" s="110">
        <f>aux!Z67</f>
        <v>7.6555784078884094E-3</v>
      </c>
      <c r="T64" s="112">
        <f>('Modelo AHP'!$U$56*aux!AA67)+('Modelo AHP'!$U$57*aux!AB67)+('Modelo AHP'!$U$58*aux!AC67)+('Modelo AHP'!$U$59*aux!AD67)</f>
        <v>1.3217045998815756E-2</v>
      </c>
      <c r="U64" s="126">
        <f>('Modelo AHP'!$U$23*aux!AE67)+('Modelo AHP'!$U$24*aux!AF67)+('Modelo AHP'!$U$25*aux!AG67)+('Modelo AHP'!$U$26*aux!AH67)+('Modelo AHP'!$U$27*aux!AI67)</f>
        <v>8.6305520190121526E-3</v>
      </c>
    </row>
    <row r="65" spans="1:21" ht="16.8" thickTop="1" thickBot="1">
      <c r="A65" s="152">
        <f t="shared" si="0"/>
        <v>49</v>
      </c>
      <c r="B65" s="104" t="s">
        <v>78</v>
      </c>
      <c r="C65" s="106" t="s">
        <v>82</v>
      </c>
      <c r="D65" s="194">
        <v>3.7619215824796888E-2</v>
      </c>
      <c r="E65" s="140">
        <v>80.59</v>
      </c>
      <c r="F65" s="156">
        <v>0.30088719898605831</v>
      </c>
      <c r="G65" s="138">
        <v>35197.134509999996</v>
      </c>
      <c r="H65" s="98">
        <v>7.68</v>
      </c>
      <c r="I65" s="167">
        <v>9.81</v>
      </c>
      <c r="J65" s="158">
        <v>5.4923401794240677E-2</v>
      </c>
      <c r="K65" s="165">
        <v>60658.68</v>
      </c>
      <c r="L65" s="262">
        <v>0.10567537553334502</v>
      </c>
      <c r="M65" s="263">
        <v>1230</v>
      </c>
      <c r="N65" s="262">
        <v>9.9868298480614182E-2</v>
      </c>
      <c r="O65" s="262">
        <v>8.3052644710578841E-2</v>
      </c>
      <c r="P65" s="108">
        <f>('Modelo AHP'!$U$37*aux!P68)+('Modelo AHP'!$U$38*aux!R68)+('Modelo AHP'!$U$39*aux!S68)</f>
        <v>5.4978367669620831E-3</v>
      </c>
      <c r="Q65" s="110">
        <f>aux!U68</f>
        <v>7.6436604031077798E-3</v>
      </c>
      <c r="R65" s="108">
        <f>('Modelo AHP'!$U$47*aux!V68)+('Modelo AHP'!$U$48*aux!W68)+('Modelo AHP'!$U$49*aux!X68)</f>
        <v>8.3380679292980493E-3</v>
      </c>
      <c r="S65" s="110">
        <f>aux!Z68</f>
        <v>7.6572340626309202E-3</v>
      </c>
      <c r="T65" s="112">
        <f>('Modelo AHP'!$U$56*aux!AA68)+('Modelo AHP'!$U$57*aux!AB68)+('Modelo AHP'!$U$58*aux!AC68)+('Modelo AHP'!$U$59*aux!AD68)</f>
        <v>1.3217045998815756E-2</v>
      </c>
      <c r="U65" s="126">
        <f>('Modelo AHP'!$U$23*aux!AE68)+('Modelo AHP'!$U$24*aux!AF68)+('Modelo AHP'!$U$25*aux!AG68)+('Modelo AHP'!$U$26*aux!AH68)+('Modelo AHP'!$U$27*aux!AI68)</f>
        <v>8.0456449194669915E-3</v>
      </c>
    </row>
    <row r="66" spans="1:21" ht="16.8" thickTop="1" thickBot="1">
      <c r="A66" s="152">
        <f t="shared" si="0"/>
        <v>34</v>
      </c>
      <c r="B66" s="104" t="s">
        <v>78</v>
      </c>
      <c r="C66" s="106" t="s">
        <v>83</v>
      </c>
      <c r="D66" s="194">
        <v>7.0055966498375796E-2</v>
      </c>
      <c r="E66" s="140">
        <v>83.19</v>
      </c>
      <c r="F66" s="156">
        <v>0.53803552259197818</v>
      </c>
      <c r="G66" s="138">
        <v>29910.454936174392</v>
      </c>
      <c r="H66" s="98">
        <v>8.41</v>
      </c>
      <c r="I66" s="167">
        <v>9.77</v>
      </c>
      <c r="J66" s="158">
        <v>5.4923401794240677E-2</v>
      </c>
      <c r="K66" s="165">
        <v>55535.46</v>
      </c>
      <c r="L66" s="262">
        <v>0.10567537553334502</v>
      </c>
      <c r="M66" s="263">
        <v>1230</v>
      </c>
      <c r="N66" s="262">
        <v>9.9868298480614182E-2</v>
      </c>
      <c r="O66" s="262">
        <v>8.3052644710578841E-2</v>
      </c>
      <c r="P66" s="108">
        <f>('Modelo AHP'!$U$37*aux!P69)+('Modelo AHP'!$U$38*aux!R69)+('Modelo AHP'!$U$39*aux!S69)</f>
        <v>9.3055822452578537E-3</v>
      </c>
      <c r="Q66" s="110">
        <f>aux!U69</f>
        <v>7.6509673226543727E-3</v>
      </c>
      <c r="R66" s="108">
        <f>('Modelo AHP'!$U$47*aux!V69)+('Modelo AHP'!$U$48*aux!W69)+('Modelo AHP'!$U$49*aux!X69)</f>
        <v>8.4488975365553803E-3</v>
      </c>
      <c r="S66" s="110">
        <f>aux!Z69</f>
        <v>7.6601963743896436E-3</v>
      </c>
      <c r="T66" s="112">
        <f>('Modelo AHP'!$U$56*aux!AA69)+('Modelo AHP'!$U$57*aux!AB69)+('Modelo AHP'!$U$58*aux!AC69)+('Modelo AHP'!$U$59*aux!AD69)</f>
        <v>1.3217045998815756E-2</v>
      </c>
      <c r="U66" s="126">
        <f>('Modelo AHP'!$U$23*aux!AE69)+('Modelo AHP'!$U$24*aux!AF69)+('Modelo AHP'!$U$25*aux!AG69)+('Modelo AHP'!$U$26*aux!AH69)+('Modelo AHP'!$U$27*aux!AI69)</f>
        <v>8.7215536275136955E-3</v>
      </c>
    </row>
    <row r="67" spans="1:21" ht="16.8" thickTop="1" thickBot="1">
      <c r="A67" s="152">
        <f t="shared" ref="A67:A130" si="1">_xlfn.RANK.EQ(U67,U$2:U$132)</f>
        <v>23</v>
      </c>
      <c r="B67" s="104" t="s">
        <v>84</v>
      </c>
      <c r="C67" s="106" t="s">
        <v>85</v>
      </c>
      <c r="D67" s="194">
        <v>0.1224829198130169</v>
      </c>
      <c r="E67" s="140">
        <v>83.3</v>
      </c>
      <c r="F67" s="156">
        <v>0.49764451587873415</v>
      </c>
      <c r="G67" s="138">
        <v>27579.227944311508</v>
      </c>
      <c r="H67" s="98">
        <v>9.36</v>
      </c>
      <c r="I67" s="167">
        <v>11.61</v>
      </c>
      <c r="J67" s="158">
        <v>6.2259957969999273E-2</v>
      </c>
      <c r="K67" s="165">
        <v>58639.77</v>
      </c>
      <c r="L67" s="262">
        <v>9.4044070372318669E-2</v>
      </c>
      <c r="M67" s="263">
        <v>1964</v>
      </c>
      <c r="N67" s="262">
        <v>0.10198837171950789</v>
      </c>
      <c r="O67" s="262">
        <v>9.4560878243512975E-2</v>
      </c>
      <c r="P67" s="108">
        <f>('Modelo AHP'!$U$37*aux!P70)+('Modelo AHP'!$U$38*aux!R70)+('Modelo AHP'!$U$39*aux!S70)</f>
        <v>1.0248343568330988E-2</v>
      </c>
      <c r="Q67" s="110">
        <f>aux!U70</f>
        <v>7.6541893995433754E-3</v>
      </c>
      <c r="R67" s="108">
        <f>('Modelo AHP'!$U$47*aux!V70)+('Modelo AHP'!$U$48*aux!W70)+('Modelo AHP'!$U$49*aux!X70)</f>
        <v>9.7441062108070721E-3</v>
      </c>
      <c r="S67" s="110">
        <f>aux!Z70</f>
        <v>7.6584014223837326E-3</v>
      </c>
      <c r="T67" s="112">
        <f>('Modelo AHP'!$U$56*aux!AA70)+('Modelo AHP'!$U$57*aux!AB70)+('Modelo AHP'!$U$58*aux!AC70)+('Modelo AHP'!$U$59*aux!AD70)</f>
        <v>1.6613148106322858E-2</v>
      </c>
      <c r="U67" s="126">
        <f>('Modelo AHP'!$U$23*aux!AE70)+('Modelo AHP'!$U$24*aux!AF70)+('Modelo AHP'!$U$25*aux!AG70)+('Modelo AHP'!$U$26*aux!AH70)+('Modelo AHP'!$U$27*aux!AI70)</f>
        <v>9.6403357389724421E-3</v>
      </c>
    </row>
    <row r="68" spans="1:21" ht="16.8" thickTop="1" thickBot="1">
      <c r="A68" s="152">
        <f t="shared" si="1"/>
        <v>21</v>
      </c>
      <c r="B68" s="104" t="s">
        <v>84</v>
      </c>
      <c r="C68" s="106" t="s">
        <v>86</v>
      </c>
      <c r="D68" s="194">
        <v>0.1557921950018466</v>
      </c>
      <c r="E68" s="140">
        <v>82.66</v>
      </c>
      <c r="F68" s="156">
        <v>0.52564002497658446</v>
      </c>
      <c r="G68" s="138">
        <v>28031.479104203292</v>
      </c>
      <c r="H68" s="98">
        <v>8.6199999999999992</v>
      </c>
      <c r="I68" s="167">
        <v>10.41</v>
      </c>
      <c r="J68" s="158">
        <v>6.2259957969999273E-2</v>
      </c>
      <c r="K68" s="165">
        <v>54050.37</v>
      </c>
      <c r="L68" s="262">
        <v>9.4044070372318669E-2</v>
      </c>
      <c r="M68" s="263">
        <v>1964</v>
      </c>
      <c r="N68" s="262">
        <v>0.10198837171950789</v>
      </c>
      <c r="O68" s="262">
        <v>9.4560878243512975E-2</v>
      </c>
      <c r="P68" s="108">
        <f>('Modelo AHP'!$U$37*aux!P71)+('Modelo AHP'!$U$38*aux!R71)+('Modelo AHP'!$U$39*aux!S71)</f>
        <v>1.1507432651538804E-2</v>
      </c>
      <c r="Q68" s="110">
        <f>aux!U71</f>
        <v>7.65356432613122E-3</v>
      </c>
      <c r="R68" s="108">
        <f>('Modelo AHP'!$U$47*aux!V71)+('Modelo AHP'!$U$48*aux!W71)+('Modelo AHP'!$U$49*aux!X71)</f>
        <v>9.1762195171114919E-3</v>
      </c>
      <c r="S68" s="110">
        <f>aux!Z71</f>
        <v>7.6610550725462251E-3</v>
      </c>
      <c r="T68" s="112">
        <f>('Modelo AHP'!$U$56*aux!AA71)+('Modelo AHP'!$U$57*aux!AB71)+('Modelo AHP'!$U$58*aux!AC71)+('Modelo AHP'!$U$59*aux!AD71)</f>
        <v>1.6613148106322858E-2</v>
      </c>
      <c r="U68" s="126">
        <f>('Modelo AHP'!$U$23*aux!AE71)+('Modelo AHP'!$U$24*aux!AF71)+('Modelo AHP'!$U$25*aux!AG71)+('Modelo AHP'!$U$26*aux!AH71)+('Modelo AHP'!$U$27*aux!AI71)</f>
        <v>9.6563950311806899E-3</v>
      </c>
    </row>
    <row r="69" spans="1:21" ht="16.8" thickTop="1" thickBot="1">
      <c r="A69" s="152">
        <f t="shared" si="1"/>
        <v>9</v>
      </c>
      <c r="B69" s="104" t="s">
        <v>84</v>
      </c>
      <c r="C69" s="106" t="s">
        <v>87</v>
      </c>
      <c r="D69" s="194">
        <v>0.14065985371167714</v>
      </c>
      <c r="E69" s="140">
        <v>82.73</v>
      </c>
      <c r="F69" s="156">
        <v>0.56895682848983709</v>
      </c>
      <c r="G69" s="138">
        <v>26282.724397873222</v>
      </c>
      <c r="H69" s="98">
        <v>11.55</v>
      </c>
      <c r="I69" s="167">
        <v>13.81</v>
      </c>
      <c r="J69" s="158">
        <v>6.2259957969999273E-2</v>
      </c>
      <c r="K69" s="165">
        <v>50492.959999999999</v>
      </c>
      <c r="L69" s="262">
        <v>9.4044070372318669E-2</v>
      </c>
      <c r="M69" s="263">
        <v>1964</v>
      </c>
      <c r="N69" s="262">
        <v>0.10198837171950789</v>
      </c>
      <c r="O69" s="262">
        <v>9.4560878243512975E-2</v>
      </c>
      <c r="P69" s="108">
        <f>('Modelo AHP'!$U$37*aux!P72)+('Modelo AHP'!$U$38*aux!R72)+('Modelo AHP'!$U$39*aux!S72)</f>
        <v>1.1624749393895947E-2</v>
      </c>
      <c r="Q69" s="110">
        <f>aux!U72</f>
        <v>7.6559813460711354E-3</v>
      </c>
      <c r="R69" s="108">
        <f>('Modelo AHP'!$U$47*aux!V72)+('Modelo AHP'!$U$48*aux!W72)+('Modelo AHP'!$U$49*aux!X72)</f>
        <v>1.092851711153605E-2</v>
      </c>
      <c r="S69" s="110">
        <f>aux!Z72</f>
        <v>7.6631120128052019E-3</v>
      </c>
      <c r="T69" s="112">
        <f>('Modelo AHP'!$U$56*aux!AA72)+('Modelo AHP'!$U$57*aux!AB72)+('Modelo AHP'!$U$58*aux!AC72)+('Modelo AHP'!$U$59*aux!AD72)</f>
        <v>1.6613148106322858E-2</v>
      </c>
      <c r="U69" s="126">
        <f>('Modelo AHP'!$U$23*aux!AE72)+('Modelo AHP'!$U$24*aux!AF72)+('Modelo AHP'!$U$25*aux!AG72)+('Modelo AHP'!$U$26*aux!AH72)+('Modelo AHP'!$U$27*aux!AI72)</f>
        <v>1.0275712947502737E-2</v>
      </c>
    </row>
    <row r="70" spans="1:21" ht="16.8" thickTop="1" thickBot="1">
      <c r="A70" s="152">
        <f t="shared" si="1"/>
        <v>14</v>
      </c>
      <c r="B70" s="104" t="s">
        <v>84</v>
      </c>
      <c r="C70" s="106" t="s">
        <v>88</v>
      </c>
      <c r="D70" s="194">
        <v>0.16321542836829006</v>
      </c>
      <c r="E70" s="140">
        <v>83.15</v>
      </c>
      <c r="F70" s="156">
        <v>0.56642587053445459</v>
      </c>
      <c r="G70" s="138">
        <v>27788.213282112843</v>
      </c>
      <c r="H70" s="98">
        <v>9.2899999999999991</v>
      </c>
      <c r="I70" s="167">
        <v>11.02</v>
      </c>
      <c r="J70" s="158">
        <v>6.2259957969999273E-2</v>
      </c>
      <c r="K70" s="165">
        <v>53480.84</v>
      </c>
      <c r="L70" s="262">
        <v>9.4044070372318669E-2</v>
      </c>
      <c r="M70" s="263">
        <v>1964</v>
      </c>
      <c r="N70" s="262">
        <v>0.10198837171950789</v>
      </c>
      <c r="O70" s="262">
        <v>9.4560878243512975E-2</v>
      </c>
      <c r="P70" s="108">
        <f>('Modelo AHP'!$U$37*aux!P73)+('Modelo AHP'!$U$38*aux!R73)+('Modelo AHP'!$U$39*aux!S73)</f>
        <v>1.2212955563302711E-2</v>
      </c>
      <c r="Q70" s="110">
        <f>aux!U73</f>
        <v>7.6539005530134492E-3</v>
      </c>
      <c r="R70" s="108">
        <f>('Modelo AHP'!$U$47*aux!V73)+('Modelo AHP'!$U$48*aux!W73)+('Modelo AHP'!$U$49*aux!X73)</f>
        <v>9.5154176483091702E-3</v>
      </c>
      <c r="S70" s="110">
        <f>aux!Z73</f>
        <v>7.6613843821241754E-3</v>
      </c>
      <c r="T70" s="112">
        <f>('Modelo AHP'!$U$56*aux!AA73)+('Modelo AHP'!$U$57*aux!AB73)+('Modelo AHP'!$U$58*aux!AC73)+('Modelo AHP'!$U$59*aux!AD73)</f>
        <v>1.6613148106322858E-2</v>
      </c>
      <c r="U70" s="126">
        <f>('Modelo AHP'!$U$23*aux!AE73)+('Modelo AHP'!$U$24*aux!AF73)+('Modelo AHP'!$U$25*aux!AG73)+('Modelo AHP'!$U$26*aux!AH73)+('Modelo AHP'!$U$27*aux!AI73)</f>
        <v>9.8901821330755861E-3</v>
      </c>
    </row>
    <row r="71" spans="1:21" ht="16.8" thickTop="1" thickBot="1">
      <c r="A71" s="152">
        <f t="shared" si="1"/>
        <v>11</v>
      </c>
      <c r="B71" s="104" t="s">
        <v>84</v>
      </c>
      <c r="C71" s="106" t="s">
        <v>89</v>
      </c>
      <c r="D71" s="194">
        <v>0.15898977396634545</v>
      </c>
      <c r="E71" s="140">
        <v>82.06</v>
      </c>
      <c r="F71" s="156">
        <v>0.60070408761979266</v>
      </c>
      <c r="G71" s="138">
        <v>25725.18725548061</v>
      </c>
      <c r="H71" s="98">
        <v>10.58</v>
      </c>
      <c r="I71" s="167">
        <v>12.1</v>
      </c>
      <c r="J71" s="158">
        <v>6.2259957969999273E-2</v>
      </c>
      <c r="K71" s="165">
        <v>50230.98</v>
      </c>
      <c r="L71" s="262">
        <v>9.4044070372318669E-2</v>
      </c>
      <c r="M71" s="263">
        <v>1964</v>
      </c>
      <c r="N71" s="262">
        <v>0.10198837171950789</v>
      </c>
      <c r="O71" s="262">
        <v>9.4560878243512975E-2</v>
      </c>
      <c r="P71" s="108">
        <f>('Modelo AHP'!$U$37*aux!P74)+('Modelo AHP'!$U$38*aux!R74)+('Modelo AHP'!$U$39*aux!S74)</f>
        <v>1.2518662917044752E-2</v>
      </c>
      <c r="Q71" s="110">
        <f>aux!U74</f>
        <v>7.6567519392169488E-3</v>
      </c>
      <c r="R71" s="108">
        <f>('Modelo AHP'!$U$47*aux!V74)+('Modelo AHP'!$U$48*aux!W74)+('Modelo AHP'!$U$49*aux!X74)</f>
        <v>1.013380770199576E-2</v>
      </c>
      <c r="S71" s="110">
        <f>aux!Z74</f>
        <v>7.6632634930138511E-3</v>
      </c>
      <c r="T71" s="112">
        <f>('Modelo AHP'!$U$56*aux!AA74)+('Modelo AHP'!$U$57*aux!AB74)+('Modelo AHP'!$U$58*aux!AC74)+('Modelo AHP'!$U$59*aux!AD74)</f>
        <v>1.6613148106322858E-2</v>
      </c>
      <c r="U71" s="126">
        <f>('Modelo AHP'!$U$23*aux!AE74)+('Modelo AHP'!$U$24*aux!AF74)+('Modelo AHP'!$U$25*aux!AG74)+('Modelo AHP'!$U$26*aux!AH74)+('Modelo AHP'!$U$27*aux!AI74)</f>
        <v>1.0153581005527773E-2</v>
      </c>
    </row>
    <row r="72" spans="1:21" ht="16.8" thickTop="1" thickBot="1">
      <c r="A72" s="152">
        <f t="shared" si="1"/>
        <v>32</v>
      </c>
      <c r="B72" s="104" t="s">
        <v>84</v>
      </c>
      <c r="C72" s="106" t="s">
        <v>90</v>
      </c>
      <c r="D72" s="194">
        <v>7.9777566210836065E-2</v>
      </c>
      <c r="E72" s="140">
        <v>82.8</v>
      </c>
      <c r="F72" s="156">
        <v>0.45254247646986923</v>
      </c>
      <c r="G72" s="138">
        <v>31280.562009904053</v>
      </c>
      <c r="H72" s="98">
        <v>8.25</v>
      </c>
      <c r="I72" s="167">
        <v>9.2200000000000006</v>
      </c>
      <c r="J72" s="158">
        <v>6.2259957969999273E-2</v>
      </c>
      <c r="K72" s="165">
        <v>53572.15</v>
      </c>
      <c r="L72" s="262">
        <v>9.4044070372318669E-2</v>
      </c>
      <c r="M72" s="263">
        <v>1964</v>
      </c>
      <c r="N72" s="262">
        <v>0.10198837171950789</v>
      </c>
      <c r="O72" s="262">
        <v>9.4560878243512975E-2</v>
      </c>
      <c r="P72" s="108">
        <f>('Modelo AHP'!$U$37*aux!P75)+('Modelo AHP'!$U$38*aux!R75)+('Modelo AHP'!$U$39*aux!S75)</f>
        <v>8.5208893878833264E-3</v>
      </c>
      <c r="Q72" s="110">
        <f>aux!U75</f>
        <v>7.6490736459111242E-3</v>
      </c>
      <c r="R72" s="108">
        <f>('Modelo AHP'!$U$47*aux!V75)+('Modelo AHP'!$U$48*aux!W75)+('Modelo AHP'!$U$49*aux!X75)</f>
        <v>8.6756235725979174E-3</v>
      </c>
      <c r="S72" s="110">
        <f>aux!Z75</f>
        <v>7.6613315855066783E-3</v>
      </c>
      <c r="T72" s="112">
        <f>('Modelo AHP'!$U$56*aux!AA75)+('Modelo AHP'!$U$57*aux!AB75)+('Modelo AHP'!$U$58*aux!AC75)+('Modelo AHP'!$U$59*aux!AD75)</f>
        <v>1.6613148106322858E-2</v>
      </c>
      <c r="U72" s="126">
        <f>('Modelo AHP'!$U$23*aux!AE75)+('Modelo AHP'!$U$24*aux!AF75)+('Modelo AHP'!$U$25*aux!AG75)+('Modelo AHP'!$U$26*aux!AH75)+('Modelo AHP'!$U$27*aux!AI75)</f>
        <v>8.9854914048270729E-3</v>
      </c>
    </row>
    <row r="73" spans="1:21" ht="16.8" thickTop="1" thickBot="1">
      <c r="A73" s="152">
        <f t="shared" si="1"/>
        <v>16</v>
      </c>
      <c r="B73" s="104" t="s">
        <v>84</v>
      </c>
      <c r="C73" s="106" t="s">
        <v>91</v>
      </c>
      <c r="D73" s="194">
        <v>0.13873492559373846</v>
      </c>
      <c r="E73" s="140">
        <v>82.56</v>
      </c>
      <c r="F73" s="156">
        <v>0.56429344883595023</v>
      </c>
      <c r="G73" s="138">
        <v>27997.611786321559</v>
      </c>
      <c r="H73" s="98">
        <v>9.7200000000000006</v>
      </c>
      <c r="I73" s="167">
        <v>11.16</v>
      </c>
      <c r="J73" s="158">
        <v>6.2259957969999273E-2</v>
      </c>
      <c r="K73" s="165">
        <v>51026.14</v>
      </c>
      <c r="L73" s="262">
        <v>9.4044070372318669E-2</v>
      </c>
      <c r="M73" s="263">
        <v>1964</v>
      </c>
      <c r="N73" s="262">
        <v>0.10198837171950789</v>
      </c>
      <c r="O73" s="262">
        <v>9.4560878243512975E-2</v>
      </c>
      <c r="P73" s="108">
        <f>('Modelo AHP'!$U$37*aux!P76)+('Modelo AHP'!$U$38*aux!R76)+('Modelo AHP'!$U$39*aux!S76)</f>
        <v>1.151453793965378E-2</v>
      </c>
      <c r="Q73" s="110">
        <f>aux!U76</f>
        <v>7.6536111354306236E-3</v>
      </c>
      <c r="R73" s="108">
        <f>('Modelo AHP'!$U$47*aux!V76)+('Modelo AHP'!$U$48*aux!W76)+('Modelo AHP'!$U$49*aux!X76)</f>
        <v>9.6407619518208473E-3</v>
      </c>
      <c r="S73" s="110">
        <f>aux!Z76</f>
        <v>7.6628037212652109E-3</v>
      </c>
      <c r="T73" s="112">
        <f>('Modelo AHP'!$U$56*aux!AA76)+('Modelo AHP'!$U$57*aux!AB76)+('Modelo AHP'!$U$58*aux!AC76)+('Modelo AHP'!$U$59*aux!AD76)</f>
        <v>1.6613148106322858E-2</v>
      </c>
      <c r="U73" s="126">
        <f>('Modelo AHP'!$U$23*aux!AE76)+('Modelo AHP'!$U$24*aux!AF76)+('Modelo AHP'!$U$25*aux!AG76)+('Modelo AHP'!$U$26*aux!AH76)+('Modelo AHP'!$U$27*aux!AI76)</f>
        <v>9.8164734106421722E-3</v>
      </c>
    </row>
    <row r="74" spans="1:21" ht="16.8" thickTop="1" thickBot="1">
      <c r="A74" s="152">
        <f t="shared" si="1"/>
        <v>25</v>
      </c>
      <c r="B74" s="104" t="s">
        <v>92</v>
      </c>
      <c r="C74" s="106" t="s">
        <v>93</v>
      </c>
      <c r="D74" s="194">
        <v>5.0454444690755933E-2</v>
      </c>
      <c r="E74" s="140">
        <v>81.31</v>
      </c>
      <c r="F74" s="156">
        <v>0.62287499249113953</v>
      </c>
      <c r="G74" s="138">
        <v>26857.942552704491</v>
      </c>
      <c r="H74" s="98">
        <v>10.62</v>
      </c>
      <c r="I74" s="167">
        <v>11.82</v>
      </c>
      <c r="J74" s="158">
        <v>6.6126522508987498E-2</v>
      </c>
      <c r="K74" s="165">
        <v>53708.18</v>
      </c>
      <c r="L74" s="262">
        <v>5.7688935647904609E-2</v>
      </c>
      <c r="M74" s="263">
        <v>1540</v>
      </c>
      <c r="N74" s="262">
        <v>6.7392631139378753E-2</v>
      </c>
      <c r="O74" s="262">
        <v>6.4433632734530941E-2</v>
      </c>
      <c r="P74" s="108">
        <f>('Modelo AHP'!$U$37*aux!P77)+('Modelo AHP'!$U$38*aux!R77)+('Modelo AHP'!$U$39*aux!S77)</f>
        <v>9.811095938565946E-3</v>
      </c>
      <c r="Q74" s="110">
        <f>aux!U77</f>
        <v>7.6551863153301192E-3</v>
      </c>
      <c r="R74" s="108">
        <f>('Modelo AHP'!$U$47*aux!V77)+('Modelo AHP'!$U$48*aux!W77)+('Modelo AHP'!$U$49*aux!X77)</f>
        <v>1.0278297594499917E-2</v>
      </c>
      <c r="S74" s="110">
        <f>aux!Z77</f>
        <v>7.6612529312094719E-3</v>
      </c>
      <c r="T74" s="112">
        <f>('Modelo AHP'!$U$56*aux!AA77)+('Modelo AHP'!$U$57*aux!AB77)+('Modelo AHP'!$U$58*aux!AC77)+('Modelo AHP'!$U$59*aux!AD77)</f>
        <v>1.2024783106608981E-2</v>
      </c>
      <c r="U74" s="126">
        <f>('Modelo AHP'!$U$23*aux!AE77)+('Modelo AHP'!$U$24*aux!AF77)+('Modelo AHP'!$U$25*aux!AG77)+('Modelo AHP'!$U$26*aux!AH77)+('Modelo AHP'!$U$27*aux!AI77)</f>
        <v>9.3208917192590546E-3</v>
      </c>
    </row>
    <row r="75" spans="1:21" ht="16.8" thickTop="1" thickBot="1">
      <c r="A75" s="152">
        <f t="shared" si="1"/>
        <v>12</v>
      </c>
      <c r="B75" s="104" t="s">
        <v>92</v>
      </c>
      <c r="C75" s="106" t="s">
        <v>94</v>
      </c>
      <c r="D75" s="194">
        <v>0.1080165045682287</v>
      </c>
      <c r="E75" s="140">
        <v>80.58</v>
      </c>
      <c r="F75" s="156">
        <v>0.66266041963740074</v>
      </c>
      <c r="G75" s="138">
        <v>24995.869450088339</v>
      </c>
      <c r="H75" s="98">
        <v>13.14</v>
      </c>
      <c r="I75" s="167">
        <v>14.04</v>
      </c>
      <c r="J75" s="158">
        <v>6.6126522508987498E-2</v>
      </c>
      <c r="K75" s="165">
        <v>53439.81</v>
      </c>
      <c r="L75" s="262">
        <v>5.7688935647904609E-2</v>
      </c>
      <c r="M75" s="263">
        <v>1540</v>
      </c>
      <c r="N75" s="262">
        <v>6.7392631139378753E-2</v>
      </c>
      <c r="O75" s="262">
        <v>6.4433632734530941E-2</v>
      </c>
      <c r="P75" s="108">
        <f>('Modelo AHP'!$U$37*aux!P78)+('Modelo AHP'!$U$38*aux!R78)+('Modelo AHP'!$U$39*aux!S78)</f>
        <v>1.1881197131623923E-2</v>
      </c>
      <c r="Q75" s="110">
        <f>aux!U78</f>
        <v>7.657759956906215E-3</v>
      </c>
      <c r="R75" s="108">
        <f>('Modelo AHP'!$U$47*aux!V78)+('Modelo AHP'!$U$48*aux!W78)+('Modelo AHP'!$U$49*aux!X78)</f>
        <v>1.1526793628147656E-2</v>
      </c>
      <c r="S75" s="110">
        <f>aux!Z78</f>
        <v>7.6614081061983823E-3</v>
      </c>
      <c r="T75" s="112">
        <f>('Modelo AHP'!$U$56*aux!AA78)+('Modelo AHP'!$U$57*aux!AB78)+('Modelo AHP'!$U$58*aux!AC78)+('Modelo AHP'!$U$59*aux!AD78)</f>
        <v>1.2024783106608981E-2</v>
      </c>
      <c r="U75" s="126">
        <f>('Modelo AHP'!$U$23*aux!AE78)+('Modelo AHP'!$U$24*aux!AF78)+('Modelo AHP'!$U$25*aux!AG78)+('Modelo AHP'!$U$26*aux!AH78)+('Modelo AHP'!$U$27*aux!AI78)</f>
        <v>1.0093845624301431E-2</v>
      </c>
    </row>
    <row r="76" spans="1:21" ht="16.8" thickTop="1" thickBot="1">
      <c r="A76" s="152">
        <f t="shared" si="1"/>
        <v>19</v>
      </c>
      <c r="B76" s="104" t="s">
        <v>92</v>
      </c>
      <c r="C76" s="106" t="s">
        <v>95</v>
      </c>
      <c r="D76" s="194">
        <v>0.13964410358050755</v>
      </c>
      <c r="E76" s="140">
        <v>82.12</v>
      </c>
      <c r="F76" s="156">
        <v>0.59479463689862277</v>
      </c>
      <c r="G76" s="138">
        <v>25440.247753376243</v>
      </c>
      <c r="H76" s="98">
        <v>10.86</v>
      </c>
      <c r="I76" s="167">
        <v>12.18</v>
      </c>
      <c r="J76" s="158">
        <v>6.6126522508987498E-2</v>
      </c>
      <c r="K76" s="165">
        <v>50304.3</v>
      </c>
      <c r="L76" s="262">
        <v>5.7688935647904609E-2</v>
      </c>
      <c r="M76" s="263">
        <v>1540</v>
      </c>
      <c r="N76" s="262">
        <v>6.7392631139378753E-2</v>
      </c>
      <c r="O76" s="262">
        <v>6.4433632734530941E-2</v>
      </c>
      <c r="P76" s="108">
        <f>('Modelo AHP'!$U$37*aux!P79)+('Modelo AHP'!$U$38*aux!R79)+('Modelo AHP'!$U$39*aux!S79)</f>
        <v>1.1914738145305349E-2</v>
      </c>
      <c r="Q76" s="110">
        <f>aux!U79</f>
        <v>7.6571457648665735E-3</v>
      </c>
      <c r="R76" s="108">
        <f>('Modelo AHP'!$U$47*aux!V79)+('Modelo AHP'!$U$48*aux!W79)+('Modelo AHP'!$U$49*aux!X79)</f>
        <v>1.0451758564993991E-2</v>
      </c>
      <c r="S76" s="110">
        <f>aux!Z79</f>
        <v>7.6632210984459515E-3</v>
      </c>
      <c r="T76" s="112">
        <f>('Modelo AHP'!$U$56*aux!AA79)+('Modelo AHP'!$U$57*aux!AB79)+('Modelo AHP'!$U$58*aux!AC79)+('Modelo AHP'!$U$59*aux!AD79)</f>
        <v>1.2024783106608981E-2</v>
      </c>
      <c r="U76" s="126">
        <f>('Modelo AHP'!$U$23*aux!AE79)+('Modelo AHP'!$U$24*aux!AF79)+('Modelo AHP'!$U$25*aux!AG79)+('Modelo AHP'!$U$26*aux!AH79)+('Modelo AHP'!$U$27*aux!AI79)</f>
        <v>9.7320140818623266E-3</v>
      </c>
    </row>
    <row r="77" spans="1:21" ht="16.8" thickTop="1" thickBot="1">
      <c r="A77" s="152">
        <f t="shared" si="1"/>
        <v>13</v>
      </c>
      <c r="B77" s="104" t="s">
        <v>92</v>
      </c>
      <c r="C77" s="106" t="s">
        <v>96</v>
      </c>
      <c r="D77" s="194">
        <v>0.23334604021728772</v>
      </c>
      <c r="E77" s="140">
        <v>83.41</v>
      </c>
      <c r="F77" s="156">
        <v>0.61355717453278424</v>
      </c>
      <c r="G77" s="138">
        <v>25506.248844310558</v>
      </c>
      <c r="H77" s="98">
        <v>9.6</v>
      </c>
      <c r="I77" s="167">
        <v>11.08</v>
      </c>
      <c r="J77" s="158">
        <v>6.6126522508987498E-2</v>
      </c>
      <c r="K77" s="165">
        <v>54512.7</v>
      </c>
      <c r="L77" s="262">
        <v>5.7688935647904609E-2</v>
      </c>
      <c r="M77" s="263">
        <v>1540</v>
      </c>
      <c r="N77" s="262">
        <v>6.7392631139378753E-2</v>
      </c>
      <c r="O77" s="262">
        <v>6.4433632734530941E-2</v>
      </c>
      <c r="P77" s="108">
        <f>('Modelo AHP'!$U$37*aux!P80)+('Modelo AHP'!$U$38*aux!R80)+('Modelo AHP'!$U$39*aux!S80)</f>
        <v>1.4718479299445017E-2</v>
      </c>
      <c r="Q77" s="110">
        <f>aux!U80</f>
        <v>7.6570545422655614E-3</v>
      </c>
      <c r="R77" s="108">
        <f>('Modelo AHP'!$U$47*aux!V80)+('Modelo AHP'!$U$48*aux!W80)+('Modelo AHP'!$U$49*aux!X80)</f>
        <v>9.831182626096658E-3</v>
      </c>
      <c r="S77" s="110">
        <f>aux!Z80</f>
        <v>7.660787747388334E-3</v>
      </c>
      <c r="T77" s="112">
        <f>('Modelo AHP'!$U$56*aux!AA80)+('Modelo AHP'!$U$57*aux!AB80)+('Modelo AHP'!$U$58*aux!AC80)+('Modelo AHP'!$U$59*aux!AD80)</f>
        <v>1.2024783106608981E-2</v>
      </c>
      <c r="U77" s="126">
        <f>('Modelo AHP'!$U$23*aux!AE80)+('Modelo AHP'!$U$24*aux!AF80)+('Modelo AHP'!$U$25*aux!AG80)+('Modelo AHP'!$U$26*aux!AH80)+('Modelo AHP'!$U$27*aux!AI80)</f>
        <v>9.987637218635036E-3</v>
      </c>
    </row>
    <row r="78" spans="1:21" ht="16.8" thickTop="1" thickBot="1">
      <c r="A78" s="152">
        <f t="shared" si="1"/>
        <v>15</v>
      </c>
      <c r="B78" s="104" t="s">
        <v>92</v>
      </c>
      <c r="C78" s="106" t="s">
        <v>97</v>
      </c>
      <c r="D78" s="194">
        <v>0.22245976832776179</v>
      </c>
      <c r="E78" s="140">
        <v>82.16</v>
      </c>
      <c r="F78" s="156">
        <v>0.58201955697465579</v>
      </c>
      <c r="G78" s="138">
        <v>26358.159693388694</v>
      </c>
      <c r="H78" s="98">
        <v>8.84</v>
      </c>
      <c r="I78" s="167">
        <v>11.02</v>
      </c>
      <c r="J78" s="158">
        <v>6.6126522508987498E-2</v>
      </c>
      <c r="K78" s="165">
        <v>51943.63</v>
      </c>
      <c r="L78" s="262">
        <v>5.7688935647904609E-2</v>
      </c>
      <c r="M78" s="263">
        <v>1540</v>
      </c>
      <c r="N78" s="262">
        <v>6.7392631139378753E-2</v>
      </c>
      <c r="O78" s="262">
        <v>6.4433632734530941E-2</v>
      </c>
      <c r="P78" s="108">
        <f>('Modelo AHP'!$U$37*aux!P81)+('Modelo AHP'!$U$38*aux!R81)+('Modelo AHP'!$U$39*aux!S81)</f>
        <v>1.403168100450875E-2</v>
      </c>
      <c r="Q78" s="110">
        <f>aux!U81</f>
        <v>7.6558770840995877E-3</v>
      </c>
      <c r="R78" s="108">
        <f>('Modelo AHP'!$U$47*aux!V81)+('Modelo AHP'!$U$48*aux!W81)+('Modelo AHP'!$U$49*aux!X81)</f>
        <v>9.6784739689316068E-3</v>
      </c>
      <c r="S78" s="110">
        <f>aux!Z81</f>
        <v>7.6622732167357334E-3</v>
      </c>
      <c r="T78" s="112">
        <f>('Modelo AHP'!$U$56*aux!AA81)+('Modelo AHP'!$U$57*aux!AB81)+('Modelo AHP'!$U$58*aux!AC81)+('Modelo AHP'!$U$59*aux!AD81)</f>
        <v>1.2024783106608981E-2</v>
      </c>
      <c r="U78" s="126">
        <f>('Modelo AHP'!$U$23*aux!AE81)+('Modelo AHP'!$U$24*aux!AF81)+('Modelo AHP'!$U$25*aux!AG81)+('Modelo AHP'!$U$26*aux!AH81)+('Modelo AHP'!$U$27*aux!AI81)</f>
        <v>9.8205682098425687E-3</v>
      </c>
    </row>
    <row r="79" spans="1:21" ht="16.8" thickTop="1" thickBot="1">
      <c r="A79" s="152">
        <f t="shared" si="1"/>
        <v>18</v>
      </c>
      <c r="B79" s="104" t="s">
        <v>92</v>
      </c>
      <c r="C79" s="106" t="s">
        <v>324</v>
      </c>
      <c r="D79" s="194">
        <v>0.1794553551872673</v>
      </c>
      <c r="E79" s="140">
        <v>84.25</v>
      </c>
      <c r="F79" s="156">
        <v>0.63773985150901558</v>
      </c>
      <c r="G79" s="138">
        <v>25498.384207889791</v>
      </c>
      <c r="H79" s="98">
        <v>9.24</v>
      </c>
      <c r="I79" s="167">
        <v>11.17</v>
      </c>
      <c r="J79" s="158">
        <v>6.6126522508987498E-2</v>
      </c>
      <c r="K79" s="165">
        <v>42213.74</v>
      </c>
      <c r="L79" s="262">
        <v>5.7688935647904609E-2</v>
      </c>
      <c r="M79" s="263">
        <v>1540</v>
      </c>
      <c r="N79" s="262">
        <v>6.7392631139378753E-2</v>
      </c>
      <c r="O79" s="262">
        <v>6.4433632734530941E-2</v>
      </c>
      <c r="P79" s="108">
        <f>('Modelo AHP'!$U$37*aux!P82)+('Modelo AHP'!$U$38*aux!R82)+('Modelo AHP'!$U$39*aux!S82)</f>
        <v>1.3536074082722262E-2</v>
      </c>
      <c r="Q79" s="110">
        <f>aux!U82</f>
        <v>7.6570654122766497E-3</v>
      </c>
      <c r="R79" s="108">
        <f>('Modelo AHP'!$U$47*aux!V82)+('Modelo AHP'!$U$48*aux!W82)+('Modelo AHP'!$U$49*aux!X82)</f>
        <v>9.8023320797274889E-3</v>
      </c>
      <c r="S79" s="110">
        <f>aux!Z82</f>
        <v>7.6678991643932782E-3</v>
      </c>
      <c r="T79" s="112">
        <f>('Modelo AHP'!$U$56*aux!AA82)+('Modelo AHP'!$U$57*aux!AB82)+('Modelo AHP'!$U$58*aux!AC82)+('Modelo AHP'!$U$59*aux!AD82)</f>
        <v>1.2024783106608981E-2</v>
      </c>
      <c r="U79" s="126">
        <f>('Modelo AHP'!$U$23*aux!AE82)+('Modelo AHP'!$U$24*aux!AF82)+('Modelo AHP'!$U$25*aux!AG82)+('Modelo AHP'!$U$26*aux!AH82)+('Modelo AHP'!$U$27*aux!AI82)</f>
        <v>9.7809905529480812E-3</v>
      </c>
    </row>
    <row r="80" spans="1:21" ht="16.8" thickTop="1" thickBot="1">
      <c r="A80" s="152">
        <f t="shared" si="1"/>
        <v>8</v>
      </c>
      <c r="B80" s="104" t="s">
        <v>92</v>
      </c>
      <c r="C80" s="106" t="s">
        <v>98</v>
      </c>
      <c r="D80" s="194">
        <v>0.29188185458132648</v>
      </c>
      <c r="E80" s="140">
        <v>82.73</v>
      </c>
      <c r="F80" s="156">
        <v>0.69765660897534076</v>
      </c>
      <c r="G80" s="138">
        <v>23173.869977272727</v>
      </c>
      <c r="H80" s="98">
        <v>9.48</v>
      </c>
      <c r="I80" s="167">
        <v>11.76</v>
      </c>
      <c r="J80" s="158">
        <v>6.6126522508987498E-2</v>
      </c>
      <c r="K80" s="165">
        <v>44169.38</v>
      </c>
      <c r="L80" s="262">
        <v>5.7688935647904609E-2</v>
      </c>
      <c r="M80" s="263">
        <v>1540</v>
      </c>
      <c r="N80" s="262">
        <v>6.7392631139378753E-2</v>
      </c>
      <c r="O80" s="262">
        <v>6.4433632734530941E-2</v>
      </c>
      <c r="P80" s="108">
        <f>('Modelo AHP'!$U$37*aux!P83)+('Modelo AHP'!$U$38*aux!R83)+('Modelo AHP'!$U$39*aux!S83)</f>
        <v>1.7360434481184451E-2</v>
      </c>
      <c r="Q80" s="110">
        <f>aux!U83</f>
        <v>7.6602782112047563E-3</v>
      </c>
      <c r="R80" s="108">
        <f>('Modelo AHP'!$U$47*aux!V83)+('Modelo AHP'!$U$48*aux!W83)+('Modelo AHP'!$U$49*aux!X83)</f>
        <v>1.0060250842531954E-2</v>
      </c>
      <c r="S80" s="110">
        <f>aux!Z83</f>
        <v>7.6667683881689831E-3</v>
      </c>
      <c r="T80" s="112">
        <f>('Modelo AHP'!$U$56*aux!AA83)+('Modelo AHP'!$U$57*aux!AB83)+('Modelo AHP'!$U$58*aux!AC83)+('Modelo AHP'!$U$59*aux!AD83)</f>
        <v>1.2024783106608981E-2</v>
      </c>
      <c r="U80" s="126">
        <f>('Modelo AHP'!$U$23*aux!AE83)+('Modelo AHP'!$U$24*aux!AF83)+('Modelo AHP'!$U$25*aux!AG83)+('Modelo AHP'!$U$26*aux!AH83)+('Modelo AHP'!$U$27*aux!AI83)</f>
        <v>1.0508307745538823E-2</v>
      </c>
    </row>
    <row r="81" spans="1:21" ht="16.8" thickTop="1" thickBot="1">
      <c r="A81" s="152">
        <f t="shared" si="1"/>
        <v>2</v>
      </c>
      <c r="B81" s="104" t="s">
        <v>99</v>
      </c>
      <c r="C81" s="106" t="s">
        <v>100</v>
      </c>
      <c r="D81" s="194">
        <v>0.102571647148826</v>
      </c>
      <c r="E81" s="140">
        <v>80.02</v>
      </c>
      <c r="F81" s="156">
        <v>0.72871595330739303</v>
      </c>
      <c r="G81" s="138">
        <v>22055.090994895891</v>
      </c>
      <c r="H81" s="98">
        <v>13.56</v>
      </c>
      <c r="I81" s="167">
        <v>14.68</v>
      </c>
      <c r="J81" s="158">
        <v>7.7258347536776961E-2</v>
      </c>
      <c r="K81" s="165">
        <v>43010.62</v>
      </c>
      <c r="L81" s="262">
        <v>0.10281138582032848</v>
      </c>
      <c r="M81" s="263">
        <v>3327</v>
      </c>
      <c r="N81" s="262">
        <v>0.11904532459606181</v>
      </c>
      <c r="O81" s="262">
        <v>0.1156125249500998</v>
      </c>
      <c r="P81" s="108">
        <f>('Modelo AHP'!$U$37*aux!P84)+('Modelo AHP'!$U$38*aux!R84)+('Modelo AHP'!$U$39*aux!S84)</f>
        <v>1.2544289308863477E-2</v>
      </c>
      <c r="Q81" s="110">
        <f>aux!U84</f>
        <v>7.6618245178988707E-3</v>
      </c>
      <c r="R81" s="108">
        <f>('Modelo AHP'!$U$47*aux!V84)+('Modelo AHP'!$U$48*aux!W84)+('Modelo AHP'!$U$49*aux!X84)</f>
        <v>1.252622058124497E-2</v>
      </c>
      <c r="S81" s="110">
        <f>aux!Z84</f>
        <v>7.6674383981184951E-3</v>
      </c>
      <c r="T81" s="112">
        <f>('Modelo AHP'!$U$56*aux!AA84)+('Modelo AHP'!$U$57*aux!AB84)+('Modelo AHP'!$U$58*aux!AC84)+('Modelo AHP'!$U$59*aux!AD84)</f>
        <v>2.4108126768215218E-2</v>
      </c>
      <c r="U81" s="126">
        <f>('Modelo AHP'!$U$23*aux!AE84)+('Modelo AHP'!$U$24*aux!AF84)+('Modelo AHP'!$U$25*aux!AG84)+('Modelo AHP'!$U$26*aux!AH84)+('Modelo AHP'!$U$27*aux!AI84)</f>
        <v>1.1679027199575387E-2</v>
      </c>
    </row>
    <row r="82" spans="1:21" ht="16.8" thickTop="1" thickBot="1">
      <c r="A82" s="152">
        <f t="shared" si="1"/>
        <v>1</v>
      </c>
      <c r="B82" s="104" t="s">
        <v>99</v>
      </c>
      <c r="C82" s="106" t="s">
        <v>101</v>
      </c>
      <c r="D82" s="194">
        <v>0.22000645690019124</v>
      </c>
      <c r="E82" s="140">
        <v>82.14</v>
      </c>
      <c r="F82" s="156">
        <v>0.63150608168243394</v>
      </c>
      <c r="G82" s="138">
        <v>21224.791361267176</v>
      </c>
      <c r="H82" s="98">
        <v>11.16</v>
      </c>
      <c r="I82" s="167">
        <v>14.13</v>
      </c>
      <c r="J82" s="158">
        <v>7.7258347536776961E-2</v>
      </c>
      <c r="K82" s="165">
        <v>45412.27</v>
      </c>
      <c r="L82" s="262">
        <v>0.10281138582032848</v>
      </c>
      <c r="M82" s="263">
        <v>3327</v>
      </c>
      <c r="N82" s="262">
        <v>0.11904532459606181</v>
      </c>
      <c r="O82" s="262">
        <v>0.1156125249500998</v>
      </c>
      <c r="P82" s="108">
        <f>('Modelo AHP'!$U$37*aux!P85)+('Modelo AHP'!$U$38*aux!R85)+('Modelo AHP'!$U$39*aux!S85)</f>
        <v>1.4573062182846083E-2</v>
      </c>
      <c r="Q82" s="110">
        <f>aux!U85</f>
        <v>7.6629721063875937E-3</v>
      </c>
      <c r="R82" s="108">
        <f>('Modelo AHP'!$U$47*aux!V85)+('Modelo AHP'!$U$48*aux!W85)+('Modelo AHP'!$U$49*aux!X85)</f>
        <v>1.1911594643898541E-2</v>
      </c>
      <c r="S82" s="110">
        <f>aux!Z85</f>
        <v>7.6660497331704075E-3</v>
      </c>
      <c r="T82" s="112">
        <f>('Modelo AHP'!$U$56*aux!AA85)+('Modelo AHP'!$U$57*aux!AB85)+('Modelo AHP'!$U$58*aux!AC85)+('Modelo AHP'!$U$59*aux!AD85)</f>
        <v>2.4108126768215218E-2</v>
      </c>
      <c r="U82" s="126">
        <f>('Modelo AHP'!$U$23*aux!AE85)+('Modelo AHP'!$U$24*aux!AF85)+('Modelo AHP'!$U$25*aux!AG85)+('Modelo AHP'!$U$26*aux!AH85)+('Modelo AHP'!$U$27*aux!AI85)</f>
        <v>1.1807831237438712E-2</v>
      </c>
    </row>
    <row r="83" spans="1:21" ht="16.8" thickTop="1" thickBot="1">
      <c r="A83" s="152">
        <f t="shared" si="1"/>
        <v>7</v>
      </c>
      <c r="B83" s="172" t="s">
        <v>99</v>
      </c>
      <c r="C83" s="173" t="s">
        <v>102</v>
      </c>
      <c r="D83" s="194">
        <v>9.6977488719150975E-2</v>
      </c>
      <c r="E83" s="140">
        <v>82.77</v>
      </c>
      <c r="F83" s="156">
        <v>0.54308800162277293</v>
      </c>
      <c r="G83" s="174">
        <v>28754.311781987919</v>
      </c>
      <c r="H83" s="98">
        <v>9.6999999999999993</v>
      </c>
      <c r="I83" s="167">
        <v>10.66</v>
      </c>
      <c r="J83" s="158">
        <v>7.7258347536776961E-2</v>
      </c>
      <c r="K83" s="175">
        <v>44166.15</v>
      </c>
      <c r="L83" s="262">
        <v>0.10281138582032848</v>
      </c>
      <c r="M83" s="263">
        <v>3327</v>
      </c>
      <c r="N83" s="262">
        <v>0.11904532459606181</v>
      </c>
      <c r="O83" s="262">
        <v>0.1156125249500998</v>
      </c>
      <c r="P83" s="108">
        <f>('Modelo AHP'!$U$37*aux!P86)+('Modelo AHP'!$U$38*aux!R86)+('Modelo AHP'!$U$39*aux!S86)</f>
        <v>1.0107021454830192E-2</v>
      </c>
      <c r="Q83" s="110">
        <f>aux!U86</f>
        <v>7.6525652717818003E-3</v>
      </c>
      <c r="R83" s="108">
        <f>('Modelo AHP'!$U$47*aux!V86)+('Modelo AHP'!$U$48*aux!W86)+('Modelo AHP'!$U$49*aux!X86)</f>
        <v>1.0386347765462626E-2</v>
      </c>
      <c r="S83" s="110">
        <f>aux!Z86</f>
        <v>7.6667702557965652E-3</v>
      </c>
      <c r="T83" s="112">
        <f>('Modelo AHP'!$U$56*aux!AA86)+('Modelo AHP'!$U$57*aux!AB86)+('Modelo AHP'!$U$58*aux!AC86)+('Modelo AHP'!$U$59*aux!AD86)</f>
        <v>2.4108126768215218E-2</v>
      </c>
      <c r="U83" s="126">
        <f>('Modelo AHP'!$U$23*aux!AE86)+('Modelo AHP'!$U$24*aux!AF86)+('Modelo AHP'!$U$25*aux!AG86)+('Modelo AHP'!$U$26*aux!AH86)+('Modelo AHP'!$U$27*aux!AI86)</f>
        <v>1.053799687845235E-2</v>
      </c>
    </row>
    <row r="84" spans="1:21" ht="16.8" thickTop="1" thickBot="1">
      <c r="A84" s="152">
        <f t="shared" si="1"/>
        <v>6</v>
      </c>
      <c r="B84" s="172" t="s">
        <v>99</v>
      </c>
      <c r="C84" s="173" t="s">
        <v>103</v>
      </c>
      <c r="D84" s="194">
        <v>7.4216524216524207E-2</v>
      </c>
      <c r="E84" s="140">
        <v>82.31</v>
      </c>
      <c r="F84" s="156">
        <v>0.62468521685061407</v>
      </c>
      <c r="G84" s="174">
        <v>26632.09036753347</v>
      </c>
      <c r="H84" s="98">
        <v>10.87</v>
      </c>
      <c r="I84" s="167">
        <v>11.93</v>
      </c>
      <c r="J84" s="158">
        <v>7.7258347536776961E-2</v>
      </c>
      <c r="K84" s="175">
        <v>42372.63</v>
      </c>
      <c r="L84" s="262">
        <v>0.10281138582032848</v>
      </c>
      <c r="M84" s="263">
        <v>3327</v>
      </c>
      <c r="N84" s="262">
        <v>0.11904532459606181</v>
      </c>
      <c r="O84" s="262">
        <v>0.1156125249500998</v>
      </c>
      <c r="P84" s="108">
        <f>('Modelo AHP'!$U$37*aux!P87)+('Modelo AHP'!$U$38*aux!R87)+('Modelo AHP'!$U$39*aux!S87)</f>
        <v>1.0485793415202905E-2</v>
      </c>
      <c r="Q84" s="110">
        <f>aux!U87</f>
        <v>7.6554984741669507E-3</v>
      </c>
      <c r="R84" s="108">
        <f>('Modelo AHP'!$U$47*aux!V87)+('Modelo AHP'!$U$48*aux!W87)+('Modelo AHP'!$U$49*aux!X87)</f>
        <v>1.1053874217184111E-2</v>
      </c>
      <c r="S84" s="110">
        <f>aux!Z87</f>
        <v>7.6678072921497779E-3</v>
      </c>
      <c r="T84" s="112">
        <f>('Modelo AHP'!$U$56*aux!AA87)+('Modelo AHP'!$U$57*aux!AB87)+('Modelo AHP'!$U$58*aux!AC87)+('Modelo AHP'!$U$59*aux!AD87)</f>
        <v>2.4108126768215218E-2</v>
      </c>
      <c r="U84" s="126">
        <f>('Modelo AHP'!$U$23*aux!AE87)+('Modelo AHP'!$U$24*aux!AF87)+('Modelo AHP'!$U$25*aux!AG87)+('Modelo AHP'!$U$26*aux!AH87)+('Modelo AHP'!$U$27*aux!AI87)</f>
        <v>1.0830343417225285E-2</v>
      </c>
    </row>
    <row r="85" spans="1:21" ht="16.8" thickTop="1" thickBot="1">
      <c r="A85" s="152">
        <f t="shared" si="1"/>
        <v>4</v>
      </c>
      <c r="B85" s="172" t="s">
        <v>99</v>
      </c>
      <c r="C85" s="173" t="s">
        <v>104</v>
      </c>
      <c r="D85" s="194">
        <v>9.7570589078400452E-2</v>
      </c>
      <c r="E85" s="140">
        <v>81.260000000000005</v>
      </c>
      <c r="F85" s="156">
        <v>0.67186634668635781</v>
      </c>
      <c r="G85" s="174">
        <v>23824.701185007209</v>
      </c>
      <c r="H85" s="98">
        <v>12.19</v>
      </c>
      <c r="I85" s="167">
        <v>13.76</v>
      </c>
      <c r="J85" s="158">
        <v>7.7258347536776961E-2</v>
      </c>
      <c r="K85" s="175">
        <v>39888.36</v>
      </c>
      <c r="L85" s="262">
        <v>0.10281138582032848</v>
      </c>
      <c r="M85" s="263">
        <v>3327</v>
      </c>
      <c r="N85" s="262">
        <v>0.11904532459606181</v>
      </c>
      <c r="O85" s="262">
        <v>0.1156125249500998</v>
      </c>
      <c r="P85" s="108">
        <f>('Modelo AHP'!$U$37*aux!P88)+('Modelo AHP'!$U$38*aux!R88)+('Modelo AHP'!$U$39*aux!S88)</f>
        <v>1.1707551636552297E-2</v>
      </c>
      <c r="Q85" s="110">
        <f>aux!U88</f>
        <v>7.659378672806993E-3</v>
      </c>
      <c r="R85" s="108">
        <f>('Modelo AHP'!$U$47*aux!V88)+('Modelo AHP'!$U$48*aux!W88)+('Modelo AHP'!$U$49*aux!X88)</f>
        <v>1.1952828386003443E-2</v>
      </c>
      <c r="S85" s="110">
        <f>aux!Z88</f>
        <v>7.669243729045489E-3</v>
      </c>
      <c r="T85" s="112">
        <f>('Modelo AHP'!$U$56*aux!AA88)+('Modelo AHP'!$U$57*aux!AB88)+('Modelo AHP'!$U$58*aux!AC88)+('Modelo AHP'!$U$59*aux!AD88)</f>
        <v>2.4108126768215218E-2</v>
      </c>
      <c r="U85" s="126">
        <f>('Modelo AHP'!$U$23*aux!AE88)+('Modelo AHP'!$U$24*aux!AF88)+('Modelo AHP'!$U$25*aux!AG88)+('Modelo AHP'!$U$26*aux!AH88)+('Modelo AHP'!$U$27*aux!AI88)</f>
        <v>1.1342792012593741E-2</v>
      </c>
    </row>
    <row r="86" spans="1:21" ht="16.8" thickTop="1" thickBot="1">
      <c r="A86" s="152">
        <f t="shared" si="1"/>
        <v>5</v>
      </c>
      <c r="B86" s="172" t="s">
        <v>99</v>
      </c>
      <c r="C86" s="173" t="s">
        <v>105</v>
      </c>
      <c r="D86" s="194">
        <v>0.1534015213374017</v>
      </c>
      <c r="E86" s="140">
        <v>82.83</v>
      </c>
      <c r="F86" s="156">
        <v>0.5982979431169263</v>
      </c>
      <c r="G86" s="174">
        <v>24872.53869842914</v>
      </c>
      <c r="H86" s="98">
        <v>11.28</v>
      </c>
      <c r="I86" s="167">
        <v>12.91</v>
      </c>
      <c r="J86" s="158">
        <v>7.7258347536776961E-2</v>
      </c>
      <c r="K86" s="175">
        <v>46440.28</v>
      </c>
      <c r="L86" s="262">
        <v>0.10281138582032848</v>
      </c>
      <c r="M86" s="263">
        <v>3327</v>
      </c>
      <c r="N86" s="262">
        <v>0.11904532459606181</v>
      </c>
      <c r="O86" s="262">
        <v>0.1156125249500998</v>
      </c>
      <c r="P86" s="108">
        <f>('Modelo AHP'!$U$37*aux!P89)+('Modelo AHP'!$U$38*aux!R89)+('Modelo AHP'!$U$39*aux!S89)</f>
        <v>1.2335557932478342E-2</v>
      </c>
      <c r="Q86" s="110">
        <f>aux!U89</f>
        <v>7.6579304169969789E-3</v>
      </c>
      <c r="R86" s="108">
        <f>('Modelo AHP'!$U$47*aux!V89)+('Modelo AHP'!$U$48*aux!W89)+('Modelo AHP'!$U$49*aux!X89)</f>
        <v>1.1484234219430154E-2</v>
      </c>
      <c r="S86" s="110">
        <f>aux!Z89</f>
        <v>7.6654553245541299E-3</v>
      </c>
      <c r="T86" s="112">
        <f>('Modelo AHP'!$U$56*aux!AA89)+('Modelo AHP'!$U$57*aux!AB89)+('Modelo AHP'!$U$58*aux!AC89)+('Modelo AHP'!$U$59*aux!AD89)</f>
        <v>2.4108126768215218E-2</v>
      </c>
      <c r="U86" s="126">
        <f>('Modelo AHP'!$U$23*aux!AE89)+('Modelo AHP'!$U$24*aux!AF89)+('Modelo AHP'!$U$25*aux!AG89)+('Modelo AHP'!$U$26*aux!AH89)+('Modelo AHP'!$U$27*aux!AI89)</f>
        <v>1.1286714191742974E-2</v>
      </c>
    </row>
    <row r="87" spans="1:21" ht="16.8" thickTop="1" thickBot="1">
      <c r="A87" s="152">
        <f t="shared" si="1"/>
        <v>51</v>
      </c>
      <c r="B87" s="172" t="s">
        <v>106</v>
      </c>
      <c r="C87" s="173" t="s">
        <v>107</v>
      </c>
      <c r="D87" s="194">
        <v>5.0655214183459973E-2</v>
      </c>
      <c r="E87" s="140">
        <v>81</v>
      </c>
      <c r="F87" s="156">
        <v>0.46670485464699984</v>
      </c>
      <c r="G87" s="174">
        <v>34024.524138897541</v>
      </c>
      <c r="H87" s="98">
        <v>10.24</v>
      </c>
      <c r="I87" s="167">
        <v>10.199999999999999</v>
      </c>
      <c r="J87" s="158">
        <v>5.7107809731497886E-2</v>
      </c>
      <c r="K87" s="175">
        <v>98890.1</v>
      </c>
      <c r="L87" s="262">
        <v>3.9160675667777194E-2</v>
      </c>
      <c r="M87" s="263">
        <v>520</v>
      </c>
      <c r="N87" s="262">
        <v>3.7294015611448399E-2</v>
      </c>
      <c r="O87" s="262">
        <v>4.3444361277445109E-2</v>
      </c>
      <c r="P87" s="108">
        <f>('Modelo AHP'!$U$37*aux!P90)+('Modelo AHP'!$U$38*aux!R90)+('Modelo AHP'!$U$39*aux!S90)</f>
        <v>7.8955401704397903E-3</v>
      </c>
      <c r="Q87" s="110">
        <f>aux!U90</f>
        <v>7.645281112197767E-3</v>
      </c>
      <c r="R87" s="108">
        <f>('Modelo AHP'!$U$47*aux!V90)+('Modelo AHP'!$U$48*aux!W90)+('Modelo AHP'!$U$49*aux!X90)</f>
        <v>9.0572820611641344E-3</v>
      </c>
      <c r="S87" s="110">
        <f>aux!Z90</f>
        <v>7.6351281634076404E-3</v>
      </c>
      <c r="T87" s="112">
        <f>('Modelo AHP'!$U$56*aux!AA90)+('Modelo AHP'!$U$57*aux!AB90)+('Modelo AHP'!$U$58*aux!AC90)+('Modelo AHP'!$U$59*aux!AD90)</f>
        <v>5.4456690266312929E-3</v>
      </c>
      <c r="U87" s="126">
        <f>('Modelo AHP'!$U$23*aux!AE90)+('Modelo AHP'!$U$24*aux!AF90)+('Modelo AHP'!$U$25*aux!AG90)+('Modelo AHP'!$U$26*aux!AH90)+('Modelo AHP'!$U$27*aux!AI90)</f>
        <v>7.9628747609189823E-3</v>
      </c>
    </row>
    <row r="88" spans="1:21" ht="16.8" thickTop="1" thickBot="1">
      <c r="A88" s="152">
        <f t="shared" si="1"/>
        <v>72</v>
      </c>
      <c r="B88" s="172" t="s">
        <v>106</v>
      </c>
      <c r="C88" s="173" t="s">
        <v>108</v>
      </c>
      <c r="D88" s="194">
        <v>1.9285488460322478E-2</v>
      </c>
      <c r="E88" s="140">
        <v>82.23</v>
      </c>
      <c r="F88" s="156">
        <v>0.29066157153092909</v>
      </c>
      <c r="G88" s="174">
        <v>45040.730192217532</v>
      </c>
      <c r="H88" s="98">
        <v>8.3800000000000008</v>
      </c>
      <c r="I88" s="167">
        <v>9.24</v>
      </c>
      <c r="J88" s="158">
        <v>5.7107809731497886E-2</v>
      </c>
      <c r="K88" s="175">
        <v>96989.93</v>
      </c>
      <c r="L88" s="262">
        <v>3.9160675667777194E-2</v>
      </c>
      <c r="M88" s="263">
        <v>520</v>
      </c>
      <c r="N88" s="262">
        <v>3.7294015611448399E-2</v>
      </c>
      <c r="O88" s="262">
        <v>4.3444361277445109E-2</v>
      </c>
      <c r="P88" s="108">
        <f>('Modelo AHP'!$U$37*aux!P91)+('Modelo AHP'!$U$38*aux!R91)+('Modelo AHP'!$U$39*aux!S91)</f>
        <v>4.8684934437119749E-3</v>
      </c>
      <c r="Q88" s="110">
        <f>aux!U91</f>
        <v>7.630055197667439E-3</v>
      </c>
      <c r="R88" s="108">
        <f>('Modelo AHP'!$U$47*aux!V91)+('Modelo AHP'!$U$48*aux!W91)+('Modelo AHP'!$U$49*aux!X91)</f>
        <v>8.3849498003916462E-3</v>
      </c>
      <c r="S88" s="110">
        <f>aux!Z91</f>
        <v>7.6362268661638319E-3</v>
      </c>
      <c r="T88" s="112">
        <f>('Modelo AHP'!$U$56*aux!AA91)+('Modelo AHP'!$U$57*aux!AB91)+('Modelo AHP'!$U$58*aux!AC91)+('Modelo AHP'!$U$59*aux!AD91)</f>
        <v>5.4456690266312929E-3</v>
      </c>
      <c r="U88" s="126">
        <f>('Modelo AHP'!$U$23*aux!AE91)+('Modelo AHP'!$U$24*aux!AF91)+('Modelo AHP'!$U$25*aux!AG91)+('Modelo AHP'!$U$26*aux!AH91)+('Modelo AHP'!$U$27*aux!AI91)</f>
        <v>7.2231233982295783E-3</v>
      </c>
    </row>
    <row r="89" spans="1:21" ht="16.8" thickTop="1" thickBot="1">
      <c r="A89" s="152">
        <f t="shared" si="1"/>
        <v>64</v>
      </c>
      <c r="B89" s="172" t="s">
        <v>106</v>
      </c>
      <c r="C89" s="173" t="s">
        <v>109</v>
      </c>
      <c r="D89" s="194">
        <v>3.6562203228869897E-2</v>
      </c>
      <c r="E89" s="140">
        <v>83.47</v>
      </c>
      <c r="F89" s="156">
        <v>0.3832678530159464</v>
      </c>
      <c r="G89" s="174">
        <v>40428.409853051293</v>
      </c>
      <c r="H89" s="98">
        <v>7.71</v>
      </c>
      <c r="I89" s="167">
        <v>8.7899999999999991</v>
      </c>
      <c r="J89" s="158">
        <v>5.7107809731497886E-2</v>
      </c>
      <c r="K89" s="175">
        <v>81953.86</v>
      </c>
      <c r="L89" s="262">
        <v>3.9160675667777194E-2</v>
      </c>
      <c r="M89" s="263">
        <v>520</v>
      </c>
      <c r="N89" s="262">
        <v>3.7294015611448399E-2</v>
      </c>
      <c r="O89" s="262">
        <v>4.3444361277445109E-2</v>
      </c>
      <c r="P89" s="108">
        <f>('Modelo AHP'!$U$37*aux!P92)+('Modelo AHP'!$U$38*aux!R92)+('Modelo AHP'!$U$39*aux!S92)</f>
        <v>6.4819942729636357E-3</v>
      </c>
      <c r="Q89" s="110">
        <f>aux!U92</f>
        <v>7.6364300598414699E-3</v>
      </c>
      <c r="R89" s="108">
        <f>('Modelo AHP'!$U$47*aux!V92)+('Modelo AHP'!$U$48*aux!W92)+('Modelo AHP'!$U$49*aux!X92)</f>
        <v>8.1045049160185876E-3</v>
      </c>
      <c r="S89" s="110">
        <f>aux!Z92</f>
        <v>7.6449209154074689E-3</v>
      </c>
      <c r="T89" s="112">
        <f>('Modelo AHP'!$U$56*aux!AA92)+('Modelo AHP'!$U$57*aux!AB92)+('Modelo AHP'!$U$58*aux!AC92)+('Modelo AHP'!$U$59*aux!AD92)</f>
        <v>5.4456690266312929E-3</v>
      </c>
      <c r="U89" s="126">
        <f>('Modelo AHP'!$U$23*aux!AE92)+('Modelo AHP'!$U$24*aux!AF92)+('Modelo AHP'!$U$25*aux!AG92)+('Modelo AHP'!$U$26*aux!AH92)+('Modelo AHP'!$U$27*aux!AI92)</f>
        <v>7.3992671938428248E-3</v>
      </c>
    </row>
    <row r="90" spans="1:21" ht="16.8" thickTop="1" thickBot="1">
      <c r="A90" s="152">
        <f t="shared" si="1"/>
        <v>50</v>
      </c>
      <c r="B90" s="172" t="s">
        <v>106</v>
      </c>
      <c r="C90" s="173" t="s">
        <v>110</v>
      </c>
      <c r="D90" s="194">
        <v>5.665371402827054E-2</v>
      </c>
      <c r="E90" s="140">
        <v>83.52</v>
      </c>
      <c r="F90" s="156">
        <v>0.44376234829240757</v>
      </c>
      <c r="G90" s="174">
        <v>35438.871174048836</v>
      </c>
      <c r="H90" s="98">
        <v>9.6199999999999992</v>
      </c>
      <c r="I90" s="167">
        <v>10.73</v>
      </c>
      <c r="J90" s="158">
        <v>5.7107809731497886E-2</v>
      </c>
      <c r="K90" s="175">
        <v>87817.15</v>
      </c>
      <c r="L90" s="262">
        <v>3.9160675667777194E-2</v>
      </c>
      <c r="M90" s="263">
        <v>520</v>
      </c>
      <c r="N90" s="262">
        <v>3.7294015611448399E-2</v>
      </c>
      <c r="O90" s="262">
        <v>4.3444361277445109E-2</v>
      </c>
      <c r="P90" s="108">
        <f>('Modelo AHP'!$U$37*aux!P93)+('Modelo AHP'!$U$38*aux!R93)+('Modelo AHP'!$U$39*aux!S93)</f>
        <v>7.7778571164202198E-3</v>
      </c>
      <c r="Q90" s="110">
        <f>aux!U93</f>
        <v>7.6433262897326456E-3</v>
      </c>
      <c r="R90" s="108">
        <f>('Modelo AHP'!$U$47*aux!V93)+('Modelo AHP'!$U$48*aux!W93)+('Modelo AHP'!$U$49*aux!X93)</f>
        <v>9.1452979313290973E-3</v>
      </c>
      <c r="S90" s="110">
        <f>aux!Z93</f>
        <v>7.6415306856473172E-3</v>
      </c>
      <c r="T90" s="112">
        <f>('Modelo AHP'!$U$56*aux!AA93)+('Modelo AHP'!$U$57*aux!AB93)+('Modelo AHP'!$U$58*aux!AC93)+('Modelo AHP'!$U$59*aux!AD93)</f>
        <v>5.4456690266312929E-3</v>
      </c>
      <c r="U90" s="126">
        <f>('Modelo AHP'!$U$23*aux!AE93)+('Modelo AHP'!$U$24*aux!AF93)+('Modelo AHP'!$U$25*aux!AG93)+('Modelo AHP'!$U$26*aux!AH93)+('Modelo AHP'!$U$27*aux!AI93)</f>
        <v>7.9731630143888496E-3</v>
      </c>
    </row>
    <row r="91" spans="1:21" ht="16.8" thickTop="1" thickBot="1">
      <c r="A91" s="152">
        <f t="shared" si="1"/>
        <v>40</v>
      </c>
      <c r="B91" s="172" t="s">
        <v>106</v>
      </c>
      <c r="C91" s="173" t="s">
        <v>111</v>
      </c>
      <c r="D91" s="194">
        <v>8.5374511892083782E-2</v>
      </c>
      <c r="E91" s="140">
        <v>81.81</v>
      </c>
      <c r="F91" s="156">
        <v>0.53313521545319464</v>
      </c>
      <c r="G91" s="174">
        <v>28013.706874719352</v>
      </c>
      <c r="H91" s="98">
        <v>9.92</v>
      </c>
      <c r="I91" s="167">
        <v>11.84</v>
      </c>
      <c r="J91" s="158">
        <v>5.7107809731497886E-2</v>
      </c>
      <c r="K91" s="175">
        <v>72379.86</v>
      </c>
      <c r="L91" s="262">
        <v>3.9160675667777194E-2</v>
      </c>
      <c r="M91" s="263">
        <v>520</v>
      </c>
      <c r="N91" s="262">
        <v>3.7294015611448399E-2</v>
      </c>
      <c r="O91" s="262">
        <v>4.3444361277445109E-2</v>
      </c>
      <c r="P91" s="108">
        <f>('Modelo AHP'!$U$37*aux!P94)+('Modelo AHP'!$U$38*aux!R94)+('Modelo AHP'!$U$39*aux!S94)</f>
        <v>9.6660429261275597E-3</v>
      </c>
      <c r="Q91" s="110">
        <f>aux!U94</f>
        <v>7.6535888898009467E-3</v>
      </c>
      <c r="R91" s="108">
        <f>('Modelo AHP'!$U$47*aux!V94)+('Modelo AHP'!$U$48*aux!W94)+('Modelo AHP'!$U$49*aux!X94)</f>
        <v>9.6044812875982488E-3</v>
      </c>
      <c r="S91" s="110">
        <f>aux!Z94</f>
        <v>7.6504567254601346E-3</v>
      </c>
      <c r="T91" s="112">
        <f>('Modelo AHP'!$U$56*aux!AA94)+('Modelo AHP'!$U$57*aux!AB94)+('Modelo AHP'!$U$58*aux!AC94)+('Modelo AHP'!$U$59*aux!AD94)</f>
        <v>5.4456690266312929E-3</v>
      </c>
      <c r="U91" s="126">
        <f>('Modelo AHP'!$U$23*aux!AE94)+('Modelo AHP'!$U$24*aux!AF94)+('Modelo AHP'!$U$25*aux!AG94)+('Modelo AHP'!$U$26*aux!AH94)+('Modelo AHP'!$U$27*aux!AI94)</f>
        <v>8.4491692850982725E-3</v>
      </c>
    </row>
    <row r="92" spans="1:21" ht="16.8" thickTop="1" thickBot="1">
      <c r="A92" s="152">
        <f t="shared" si="1"/>
        <v>52</v>
      </c>
      <c r="B92" s="172" t="s">
        <v>106</v>
      </c>
      <c r="C92" s="173" t="s">
        <v>112</v>
      </c>
      <c r="D92" s="194">
        <v>6.6242492715704343E-2</v>
      </c>
      <c r="E92" s="140">
        <v>84.3</v>
      </c>
      <c r="F92" s="156">
        <v>0.48134900357690341</v>
      </c>
      <c r="G92" s="174">
        <v>29156.115996085558</v>
      </c>
      <c r="H92" s="98">
        <v>8.8000000000000007</v>
      </c>
      <c r="I92" s="167">
        <v>9.86</v>
      </c>
      <c r="J92" s="158">
        <v>5.7107809731497886E-2</v>
      </c>
      <c r="K92" s="175">
        <v>74639.28</v>
      </c>
      <c r="L92" s="262">
        <v>3.9160675667777194E-2</v>
      </c>
      <c r="M92" s="263">
        <v>520</v>
      </c>
      <c r="N92" s="262">
        <v>3.7294015611448399E-2</v>
      </c>
      <c r="O92" s="262">
        <v>4.3444361277445109E-2</v>
      </c>
      <c r="P92" s="108">
        <f>('Modelo AHP'!$U$37*aux!P95)+('Modelo AHP'!$U$38*aux!R95)+('Modelo AHP'!$U$39*aux!S95)</f>
        <v>8.503470692360092E-3</v>
      </c>
      <c r="Q92" s="110">
        <f>aux!U95</f>
        <v>7.6520099229990916E-3</v>
      </c>
      <c r="R92" s="108">
        <f>('Modelo AHP'!$U$47*aux!V95)+('Modelo AHP'!$U$48*aux!W95)+('Modelo AHP'!$U$49*aux!X95)</f>
        <v>8.684834420829738E-3</v>
      </c>
      <c r="S92" s="110">
        <f>aux!Z95</f>
        <v>7.6491502997290718E-3</v>
      </c>
      <c r="T92" s="112">
        <f>('Modelo AHP'!$U$56*aux!AA95)+('Modelo AHP'!$U$57*aux!AB95)+('Modelo AHP'!$U$58*aux!AC95)+('Modelo AHP'!$U$59*aux!AD95)</f>
        <v>5.4456690266312929E-3</v>
      </c>
      <c r="U92" s="126">
        <f>('Modelo AHP'!$U$23*aux!AE95)+('Modelo AHP'!$U$24*aux!AF95)+('Modelo AHP'!$U$25*aux!AG95)+('Modelo AHP'!$U$26*aux!AH95)+('Modelo AHP'!$U$27*aux!AI95)</f>
        <v>7.9402789047096287E-3</v>
      </c>
    </row>
    <row r="93" spans="1:21" ht="16.8" thickTop="1" thickBot="1">
      <c r="A93" s="152">
        <f t="shared" si="1"/>
        <v>43</v>
      </c>
      <c r="B93" s="172" t="s">
        <v>113</v>
      </c>
      <c r="C93" s="173" t="s">
        <v>114</v>
      </c>
      <c r="D93" s="194">
        <v>0.11452747989276139</v>
      </c>
      <c r="E93" s="140">
        <v>83.91</v>
      </c>
      <c r="F93" s="156">
        <v>0.49792650165619051</v>
      </c>
      <c r="G93" s="174">
        <v>28196.623938505836</v>
      </c>
      <c r="H93" s="98">
        <v>8.43</v>
      </c>
      <c r="I93" s="167">
        <v>10.82</v>
      </c>
      <c r="J93" s="158">
        <v>4.647074504492172E-2</v>
      </c>
      <c r="K93" s="175">
        <v>69508.259999999995</v>
      </c>
      <c r="L93" s="262">
        <v>7.3060962066748489E-2</v>
      </c>
      <c r="M93" s="263">
        <v>596</v>
      </c>
      <c r="N93" s="262">
        <v>6.4662233786258072E-2</v>
      </c>
      <c r="O93" s="262">
        <v>7.5380489021956085E-2</v>
      </c>
      <c r="P93" s="108">
        <f>('Modelo AHP'!$U$37*aux!P96)+('Modelo AHP'!$U$38*aux!R96)+('Modelo AHP'!$U$39*aux!S96)</f>
        <v>1.0033315003314301E-2</v>
      </c>
      <c r="Q93" s="110">
        <f>aux!U96</f>
        <v>7.6533360732172822E-3</v>
      </c>
      <c r="R93" s="108">
        <f>('Modelo AHP'!$U$47*aux!V96)+('Modelo AHP'!$U$48*aux!W96)+('Modelo AHP'!$U$49*aux!X96)</f>
        <v>8.3123021982711102E-3</v>
      </c>
      <c r="S93" s="110">
        <f>aux!Z96</f>
        <v>7.6521171215482098E-3</v>
      </c>
      <c r="T93" s="112">
        <f>('Modelo AHP'!$U$56*aux!AA96)+('Modelo AHP'!$U$57*aux!AB96)+('Modelo AHP'!$U$58*aux!AC96)+('Modelo AHP'!$U$59*aux!AD96)</f>
        <v>8.1572635627966371E-3</v>
      </c>
      <c r="U93" s="126">
        <f>('Modelo AHP'!$U$23*aux!AE96)+('Modelo AHP'!$U$24*aux!AF96)+('Modelo AHP'!$U$25*aux!AG96)+('Modelo AHP'!$U$26*aux!AH96)+('Modelo AHP'!$U$27*aux!AI96)</f>
        <v>8.3227898449050007E-3</v>
      </c>
    </row>
    <row r="94" spans="1:21" ht="16.8" thickTop="1" thickBot="1">
      <c r="A94" s="152">
        <f t="shared" si="1"/>
        <v>46</v>
      </c>
      <c r="B94" s="172" t="s">
        <v>113</v>
      </c>
      <c r="C94" s="173" t="s">
        <v>115</v>
      </c>
      <c r="D94" s="194">
        <v>0.11939175931981687</v>
      </c>
      <c r="E94" s="140">
        <v>82.85</v>
      </c>
      <c r="F94" s="156">
        <v>0.50781800837791879</v>
      </c>
      <c r="G94" s="174">
        <v>30038.955543266948</v>
      </c>
      <c r="H94" s="98">
        <v>8.18</v>
      </c>
      <c r="I94" s="167">
        <v>9.9499999999999993</v>
      </c>
      <c r="J94" s="158">
        <v>4.647074504492172E-2</v>
      </c>
      <c r="K94" s="175">
        <v>70105.52</v>
      </c>
      <c r="L94" s="262">
        <v>7.3060962066748489E-2</v>
      </c>
      <c r="M94" s="263">
        <v>596</v>
      </c>
      <c r="N94" s="262">
        <v>6.4662233786258072E-2</v>
      </c>
      <c r="O94" s="262">
        <v>7.5380489021956085E-2</v>
      </c>
      <c r="P94" s="108">
        <f>('Modelo AHP'!$U$37*aux!P97)+('Modelo AHP'!$U$38*aux!R97)+('Modelo AHP'!$U$39*aux!S97)</f>
        <v>1.0288639848910069E-2</v>
      </c>
      <c r="Q94" s="110">
        <f>aux!U97</f>
        <v>7.6507897171111195E-3</v>
      </c>
      <c r="R94" s="108">
        <f>('Modelo AHP'!$U$47*aux!V97)+('Modelo AHP'!$U$48*aux!W97)+('Modelo AHP'!$U$49*aux!X97)</f>
        <v>7.9498458299761144E-3</v>
      </c>
      <c r="S94" s="110">
        <f>aux!Z97</f>
        <v>7.6517717781272726E-3</v>
      </c>
      <c r="T94" s="112">
        <f>('Modelo AHP'!$U$56*aux!AA97)+('Modelo AHP'!$U$57*aux!AB97)+('Modelo AHP'!$U$58*aux!AC97)+('Modelo AHP'!$U$59*aux!AD97)</f>
        <v>8.1572635627966371E-3</v>
      </c>
      <c r="U94" s="126">
        <f>('Modelo AHP'!$U$23*aux!AE97)+('Modelo AHP'!$U$24*aux!AF97)+('Modelo AHP'!$U$25*aux!AG97)+('Modelo AHP'!$U$26*aux!AH97)+('Modelo AHP'!$U$27*aux!AI97)</f>
        <v>8.2406915988053227E-3</v>
      </c>
    </row>
    <row r="95" spans="1:21" ht="16.8" thickTop="1" thickBot="1">
      <c r="A95" s="152">
        <f t="shared" si="1"/>
        <v>45</v>
      </c>
      <c r="B95" s="172" t="s">
        <v>113</v>
      </c>
      <c r="C95" s="173" t="s">
        <v>116</v>
      </c>
      <c r="D95" s="194">
        <v>0.13387765149961023</v>
      </c>
      <c r="E95" s="140">
        <v>83.58</v>
      </c>
      <c r="F95" s="156">
        <v>0.44004282655246252</v>
      </c>
      <c r="G95" s="174">
        <v>30421.555716709925</v>
      </c>
      <c r="H95" s="98">
        <v>8.2100000000000009</v>
      </c>
      <c r="I95" s="167">
        <v>10.76</v>
      </c>
      <c r="J95" s="158">
        <v>4.647074504492172E-2</v>
      </c>
      <c r="K95" s="175">
        <v>78617.45</v>
      </c>
      <c r="L95" s="262">
        <v>7.3060962066748489E-2</v>
      </c>
      <c r="M95" s="263">
        <v>596</v>
      </c>
      <c r="N95" s="262">
        <v>6.4662233786258072E-2</v>
      </c>
      <c r="O95" s="262">
        <v>7.5380489021956085E-2</v>
      </c>
      <c r="P95" s="108">
        <f>('Modelo AHP'!$U$37*aux!P98)+('Modelo AHP'!$U$38*aux!R98)+('Modelo AHP'!$U$39*aux!S98)</f>
        <v>9.8526461190238217E-3</v>
      </c>
      <c r="Q95" s="110">
        <f>aux!U98</f>
        <v>7.6502609109584448E-3</v>
      </c>
      <c r="R95" s="108">
        <f>('Modelo AHP'!$U$47*aux!V98)+('Modelo AHP'!$U$48*aux!W98)+('Modelo AHP'!$U$49*aux!X98)</f>
        <v>8.2524424126680877E-3</v>
      </c>
      <c r="S95" s="110">
        <f>aux!Z98</f>
        <v>7.6468500706213622E-3</v>
      </c>
      <c r="T95" s="112">
        <f>('Modelo AHP'!$U$56*aux!AA98)+('Modelo AHP'!$U$57*aux!AB98)+('Modelo AHP'!$U$58*aux!AC98)+('Modelo AHP'!$U$59*aux!AD98)</f>
        <v>8.1572635627966371E-3</v>
      </c>
      <c r="U95" s="126">
        <f>('Modelo AHP'!$U$23*aux!AE98)+('Modelo AHP'!$U$24*aux!AF98)+('Modelo AHP'!$U$25*aux!AG98)+('Modelo AHP'!$U$26*aux!AH98)+('Modelo AHP'!$U$27*aux!AI98)</f>
        <v>8.2707953659043269E-3</v>
      </c>
    </row>
    <row r="96" spans="1:21" ht="16.8" thickTop="1" thickBot="1">
      <c r="A96" s="152">
        <f t="shared" si="1"/>
        <v>55</v>
      </c>
      <c r="B96" s="172" t="s">
        <v>113</v>
      </c>
      <c r="C96" s="173" t="s">
        <v>325</v>
      </c>
      <c r="D96" s="194">
        <v>8.7295101668028646E-2</v>
      </c>
      <c r="E96" s="140">
        <v>83.74</v>
      </c>
      <c r="F96" s="156">
        <v>0.36101796407185627</v>
      </c>
      <c r="G96" s="174">
        <v>34263.241684077606</v>
      </c>
      <c r="H96" s="98">
        <v>7.71</v>
      </c>
      <c r="I96" s="167">
        <v>9.43</v>
      </c>
      <c r="J96" s="158">
        <v>4.647074504492172E-2</v>
      </c>
      <c r="K96" s="175">
        <v>84627.53</v>
      </c>
      <c r="L96" s="262">
        <v>7.3060962066748489E-2</v>
      </c>
      <c r="M96" s="263">
        <v>596</v>
      </c>
      <c r="N96" s="262">
        <v>6.4662233786258072E-2</v>
      </c>
      <c r="O96" s="262">
        <v>7.5380489021956085E-2</v>
      </c>
      <c r="P96" s="108">
        <f>('Modelo AHP'!$U$37*aux!P99)+('Modelo AHP'!$U$38*aux!R99)+('Modelo AHP'!$U$39*aux!S99)</f>
        <v>7.6013847535336115E-3</v>
      </c>
      <c r="Q96" s="110">
        <f>aux!U99</f>
        <v>7.6449511716608701E-3</v>
      </c>
      <c r="R96" s="108">
        <f>('Modelo AHP'!$U$47*aux!V99)+('Modelo AHP'!$U$48*aux!W99)+('Modelo AHP'!$U$49*aux!X99)</f>
        <v>7.6780848710661844E-3</v>
      </c>
      <c r="S96" s="110">
        <f>aux!Z99</f>
        <v>7.6433749649934823E-3</v>
      </c>
      <c r="T96" s="112">
        <f>('Modelo AHP'!$U$56*aux!AA99)+('Modelo AHP'!$U$57*aux!AB99)+('Modelo AHP'!$U$58*aux!AC99)+('Modelo AHP'!$U$59*aux!AD99)</f>
        <v>8.1572635627966371E-3</v>
      </c>
      <c r="U96" s="126">
        <f>('Modelo AHP'!$U$23*aux!AE99)+('Modelo AHP'!$U$24*aux!AF99)+('Modelo AHP'!$U$25*aux!AG99)+('Modelo AHP'!$U$26*aux!AH99)+('Modelo AHP'!$U$27*aux!AI99)</f>
        <v>7.6968468018513087E-3</v>
      </c>
    </row>
    <row r="97" spans="1:21" ht="16.8" thickTop="1" thickBot="1">
      <c r="A97" s="152">
        <f t="shared" si="1"/>
        <v>62</v>
      </c>
      <c r="B97" s="172" t="s">
        <v>113</v>
      </c>
      <c r="C97" s="173" t="s">
        <v>117</v>
      </c>
      <c r="D97" s="194">
        <v>4.7874695594421077E-2</v>
      </c>
      <c r="E97" s="140">
        <v>84.16</v>
      </c>
      <c r="F97" s="156">
        <v>0.34616988739051857</v>
      </c>
      <c r="G97" s="174">
        <v>42449.94687985818</v>
      </c>
      <c r="H97" s="98">
        <v>7.46</v>
      </c>
      <c r="I97" s="167">
        <v>9.14</v>
      </c>
      <c r="J97" s="158">
        <v>4.647074504492172E-2</v>
      </c>
      <c r="K97" s="175">
        <v>94529</v>
      </c>
      <c r="L97" s="262">
        <v>7.3060962066748489E-2</v>
      </c>
      <c r="M97" s="263">
        <v>596</v>
      </c>
      <c r="N97" s="262">
        <v>6.4662233786258072E-2</v>
      </c>
      <c r="O97" s="262">
        <v>7.5380489021956085E-2</v>
      </c>
      <c r="P97" s="108">
        <f>('Modelo AHP'!$U$37*aux!P100)+('Modelo AHP'!$U$38*aux!R100)+('Modelo AHP'!$U$39*aux!S100)</f>
        <v>6.3362313557809372E-3</v>
      </c>
      <c r="Q97" s="110">
        <f>aux!U100</f>
        <v>7.6336360171519024E-3</v>
      </c>
      <c r="R97" s="108">
        <f>('Modelo AHP'!$U$47*aux!V100)+('Modelo AHP'!$U$48*aux!W100)+('Modelo AHP'!$U$49*aux!X100)</f>
        <v>7.5286090225104366E-3</v>
      </c>
      <c r="S97" s="110">
        <f>aux!Z100</f>
        <v>7.6376498075710706E-3</v>
      </c>
      <c r="T97" s="112">
        <f>('Modelo AHP'!$U$56*aux!AA100)+('Modelo AHP'!$U$57*aux!AB100)+('Modelo AHP'!$U$58*aux!AC100)+('Modelo AHP'!$U$59*aux!AD100)</f>
        <v>8.1572635627966371E-3</v>
      </c>
      <c r="U97" s="126">
        <f>('Modelo AHP'!$U$23*aux!AE100)+('Modelo AHP'!$U$24*aux!AF100)+('Modelo AHP'!$U$25*aux!AG100)+('Modelo AHP'!$U$26*aux!AH100)+('Modelo AHP'!$U$27*aux!AI100)</f>
        <v>7.430551261833924E-3</v>
      </c>
    </row>
    <row r="98" spans="1:21" ht="16.8" thickTop="1" thickBot="1">
      <c r="A98" s="152">
        <f t="shared" si="1"/>
        <v>83</v>
      </c>
      <c r="B98" s="172" t="s">
        <v>113</v>
      </c>
      <c r="C98" s="173" t="s">
        <v>118</v>
      </c>
      <c r="D98" s="194">
        <v>4.7776079787661872E-2</v>
      </c>
      <c r="E98" s="140">
        <v>83.87</v>
      </c>
      <c r="F98" s="156">
        <v>0.19311312607944733</v>
      </c>
      <c r="G98" s="174">
        <v>56198.189895321513</v>
      </c>
      <c r="H98" s="98">
        <v>5.16</v>
      </c>
      <c r="I98" s="167">
        <v>7.33</v>
      </c>
      <c r="J98" s="158">
        <v>4.647074504492172E-2</v>
      </c>
      <c r="K98" s="175">
        <v>102522.46</v>
      </c>
      <c r="L98" s="262">
        <v>7.3060962066748489E-2</v>
      </c>
      <c r="M98" s="263">
        <v>596</v>
      </c>
      <c r="N98" s="262">
        <v>6.4662233786258072E-2</v>
      </c>
      <c r="O98" s="262">
        <v>7.5380489021956085E-2</v>
      </c>
      <c r="P98" s="108">
        <f>('Modelo AHP'!$U$37*aux!P101)+('Modelo AHP'!$U$38*aux!R101)+('Modelo AHP'!$U$39*aux!S101)</f>
        <v>4.4507516149625993E-3</v>
      </c>
      <c r="Q98" s="110">
        <f>aux!U101</f>
        <v>7.6146340511318023E-3</v>
      </c>
      <c r="R98" s="108">
        <f>('Modelo AHP'!$U$47*aux!V101)+('Modelo AHP'!$U$48*aux!W101)+('Modelo AHP'!$U$49*aux!X101)</f>
        <v>6.4684955018945748E-3</v>
      </c>
      <c r="S98" s="110">
        <f>aux!Z101</f>
        <v>7.6330278860937805E-3</v>
      </c>
      <c r="T98" s="112">
        <f>('Modelo AHP'!$U$56*aux!AA101)+('Modelo AHP'!$U$57*aux!AB101)+('Modelo AHP'!$U$58*aux!AC101)+('Modelo AHP'!$U$59*aux!AD101)</f>
        <v>8.1572635627966371E-3</v>
      </c>
      <c r="U98" s="126">
        <f>('Modelo AHP'!$U$23*aux!AE101)+('Modelo AHP'!$U$24*aux!AF101)+('Modelo AHP'!$U$25*aux!AG101)+('Modelo AHP'!$U$26*aux!AH101)+('Modelo AHP'!$U$27*aux!AI101)</f>
        <v>6.747147275733124E-3</v>
      </c>
    </row>
    <row r="99" spans="1:21" ht="16.8" thickTop="1" thickBot="1">
      <c r="A99" s="152">
        <f t="shared" si="1"/>
        <v>79</v>
      </c>
      <c r="B99" s="172" t="s">
        <v>113</v>
      </c>
      <c r="C99" s="173" t="s">
        <v>119</v>
      </c>
      <c r="D99" s="194">
        <v>4.8982188295165402E-2</v>
      </c>
      <c r="E99" s="140">
        <v>83.89</v>
      </c>
      <c r="F99" s="156">
        <v>0.19818331957060281</v>
      </c>
      <c r="G99" s="174">
        <v>54247.157206375836</v>
      </c>
      <c r="H99" s="98">
        <v>5.92</v>
      </c>
      <c r="I99" s="167">
        <v>8.5</v>
      </c>
      <c r="J99" s="158">
        <v>4.647074504492172E-2</v>
      </c>
      <c r="K99" s="175">
        <v>112367.5</v>
      </c>
      <c r="L99" s="262">
        <v>7.3060962066748489E-2</v>
      </c>
      <c r="M99" s="263">
        <v>596</v>
      </c>
      <c r="N99" s="262">
        <v>6.4662233786258072E-2</v>
      </c>
      <c r="O99" s="262">
        <v>7.5380489021956085E-2</v>
      </c>
      <c r="P99" s="108">
        <f>('Modelo AHP'!$U$37*aux!P102)+('Modelo AHP'!$U$38*aux!R102)+('Modelo AHP'!$U$39*aux!S102)</f>
        <v>4.5462394186474462E-3</v>
      </c>
      <c r="Q99" s="110">
        <f>aux!U102</f>
        <v>7.6173306471126667E-3</v>
      </c>
      <c r="R99" s="108">
        <f>('Modelo AHP'!$U$47*aux!V102)+('Modelo AHP'!$U$48*aux!W102)+('Modelo AHP'!$U$49*aux!X102)</f>
        <v>7.0288048089054275E-3</v>
      </c>
      <c r="S99" s="110">
        <f>aux!Z102</f>
        <v>7.6273353572238311E-3</v>
      </c>
      <c r="T99" s="112">
        <f>('Modelo AHP'!$U$56*aux!AA102)+('Modelo AHP'!$U$57*aux!AB102)+('Modelo AHP'!$U$58*aux!AC102)+('Modelo AHP'!$U$59*aux!AD102)</f>
        <v>8.1572635627966371E-3</v>
      </c>
      <c r="U99" s="126">
        <f>('Modelo AHP'!$U$23*aux!AE102)+('Modelo AHP'!$U$24*aux!AF102)+('Modelo AHP'!$U$25*aux!AG102)+('Modelo AHP'!$U$26*aux!AH102)+('Modelo AHP'!$U$27*aux!AI102)</f>
        <v>6.9549970250695004E-3</v>
      </c>
    </row>
    <row r="100" spans="1:21" ht="16.8" thickTop="1" thickBot="1">
      <c r="A100" s="152">
        <f t="shared" si="1"/>
        <v>91</v>
      </c>
      <c r="B100" s="172" t="s">
        <v>113</v>
      </c>
      <c r="C100" s="173" t="s">
        <v>120</v>
      </c>
      <c r="D100" s="194">
        <v>4.825396825396825E-2</v>
      </c>
      <c r="E100" s="140">
        <v>84.1</v>
      </c>
      <c r="F100" s="156">
        <v>0.16843033509700175</v>
      </c>
      <c r="G100" s="174">
        <v>67826.149299820463</v>
      </c>
      <c r="H100" s="98">
        <v>4.01</v>
      </c>
      <c r="I100" s="167">
        <v>4.6100000000000003</v>
      </c>
      <c r="J100" s="158">
        <v>4.647074504492172E-2</v>
      </c>
      <c r="K100" s="175">
        <v>168128.52</v>
      </c>
      <c r="L100" s="262">
        <v>7.3060962066748489E-2</v>
      </c>
      <c r="M100" s="263">
        <v>596</v>
      </c>
      <c r="N100" s="262">
        <v>6.4662233786258072E-2</v>
      </c>
      <c r="O100" s="262">
        <v>7.5380489021956085E-2</v>
      </c>
      <c r="P100" s="108">
        <f>('Modelo AHP'!$U$37*aux!P103)+('Modelo AHP'!$U$38*aux!R103)+('Modelo AHP'!$U$39*aux!S103)</f>
        <v>4.160228393353645E-3</v>
      </c>
      <c r="Q100" s="110">
        <f>aux!U103</f>
        <v>7.5985626091854474E-3</v>
      </c>
      <c r="R100" s="108">
        <f>('Modelo AHP'!$U$47*aux!V103)+('Modelo AHP'!$U$48*aux!W103)+('Modelo AHP'!$U$49*aux!X103)</f>
        <v>5.2719565979198616E-3</v>
      </c>
      <c r="S100" s="110">
        <f>aux!Z103</f>
        <v>7.5950936176099933E-3</v>
      </c>
      <c r="T100" s="112">
        <f>('Modelo AHP'!$U$56*aux!AA103)+('Modelo AHP'!$U$57*aux!AB103)+('Modelo AHP'!$U$58*aux!AC103)+('Modelo AHP'!$U$59*aux!AD103)</f>
        <v>8.1572635627966371E-3</v>
      </c>
      <c r="U100" s="126">
        <f>('Modelo AHP'!$U$23*aux!AE103)+('Modelo AHP'!$U$24*aux!AF103)+('Modelo AHP'!$U$25*aux!AG103)+('Modelo AHP'!$U$26*aux!AH103)+('Modelo AHP'!$U$27*aux!AI103)</f>
        <v>6.2817394287521706E-3</v>
      </c>
    </row>
    <row r="101" spans="1:21" ht="16.8" thickTop="1" thickBot="1">
      <c r="A101" s="152">
        <f t="shared" si="1"/>
        <v>86</v>
      </c>
      <c r="B101" s="104" t="s">
        <v>113</v>
      </c>
      <c r="C101" s="106" t="s">
        <v>121</v>
      </c>
      <c r="D101" s="194">
        <v>2.5341750306553432E-2</v>
      </c>
      <c r="E101" s="140">
        <v>83.94</v>
      </c>
      <c r="F101" s="156">
        <v>0.16098743937321228</v>
      </c>
      <c r="G101" s="138">
        <v>65589.452333289999</v>
      </c>
      <c r="H101" s="98">
        <v>5.42</v>
      </c>
      <c r="I101" s="167">
        <v>7.25</v>
      </c>
      <c r="J101" s="158">
        <v>4.647074504492172E-2</v>
      </c>
      <c r="K101" s="165">
        <v>112754.23</v>
      </c>
      <c r="L101" s="262">
        <v>7.3060962066748489E-2</v>
      </c>
      <c r="M101" s="263">
        <v>596</v>
      </c>
      <c r="N101" s="262">
        <v>6.4662233786258072E-2</v>
      </c>
      <c r="O101" s="262">
        <v>7.5380489021956085E-2</v>
      </c>
      <c r="P101" s="108">
        <f>('Modelo AHP'!$U$37*aux!P104)+('Modelo AHP'!$U$38*aux!R104)+('Modelo AHP'!$U$39*aux!S104)</f>
        <v>3.4395194524084217E-3</v>
      </c>
      <c r="Q101" s="110">
        <f>aux!U104</f>
        <v>7.6016540325555071E-3</v>
      </c>
      <c r="R101" s="108">
        <f>('Modelo AHP'!$U$47*aux!V104)+('Modelo AHP'!$U$48*aux!W104)+('Modelo AHP'!$U$49*aux!X104)</f>
        <v>6.483823890715835E-3</v>
      </c>
      <c r="S101" s="110">
        <f>aux!Z104</f>
        <v>7.6271117449591913E-3</v>
      </c>
      <c r="T101" s="112">
        <f>('Modelo AHP'!$U$56*aux!AA104)+('Modelo AHP'!$U$57*aux!AB104)+('Modelo AHP'!$U$58*aux!AC104)+('Modelo AHP'!$U$59*aux!AD104)</f>
        <v>8.1572635627966371E-3</v>
      </c>
      <c r="U101" s="126">
        <f>('Modelo AHP'!$U$23*aux!AE104)+('Modelo AHP'!$U$24*aux!AF104)+('Modelo AHP'!$U$25*aux!AG104)+('Modelo AHP'!$U$26*aux!AH104)+('Modelo AHP'!$U$27*aux!AI104)</f>
        <v>6.5789937452609658E-3</v>
      </c>
    </row>
    <row r="102" spans="1:21" ht="16.8" thickTop="1" thickBot="1">
      <c r="A102" s="152">
        <f t="shared" si="1"/>
        <v>112</v>
      </c>
      <c r="B102" s="104" t="s">
        <v>122</v>
      </c>
      <c r="C102" s="106" t="s">
        <v>123</v>
      </c>
      <c r="D102" s="194">
        <v>2.9237162362718908E-2</v>
      </c>
      <c r="E102" s="140">
        <v>78.81</v>
      </c>
      <c r="F102" s="156">
        <v>0.13226584777363457</v>
      </c>
      <c r="G102" s="138">
        <v>81736.54715849596</v>
      </c>
      <c r="H102" s="98">
        <v>4.29</v>
      </c>
      <c r="I102" s="167">
        <v>5.81</v>
      </c>
      <c r="J102" s="158">
        <v>3.8742548701435189E-2</v>
      </c>
      <c r="K102" s="165">
        <v>144304.94</v>
      </c>
      <c r="L102" s="262">
        <v>4.8629376351627798E-2</v>
      </c>
      <c r="M102" s="263">
        <v>403</v>
      </c>
      <c r="N102" s="262">
        <v>4.2112363881661369E-2</v>
      </c>
      <c r="O102" s="262">
        <v>4.1853792415169663E-2</v>
      </c>
      <c r="P102" s="108">
        <f>('Modelo AHP'!$U$37*aux!P105)+('Modelo AHP'!$U$38*aux!R105)+('Modelo AHP'!$U$39*aux!S105)</f>
        <v>3.1935373223066187E-3</v>
      </c>
      <c r="Q102" s="110">
        <f>aux!U105</f>
        <v>7.5793365228310431E-3</v>
      </c>
      <c r="R102" s="108">
        <f>('Modelo AHP'!$U$47*aux!V105)+('Modelo AHP'!$U$48*aux!W105)+('Modelo AHP'!$U$49*aux!X105)</f>
        <v>5.2801957747855713E-3</v>
      </c>
      <c r="S102" s="110">
        <f>aux!Z105</f>
        <v>7.6088687182632713E-3</v>
      </c>
      <c r="T102" s="112">
        <f>('Modelo AHP'!$U$56*aux!AA105)+('Modelo AHP'!$U$57*aux!AB105)+('Modelo AHP'!$U$58*aux!AC105)+('Modelo AHP'!$U$59*aux!AD105)</f>
        <v>5.2698879280975684E-3</v>
      </c>
      <c r="U102" s="126">
        <f>('Modelo AHP'!$U$23*aux!AE105)+('Modelo AHP'!$U$24*aux!AF105)+('Modelo AHP'!$U$25*aux!AG105)+('Modelo AHP'!$U$26*aux!AH105)+('Modelo AHP'!$U$27*aux!AI105)</f>
        <v>5.8477489074589568E-3</v>
      </c>
    </row>
    <row r="103" spans="1:21" ht="16.8" thickTop="1" thickBot="1">
      <c r="A103" s="152">
        <f t="shared" si="1"/>
        <v>117</v>
      </c>
      <c r="B103" s="104" t="s">
        <v>122</v>
      </c>
      <c r="C103" s="106" t="s">
        <v>124</v>
      </c>
      <c r="D103" s="194">
        <v>4.0277117435305307E-2</v>
      </c>
      <c r="E103" s="140">
        <v>83.4</v>
      </c>
      <c r="F103" s="156">
        <v>0.13875269660717787</v>
      </c>
      <c r="G103" s="138">
        <v>97253.642316433572</v>
      </c>
      <c r="H103" s="98">
        <v>3.86</v>
      </c>
      <c r="I103" s="167">
        <v>5.23</v>
      </c>
      <c r="J103" s="158">
        <v>3.8742548701435189E-2</v>
      </c>
      <c r="K103" s="165">
        <v>214047.1</v>
      </c>
      <c r="L103" s="262">
        <v>4.8629376351627798E-2</v>
      </c>
      <c r="M103" s="263">
        <v>403</v>
      </c>
      <c r="N103" s="262">
        <v>4.2112363881661369E-2</v>
      </c>
      <c r="O103" s="262">
        <v>4.1853792415169663E-2</v>
      </c>
      <c r="P103" s="108">
        <f>('Modelo AHP'!$U$37*aux!P106)+('Modelo AHP'!$U$38*aux!R106)+('Modelo AHP'!$U$39*aux!S106)</f>
        <v>3.5761631915885946E-3</v>
      </c>
      <c r="Q103" s="110">
        <f>aux!U106</f>
        <v>7.5578897594453399E-3</v>
      </c>
      <c r="R103" s="108">
        <f>('Modelo AHP'!$U$47*aux!V106)+('Modelo AHP'!$U$48*aux!W106)+('Modelo AHP'!$U$49*aux!X106)</f>
        <v>4.9932800425061897E-3</v>
      </c>
      <c r="S103" s="110">
        <f>aux!Z106</f>
        <v>7.5685429035126338E-3</v>
      </c>
      <c r="T103" s="112">
        <f>('Modelo AHP'!$U$56*aux!AA106)+('Modelo AHP'!$U$57*aux!AB106)+('Modelo AHP'!$U$58*aux!AC106)+('Modelo AHP'!$U$59*aux!AD106)</f>
        <v>5.2698879280975684E-3</v>
      </c>
      <c r="U103" s="126">
        <f>('Modelo AHP'!$U$23*aux!AE106)+('Modelo AHP'!$U$24*aux!AF106)+('Modelo AHP'!$U$25*aux!AG106)+('Modelo AHP'!$U$26*aux!AH106)+('Modelo AHP'!$U$27*aux!AI106)</f>
        <v>5.8036072365252427E-3</v>
      </c>
    </row>
    <row r="104" spans="1:21" ht="16.8" thickTop="1" thickBot="1">
      <c r="A104" s="152">
        <f t="shared" si="1"/>
        <v>77</v>
      </c>
      <c r="B104" s="104" t="s">
        <v>122</v>
      </c>
      <c r="C104" s="106" t="s">
        <v>125</v>
      </c>
      <c r="D104" s="194">
        <v>4.7973022866566566E-2</v>
      </c>
      <c r="E104" s="140">
        <v>84.43</v>
      </c>
      <c r="F104" s="156">
        <v>0.4011120668468911</v>
      </c>
      <c r="G104" s="138">
        <v>39790.240091819171</v>
      </c>
      <c r="H104" s="98">
        <v>7.15</v>
      </c>
      <c r="I104" s="167">
        <v>8.66</v>
      </c>
      <c r="J104" s="158">
        <v>3.8742548701435189E-2</v>
      </c>
      <c r="K104" s="165">
        <v>93176</v>
      </c>
      <c r="L104" s="262">
        <v>4.8629376351627798E-2</v>
      </c>
      <c r="M104" s="263">
        <v>403</v>
      </c>
      <c r="N104" s="262">
        <v>4.2112363881661369E-2</v>
      </c>
      <c r="O104" s="262">
        <v>4.1853792415169663E-2</v>
      </c>
      <c r="P104" s="108">
        <f>('Modelo AHP'!$U$37*aux!P107)+('Modelo AHP'!$U$38*aux!R107)+('Modelo AHP'!$U$39*aux!S107)</f>
        <v>7.0147707874699912E-3</v>
      </c>
      <c r="Q104" s="110">
        <f>aux!U107</f>
        <v>7.6373120983757288E-3</v>
      </c>
      <c r="R104" s="108">
        <f>('Modelo AHP'!$U$47*aux!V107)+('Modelo AHP'!$U$48*aux!W107)+('Modelo AHP'!$U$49*aux!X107)</f>
        <v>6.8184931184183837E-3</v>
      </c>
      <c r="S104" s="110">
        <f>aux!Z107</f>
        <v>7.6384321295891681E-3</v>
      </c>
      <c r="T104" s="112">
        <f>('Modelo AHP'!$U$56*aux!AA107)+('Modelo AHP'!$U$57*aux!AB107)+('Modelo AHP'!$U$58*aux!AC107)+('Modelo AHP'!$U$59*aux!AD107)</f>
        <v>5.2698879280975684E-3</v>
      </c>
      <c r="U104" s="126">
        <f>('Modelo AHP'!$U$23*aux!AE107)+('Modelo AHP'!$U$24*aux!AF107)+('Modelo AHP'!$U$25*aux!AG107)+('Modelo AHP'!$U$26*aux!AH107)+('Modelo AHP'!$U$27*aux!AI107)</f>
        <v>7.0320567853923554E-3</v>
      </c>
    </row>
    <row r="105" spans="1:21" ht="16.8" thickTop="1" thickBot="1">
      <c r="A105" s="152">
        <f t="shared" si="1"/>
        <v>56</v>
      </c>
      <c r="B105" s="104" t="s">
        <v>122</v>
      </c>
      <c r="C105" s="106" t="s">
        <v>126</v>
      </c>
      <c r="D105" s="194">
        <v>6.3702796801469189E-2</v>
      </c>
      <c r="E105" s="140">
        <v>83.56</v>
      </c>
      <c r="F105" s="156">
        <v>0.47250665451667828</v>
      </c>
      <c r="G105" s="138">
        <v>33701.43128620473</v>
      </c>
      <c r="H105" s="98">
        <v>8.7799999999999994</v>
      </c>
      <c r="I105" s="167">
        <v>10.6</v>
      </c>
      <c r="J105" s="158">
        <v>3.8742548701435189E-2</v>
      </c>
      <c r="K105" s="165">
        <v>80444.05</v>
      </c>
      <c r="L105" s="262">
        <v>4.8629376351627798E-2</v>
      </c>
      <c r="M105" s="263">
        <v>403</v>
      </c>
      <c r="N105" s="262">
        <v>4.2112363881661369E-2</v>
      </c>
      <c r="O105" s="262">
        <v>4.1853792415169663E-2</v>
      </c>
      <c r="P105" s="108">
        <f>('Modelo AHP'!$U$37*aux!P108)+('Modelo AHP'!$U$38*aux!R108)+('Modelo AHP'!$U$39*aux!S108)</f>
        <v>8.3250115851993892E-3</v>
      </c>
      <c r="Q105" s="110">
        <f>aux!U108</f>
        <v>7.6457276710345072E-3</v>
      </c>
      <c r="R105" s="108">
        <f>('Modelo AHP'!$U$47*aux!V108)+('Modelo AHP'!$U$48*aux!W108)+('Modelo AHP'!$U$49*aux!X108)</f>
        <v>7.8111422744004339E-3</v>
      </c>
      <c r="S105" s="110">
        <f>aux!Z108</f>
        <v>7.6457939069862878E-3</v>
      </c>
      <c r="T105" s="112">
        <f>('Modelo AHP'!$U$56*aux!AA108)+('Modelo AHP'!$U$57*aux!AB108)+('Modelo AHP'!$U$58*aux!AC108)+('Modelo AHP'!$U$59*aux!AD108)</f>
        <v>5.2698879280975684E-3</v>
      </c>
      <c r="U105" s="126">
        <f>('Modelo AHP'!$U$23*aux!AE108)+('Modelo AHP'!$U$24*aux!AF108)+('Modelo AHP'!$U$25*aux!AG108)+('Modelo AHP'!$U$26*aux!AH108)+('Modelo AHP'!$U$27*aux!AI108)</f>
        <v>7.5931982747588448E-3</v>
      </c>
    </row>
    <row r="106" spans="1:21" ht="16.8" thickTop="1" thickBot="1">
      <c r="A106" s="152">
        <f t="shared" si="1"/>
        <v>66</v>
      </c>
      <c r="B106" s="104" t="s">
        <v>122</v>
      </c>
      <c r="C106" s="106" t="s">
        <v>127</v>
      </c>
      <c r="D106" s="194">
        <v>5.1535590334621177E-2</v>
      </c>
      <c r="E106" s="140">
        <v>84.21</v>
      </c>
      <c r="F106" s="156">
        <v>0.3920656403315852</v>
      </c>
      <c r="G106" s="138">
        <v>36691.478392605633</v>
      </c>
      <c r="H106" s="98">
        <v>8.7200000000000006</v>
      </c>
      <c r="I106" s="167">
        <v>10.35</v>
      </c>
      <c r="J106" s="158">
        <v>3.8742548701435189E-2</v>
      </c>
      <c r="K106" s="165">
        <v>104658.69</v>
      </c>
      <c r="L106" s="262">
        <v>4.8629376351627798E-2</v>
      </c>
      <c r="M106" s="263">
        <v>403</v>
      </c>
      <c r="N106" s="262">
        <v>4.2112363881661369E-2</v>
      </c>
      <c r="O106" s="262">
        <v>4.1853792415169663E-2</v>
      </c>
      <c r="P106" s="108">
        <f>('Modelo AHP'!$U$37*aux!P109)+('Modelo AHP'!$U$38*aux!R109)+('Modelo AHP'!$U$39*aux!S109)</f>
        <v>7.0013309543752143E-3</v>
      </c>
      <c r="Q106" s="110">
        <f>aux!U109</f>
        <v>7.6415950139778616E-3</v>
      </c>
      <c r="R106" s="108">
        <f>('Modelo AHP'!$U$47*aux!V109)+('Modelo AHP'!$U$48*aux!W109)+('Modelo AHP'!$U$49*aux!X109)</f>
        <v>7.7090237849522956E-3</v>
      </c>
      <c r="S106" s="110">
        <f>aux!Z109</f>
        <v>7.6317926904066269E-3</v>
      </c>
      <c r="T106" s="112">
        <f>('Modelo AHP'!$U$56*aux!AA109)+('Modelo AHP'!$U$57*aux!AB109)+('Modelo AHP'!$U$58*aux!AC109)+('Modelo AHP'!$U$59*aux!AD109)</f>
        <v>5.2698879280975684E-3</v>
      </c>
      <c r="U106" s="126">
        <f>('Modelo AHP'!$U$23*aux!AE109)+('Modelo AHP'!$U$24*aux!AF109)+('Modelo AHP'!$U$25*aux!AG109)+('Modelo AHP'!$U$26*aux!AH109)+('Modelo AHP'!$U$27*aux!AI109)</f>
        <v>7.3350138988555816E-3</v>
      </c>
    </row>
    <row r="107" spans="1:21" ht="16.8" thickTop="1" thickBot="1">
      <c r="A107" s="152">
        <f t="shared" si="1"/>
        <v>99</v>
      </c>
      <c r="B107" s="104" t="s">
        <v>122</v>
      </c>
      <c r="C107" s="106" t="s">
        <v>128</v>
      </c>
      <c r="D107" s="194">
        <v>4.8510967456765572E-2</v>
      </c>
      <c r="E107" s="140">
        <v>83.16</v>
      </c>
      <c r="F107" s="156">
        <v>0.14751049621009327</v>
      </c>
      <c r="G107" s="138">
        <v>55975.145579473152</v>
      </c>
      <c r="H107" s="98">
        <v>5.14</v>
      </c>
      <c r="I107" s="167">
        <v>7.08</v>
      </c>
      <c r="J107" s="158">
        <v>3.8742548701435189E-2</v>
      </c>
      <c r="K107" s="165">
        <v>114377.07</v>
      </c>
      <c r="L107" s="262">
        <v>4.8629376351627798E-2</v>
      </c>
      <c r="M107" s="263">
        <v>403</v>
      </c>
      <c r="N107" s="262">
        <v>4.2112363881661369E-2</v>
      </c>
      <c r="O107" s="262">
        <v>4.1853792415169663E-2</v>
      </c>
      <c r="P107" s="108">
        <f>('Modelo AHP'!$U$37*aux!P110)+('Modelo AHP'!$U$38*aux!R110)+('Modelo AHP'!$U$39*aux!S110)</f>
        <v>3.9100114708564161E-3</v>
      </c>
      <c r="Q107" s="110">
        <f>aux!U110</f>
        <v>7.6149423291063736E-3</v>
      </c>
      <c r="R107" s="108">
        <f>('Modelo AHP'!$U$47*aux!V110)+('Modelo AHP'!$U$48*aux!W110)+('Modelo AHP'!$U$49*aux!X110)</f>
        <v>5.8927006729888164E-3</v>
      </c>
      <c r="S107" s="110">
        <f>aux!Z110</f>
        <v>7.6261733979792589E-3</v>
      </c>
      <c r="T107" s="112">
        <f>('Modelo AHP'!$U$56*aux!AA110)+('Modelo AHP'!$U$57*aux!AB110)+('Modelo AHP'!$U$58*aux!AC110)+('Modelo AHP'!$U$59*aux!AD110)</f>
        <v>5.2698879280975684E-3</v>
      </c>
      <c r="U107" s="126">
        <f>('Modelo AHP'!$U$23*aux!AE110)+('Modelo AHP'!$U$24*aux!AF110)+('Modelo AHP'!$U$25*aux!AG110)+('Modelo AHP'!$U$26*aux!AH110)+('Modelo AHP'!$U$27*aux!AI110)</f>
        <v>6.1894139206478179E-3</v>
      </c>
    </row>
    <row r="108" spans="1:21" ht="16.8" thickTop="1" thickBot="1">
      <c r="A108" s="152">
        <f t="shared" si="1"/>
        <v>10</v>
      </c>
      <c r="B108" s="104" t="s">
        <v>129</v>
      </c>
      <c r="C108" s="106" t="s">
        <v>326</v>
      </c>
      <c r="D108" s="194">
        <v>0.13826497212126684</v>
      </c>
      <c r="E108" s="140">
        <v>82.02</v>
      </c>
      <c r="F108" s="156">
        <v>0.63749314818198433</v>
      </c>
      <c r="G108" s="138">
        <v>24884.414737719635</v>
      </c>
      <c r="H108" s="98">
        <v>12.39</v>
      </c>
      <c r="I108" s="167">
        <v>13.53</v>
      </c>
      <c r="J108" s="158">
        <v>7.6556005952075526E-2</v>
      </c>
      <c r="K108" s="165">
        <v>51666.28</v>
      </c>
      <c r="L108" s="262">
        <v>5.2370097609445318E-2</v>
      </c>
      <c r="M108" s="263">
        <v>1563</v>
      </c>
      <c r="N108" s="262">
        <v>5.9554784619832324E-2</v>
      </c>
      <c r="O108" s="262">
        <v>5.9849051896207588E-2</v>
      </c>
      <c r="P108" s="108">
        <f>('Modelo AHP'!$U$37*aux!P111)+('Modelo AHP'!$U$38*aux!R111)+('Modelo AHP'!$U$39*aux!S111)</f>
        <v>1.240212049514507E-2</v>
      </c>
      <c r="Q108" s="110">
        <f>aux!U111</f>
        <v>7.6579140026744501E-3</v>
      </c>
      <c r="R108" s="108">
        <f>('Modelo AHP'!$U$47*aux!V111)+('Modelo AHP'!$U$48*aux!W111)+('Modelo AHP'!$U$49*aux!X111)</f>
        <v>1.1859086121237629E-2</v>
      </c>
      <c r="S108" s="110">
        <f>aux!Z111</f>
        <v>7.6624335840762498E-3</v>
      </c>
      <c r="T108" s="112">
        <f>('Modelo AHP'!$U$56*aux!AA111)+('Modelo AHP'!$U$57*aux!AB111)+('Modelo AHP'!$U$58*aux!AC111)+('Modelo AHP'!$U$59*aux!AD111)</f>
        <v>1.1652729327662158E-2</v>
      </c>
      <c r="U108" s="126">
        <f>('Modelo AHP'!$U$23*aux!AE111)+('Modelo AHP'!$U$24*aux!AF111)+('Modelo AHP'!$U$25*aux!AG111)+('Modelo AHP'!$U$26*aux!AH111)+('Modelo AHP'!$U$27*aux!AI111)</f>
        <v>1.0259628353056846E-2</v>
      </c>
    </row>
    <row r="109" spans="1:21" ht="16.8" thickTop="1" thickBot="1">
      <c r="A109" s="152">
        <f t="shared" si="1"/>
        <v>3</v>
      </c>
      <c r="B109" s="104" t="s">
        <v>129</v>
      </c>
      <c r="C109" s="106" t="s">
        <v>130</v>
      </c>
      <c r="D109" s="194">
        <v>0.26893792747451284</v>
      </c>
      <c r="E109" s="140">
        <v>81.25</v>
      </c>
      <c r="F109" s="156">
        <v>0.74686231081579924</v>
      </c>
      <c r="G109" s="138">
        <v>19587.094904064368</v>
      </c>
      <c r="H109" s="98">
        <v>13.77</v>
      </c>
      <c r="I109" s="167">
        <v>17.18</v>
      </c>
      <c r="J109" s="158">
        <v>7.6556005952075526E-2</v>
      </c>
      <c r="K109" s="165">
        <v>26876.799999999999</v>
      </c>
      <c r="L109" s="262">
        <v>5.2370097609445318E-2</v>
      </c>
      <c r="M109" s="263">
        <v>1563</v>
      </c>
      <c r="N109" s="262">
        <v>5.9554784619832324E-2</v>
      </c>
      <c r="O109" s="262">
        <v>5.9849051896207588E-2</v>
      </c>
      <c r="P109" s="108">
        <f>('Modelo AHP'!$U$37*aux!P112)+('Modelo AHP'!$U$38*aux!R112)+('Modelo AHP'!$U$39*aux!S112)</f>
        <v>1.7335797802094162E-2</v>
      </c>
      <c r="Q109" s="110">
        <f>aux!U112</f>
        <v>7.665235628526096E-3</v>
      </c>
      <c r="R109" s="108">
        <f>('Modelo AHP'!$U$47*aux!V112)+('Modelo AHP'!$U$48*aux!W112)+('Modelo AHP'!$U$49*aux!X112)</f>
        <v>1.343667501397168E-2</v>
      </c>
      <c r="S109" s="110">
        <f>aux!Z112</f>
        <v>7.6767671805442203E-3</v>
      </c>
      <c r="T109" s="112">
        <f>('Modelo AHP'!$U$56*aux!AA112)+('Modelo AHP'!$U$57*aux!AB112)+('Modelo AHP'!$U$58*aux!AC112)+('Modelo AHP'!$U$59*aux!AD112)</f>
        <v>1.1652729327662158E-2</v>
      </c>
      <c r="U109" s="126">
        <f>('Modelo AHP'!$U$23*aux!AE112)+('Modelo AHP'!$U$24*aux!AF112)+('Modelo AHP'!$U$25*aux!AG112)+('Modelo AHP'!$U$26*aux!AH112)+('Modelo AHP'!$U$27*aux!AI112)</f>
        <v>1.1625526825590591E-2</v>
      </c>
    </row>
    <row r="110" spans="1:21" ht="16.8" thickTop="1" thickBot="1">
      <c r="A110" s="152">
        <f t="shared" si="1"/>
        <v>31</v>
      </c>
      <c r="B110" s="104" t="s">
        <v>129</v>
      </c>
      <c r="C110" s="106" t="s">
        <v>131</v>
      </c>
      <c r="D110" s="194">
        <v>9.185460915261659E-2</v>
      </c>
      <c r="E110" s="140">
        <v>82.02</v>
      </c>
      <c r="F110" s="156">
        <v>0.46362455342643716</v>
      </c>
      <c r="G110" s="138">
        <v>30153.30453444098</v>
      </c>
      <c r="H110" s="98">
        <v>8.65</v>
      </c>
      <c r="I110" s="167">
        <v>10.39</v>
      </c>
      <c r="J110" s="158">
        <v>7.6556005952075526E-2</v>
      </c>
      <c r="K110" s="165">
        <v>61604.11</v>
      </c>
      <c r="L110" s="262">
        <v>5.2370097609445318E-2</v>
      </c>
      <c r="M110" s="263">
        <v>1563</v>
      </c>
      <c r="N110" s="262">
        <v>5.9554784619832324E-2</v>
      </c>
      <c r="O110" s="262">
        <v>5.9849051896207588E-2</v>
      </c>
      <c r="P110" s="108">
        <f>('Modelo AHP'!$U$37*aux!P113)+('Modelo AHP'!$U$38*aux!R113)+('Modelo AHP'!$U$39*aux!S113)</f>
        <v>8.9889004505147203E-3</v>
      </c>
      <c r="Q110" s="110">
        <f>aux!U113</f>
        <v>7.6506316710508136E-3</v>
      </c>
      <c r="R110" s="108">
        <f>('Modelo AHP'!$U$47*aux!V113)+('Modelo AHP'!$U$48*aux!W113)+('Modelo AHP'!$U$49*aux!X113)</f>
        <v>1.0062989245560034E-2</v>
      </c>
      <c r="S110" s="110">
        <f>aux!Z113</f>
        <v>7.6566874028337513E-3</v>
      </c>
      <c r="T110" s="112">
        <f>('Modelo AHP'!$U$56*aux!AA113)+('Modelo AHP'!$U$57*aux!AB113)+('Modelo AHP'!$U$58*aux!AC113)+('Modelo AHP'!$U$59*aux!AD113)</f>
        <v>1.1652729327662158E-2</v>
      </c>
      <c r="U110" s="126">
        <f>('Modelo AHP'!$U$23*aux!AE113)+('Modelo AHP'!$U$24*aux!AF113)+('Modelo AHP'!$U$25*aux!AG113)+('Modelo AHP'!$U$26*aux!AH113)+('Modelo AHP'!$U$27*aux!AI113)</f>
        <v>9.0734595493598465E-3</v>
      </c>
    </row>
    <row r="111" spans="1:21" ht="16.8" thickTop="1" thickBot="1">
      <c r="A111" s="152">
        <f t="shared" si="1"/>
        <v>20</v>
      </c>
      <c r="B111" s="104" t="s">
        <v>129</v>
      </c>
      <c r="C111" s="106" t="s">
        <v>132</v>
      </c>
      <c r="D111" s="194">
        <v>0.13714672075726841</v>
      </c>
      <c r="E111" s="140">
        <v>83.28</v>
      </c>
      <c r="F111" s="156">
        <v>0.57422979473432967</v>
      </c>
      <c r="G111" s="138">
        <v>28416.052490963382</v>
      </c>
      <c r="H111" s="98">
        <v>9.7899999999999991</v>
      </c>
      <c r="I111" s="167">
        <v>11.07</v>
      </c>
      <c r="J111" s="158">
        <v>7.6556005952075526E-2</v>
      </c>
      <c r="K111" s="165">
        <v>52206.91</v>
      </c>
      <c r="L111" s="262">
        <v>5.2370097609445318E-2</v>
      </c>
      <c r="M111" s="263">
        <v>1563</v>
      </c>
      <c r="N111" s="262">
        <v>5.9554784619832324E-2</v>
      </c>
      <c r="O111" s="262">
        <v>5.9849051896207588E-2</v>
      </c>
      <c r="P111" s="108">
        <f>('Modelo AHP'!$U$37*aux!P114)+('Modelo AHP'!$U$38*aux!R114)+('Modelo AHP'!$U$39*aux!S114)</f>
        <v>1.1593104991206533E-2</v>
      </c>
      <c r="Q111" s="110">
        <f>aux!U114</f>
        <v>7.6530327927258803E-3</v>
      </c>
      <c r="R111" s="108">
        <f>('Modelo AHP'!$U$47*aux!V114)+('Modelo AHP'!$U$48*aux!W114)+('Modelo AHP'!$U$49*aux!X114)</f>
        <v>1.0508704828973398E-2</v>
      </c>
      <c r="S111" s="110">
        <f>aux!Z114</f>
        <v>7.6621209848503494E-3</v>
      </c>
      <c r="T111" s="112">
        <f>('Modelo AHP'!$U$56*aux!AA114)+('Modelo AHP'!$U$57*aux!AB114)+('Modelo AHP'!$U$58*aux!AC114)+('Modelo AHP'!$U$59*aux!AD114)</f>
        <v>1.1652729327662158E-2</v>
      </c>
      <c r="U111" s="126">
        <f>('Modelo AHP'!$U$23*aux!AE114)+('Modelo AHP'!$U$24*aux!AF114)+('Modelo AHP'!$U$25*aux!AG114)+('Modelo AHP'!$U$26*aux!AH114)+('Modelo AHP'!$U$27*aux!AI114)</f>
        <v>9.6615575584525493E-3</v>
      </c>
    </row>
    <row r="112" spans="1:21" ht="16.8" thickTop="1" thickBot="1">
      <c r="A112" s="152">
        <f t="shared" si="1"/>
        <v>17</v>
      </c>
      <c r="B112" s="104" t="s">
        <v>129</v>
      </c>
      <c r="C112" s="106" t="s">
        <v>133</v>
      </c>
      <c r="D112" s="194">
        <v>0.11209526621395532</v>
      </c>
      <c r="E112" s="140">
        <v>83.21</v>
      </c>
      <c r="F112" s="156">
        <v>0.58842722616884191</v>
      </c>
      <c r="G112" s="138">
        <v>28062.429956260723</v>
      </c>
      <c r="H112" s="98">
        <v>10.62</v>
      </c>
      <c r="I112" s="167">
        <v>12.46</v>
      </c>
      <c r="J112" s="158">
        <v>7.6556005952075526E-2</v>
      </c>
      <c r="K112" s="165">
        <v>58943.3</v>
      </c>
      <c r="L112" s="262">
        <v>5.2370097609445318E-2</v>
      </c>
      <c r="M112" s="263">
        <v>1563</v>
      </c>
      <c r="N112" s="262">
        <v>5.9554784619832324E-2</v>
      </c>
      <c r="O112" s="262">
        <v>5.9849051896207588E-2</v>
      </c>
      <c r="P112" s="108">
        <f>('Modelo AHP'!$U$37*aux!P115)+('Modelo AHP'!$U$38*aux!R115)+('Modelo AHP'!$U$39*aux!S115)</f>
        <v>1.1079850306181412E-2</v>
      </c>
      <c r="Q112" s="110">
        <f>aux!U115</f>
        <v>7.6535215477894032E-3</v>
      </c>
      <c r="R112" s="108">
        <f>('Modelo AHP'!$U$47*aux!V115)+('Modelo AHP'!$U$48*aux!W115)+('Modelo AHP'!$U$49*aux!X115)</f>
        <v>1.1161835815200218E-2</v>
      </c>
      <c r="S112" s="110">
        <f>aux!Z115</f>
        <v>7.6582259174301824E-3</v>
      </c>
      <c r="T112" s="112">
        <f>('Modelo AHP'!$U$56*aux!AA115)+('Modelo AHP'!$U$57*aux!AB115)+('Modelo AHP'!$U$58*aux!AC115)+('Modelo AHP'!$U$59*aux!AD115)</f>
        <v>1.1652729327662158E-2</v>
      </c>
      <c r="U112" s="126">
        <f>('Modelo AHP'!$U$23*aux!AE115)+('Modelo AHP'!$U$24*aux!AF115)+('Modelo AHP'!$U$25*aux!AG115)+('Modelo AHP'!$U$26*aux!AH115)+('Modelo AHP'!$U$27*aux!AI115)</f>
        <v>9.7989596950898532E-3</v>
      </c>
    </row>
    <row r="113" spans="1:21" ht="16.8" thickTop="1" thickBot="1">
      <c r="A113" s="152">
        <f t="shared" si="1"/>
        <v>24</v>
      </c>
      <c r="B113" s="104" t="s">
        <v>134</v>
      </c>
      <c r="C113" s="106" t="s">
        <v>135</v>
      </c>
      <c r="D113" s="194">
        <v>0.10163563160543532</v>
      </c>
      <c r="E113" s="140">
        <v>82.85</v>
      </c>
      <c r="F113" s="156">
        <v>0.64314460172078824</v>
      </c>
      <c r="G113" s="138">
        <v>28357.195238000593</v>
      </c>
      <c r="H113" s="98">
        <v>12.05</v>
      </c>
      <c r="I113" s="167">
        <v>13.6</v>
      </c>
      <c r="J113" s="158">
        <v>6.3105304639388723E-2</v>
      </c>
      <c r="K113" s="165">
        <v>55794.28</v>
      </c>
      <c r="L113" s="262">
        <v>2.5951253726109066E-2</v>
      </c>
      <c r="M113" s="263">
        <v>1370</v>
      </c>
      <c r="N113" s="262">
        <v>2.1007998458128552E-2</v>
      </c>
      <c r="O113" s="262">
        <v>2.223677644710579E-2</v>
      </c>
      <c r="P113" s="108">
        <f>('Modelo AHP'!$U$37*aux!P116)+('Modelo AHP'!$U$38*aux!R116)+('Modelo AHP'!$U$39*aux!S116)</f>
        <v>1.1465750206054582E-2</v>
      </c>
      <c r="Q113" s="110">
        <f>aux!U116</f>
        <v>7.6531141415585695E-3</v>
      </c>
      <c r="R113" s="108">
        <f>('Modelo AHP'!$U$47*aux!V116)+('Modelo AHP'!$U$48*aux!W116)+('Modelo AHP'!$U$49*aux!X116)</f>
        <v>1.0989939925607883E-2</v>
      </c>
      <c r="S113" s="110">
        <f>aux!Z116</f>
        <v>7.6600467213336762E-3</v>
      </c>
      <c r="T113" s="112">
        <f>('Modelo AHP'!$U$56*aux!AA116)+('Modelo AHP'!$U$57*aux!AB116)+('Modelo AHP'!$U$58*aux!AC116)+('Modelo AHP'!$U$59*aux!AD116)</f>
        <v>8.1118256502172546E-3</v>
      </c>
      <c r="U113" s="126">
        <f>('Modelo AHP'!$U$23*aux!AE116)+('Modelo AHP'!$U$24*aux!AF116)+('Modelo AHP'!$U$25*aux!AG116)+('Modelo AHP'!$U$26*aux!AH116)+('Modelo AHP'!$U$27*aux!AI116)</f>
        <v>9.4731298866877929E-3</v>
      </c>
    </row>
    <row r="114" spans="1:21" ht="16.8" thickTop="1" thickBot="1">
      <c r="A114" s="152">
        <f t="shared" si="1"/>
        <v>47</v>
      </c>
      <c r="B114" s="104" t="s">
        <v>134</v>
      </c>
      <c r="C114" s="106" t="s">
        <v>136</v>
      </c>
      <c r="D114" s="194">
        <v>3.255813953488372E-2</v>
      </c>
      <c r="E114" s="140">
        <v>82.28</v>
      </c>
      <c r="F114" s="156">
        <v>0.44891965596811412</v>
      </c>
      <c r="G114" s="138">
        <v>36426.582003659656</v>
      </c>
      <c r="H114" s="98">
        <v>9.2200000000000006</v>
      </c>
      <c r="I114" s="167">
        <v>10.59</v>
      </c>
      <c r="J114" s="158">
        <v>6.3105304639388723E-2</v>
      </c>
      <c r="K114" s="165">
        <v>57584.02</v>
      </c>
      <c r="L114" s="262">
        <v>2.5951253726109066E-2</v>
      </c>
      <c r="M114" s="263">
        <v>1370</v>
      </c>
      <c r="N114" s="262">
        <v>2.1007998458128552E-2</v>
      </c>
      <c r="O114" s="262">
        <v>2.223677644710579E-2</v>
      </c>
      <c r="P114" s="108">
        <f>('Modelo AHP'!$U$37*aux!P117)+('Modelo AHP'!$U$38*aux!R117)+('Modelo AHP'!$U$39*aux!S117)</f>
        <v>7.1797284203222221E-3</v>
      </c>
      <c r="Q114" s="110">
        <f>aux!U117</f>
        <v>7.6419611372836489E-3</v>
      </c>
      <c r="R114" s="108">
        <f>('Modelo AHP'!$U$47*aux!V117)+('Modelo AHP'!$U$48*aux!W117)+('Modelo AHP'!$U$49*aux!X117)</f>
        <v>9.3980476057927854E-3</v>
      </c>
      <c r="S114" s="110">
        <f>aux!Z117</f>
        <v>7.6590118706251261E-3</v>
      </c>
      <c r="T114" s="112">
        <f>('Modelo AHP'!$U$56*aux!AA117)+('Modelo AHP'!$U$57*aux!AB117)+('Modelo AHP'!$U$58*aux!AC117)+('Modelo AHP'!$U$59*aux!AD117)</f>
        <v>8.1118256502172546E-3</v>
      </c>
      <c r="U114" s="126">
        <f>('Modelo AHP'!$U$23*aux!AE117)+('Modelo AHP'!$U$24*aux!AF117)+('Modelo AHP'!$U$25*aux!AG117)+('Modelo AHP'!$U$26*aux!AH117)+('Modelo AHP'!$U$27*aux!AI117)</f>
        <v>8.2101908703858268E-3</v>
      </c>
    </row>
    <row r="115" spans="1:21" ht="16.8" thickTop="1" thickBot="1">
      <c r="A115" s="152">
        <f>_xlfn.RANK.EQ(U115,U$2:U$132)</f>
        <v>53</v>
      </c>
      <c r="B115" s="104" t="s">
        <v>134</v>
      </c>
      <c r="C115" s="106" t="s">
        <v>327</v>
      </c>
      <c r="D115" s="194">
        <v>5.5693126060439309E-2</v>
      </c>
      <c r="E115" s="140">
        <v>82.85</v>
      </c>
      <c r="F115" s="156">
        <v>0.27867445621678716</v>
      </c>
      <c r="G115" s="138">
        <v>32080.210261506927</v>
      </c>
      <c r="H115" s="98">
        <v>7.65</v>
      </c>
      <c r="I115" s="167">
        <v>9.8000000000000007</v>
      </c>
      <c r="J115" s="158">
        <v>6.3105304639388723E-2</v>
      </c>
      <c r="K115" s="165">
        <v>70762.740000000005</v>
      </c>
      <c r="L115" s="262">
        <v>2.5951253726109066E-2</v>
      </c>
      <c r="M115" s="263">
        <v>1370</v>
      </c>
      <c r="N115" s="262">
        <v>2.1007998458128552E-2</v>
      </c>
      <c r="O115" s="262">
        <v>2.223677644710579E-2</v>
      </c>
      <c r="P115" s="108">
        <f>('Modelo AHP'!$U$37*aux!P118)+('Modelo AHP'!$U$38*aux!R118)+('Modelo AHP'!$U$39*aux!S118)</f>
        <v>5.720736572850783E-3</v>
      </c>
      <c r="Q115" s="110">
        <f>aux!U118</f>
        <v>7.6479684218553733E-3</v>
      </c>
      <c r="R115" s="108">
        <f>('Modelo AHP'!$U$47*aux!V118)+('Modelo AHP'!$U$48*aux!W118)+('Modelo AHP'!$U$49*aux!X118)</f>
        <v>8.8380039526473608E-3</v>
      </c>
      <c r="S115" s="110">
        <f>aux!Z118</f>
        <v>7.6513917650624288E-3</v>
      </c>
      <c r="T115" s="112">
        <f>('Modelo AHP'!$U$56*aux!AA118)+('Modelo AHP'!$U$57*aux!AB118)+('Modelo AHP'!$U$58*aux!AC118)+('Modelo AHP'!$U$59*aux!AD118)</f>
        <v>8.1118256502172546E-3</v>
      </c>
      <c r="U115" s="126">
        <f>('Modelo AHP'!$U$23*aux!AE118)+('Modelo AHP'!$U$24*aux!AF118)+('Modelo AHP'!$U$25*aux!AG118)+('Modelo AHP'!$U$26*aux!AH118)+('Modelo AHP'!$U$27*aux!AI118)</f>
        <v>7.7766911709437432E-3</v>
      </c>
    </row>
    <row r="116" spans="1:21" ht="16.8" thickTop="1" thickBot="1">
      <c r="A116" s="152">
        <f t="shared" si="1"/>
        <v>29</v>
      </c>
      <c r="B116" s="104" t="s">
        <v>137</v>
      </c>
      <c r="C116" s="106" t="s">
        <v>138</v>
      </c>
      <c r="D116" s="194">
        <v>9.9152046783625727E-2</v>
      </c>
      <c r="E116" s="140">
        <v>83.34</v>
      </c>
      <c r="F116" s="156">
        <v>0.66301558730037147</v>
      </c>
      <c r="G116" s="138">
        <v>24737.461738598104</v>
      </c>
      <c r="H116" s="98">
        <v>11.92</v>
      </c>
      <c r="I116" s="167">
        <v>13.81</v>
      </c>
      <c r="J116" s="158">
        <v>6.2535329215953103E-2</v>
      </c>
      <c r="K116" s="165">
        <v>54182.2</v>
      </c>
      <c r="L116" s="262">
        <v>3.0860950376994566E-2</v>
      </c>
      <c r="M116" s="263">
        <v>669</v>
      </c>
      <c r="N116" s="262">
        <v>2.4252352960071954E-2</v>
      </c>
      <c r="O116" s="262">
        <v>2.3858532934131736E-2</v>
      </c>
      <c r="P116" s="108">
        <f>('Modelo AHP'!$U$37*aux!P119)+('Modelo AHP'!$U$38*aux!R119)+('Modelo AHP'!$U$39*aux!S119)</f>
        <v>1.1641955310029794E-2</v>
      </c>
      <c r="Q116" s="110">
        <f>aux!U119</f>
        <v>7.6581171119657768E-3</v>
      </c>
      <c r="R116" s="108">
        <f>('Modelo AHP'!$U$47*aux!V119)+('Modelo AHP'!$U$48*aux!W119)+('Modelo AHP'!$U$49*aux!X119)</f>
        <v>1.1009258893684672E-2</v>
      </c>
      <c r="S116" s="110">
        <f>aux!Z119</f>
        <v>7.6609788467430868E-3</v>
      </c>
      <c r="T116" s="112">
        <f>('Modelo AHP'!$U$56*aux!AA119)+('Modelo AHP'!$U$57*aux!AB119)+('Modelo AHP'!$U$58*aux!AC119)+('Modelo AHP'!$U$59*aux!AD119)</f>
        <v>5.1257831422193995E-3</v>
      </c>
      <c r="U116" s="126">
        <f>('Modelo AHP'!$U$23*aux!AE119)+('Modelo AHP'!$U$24*aux!AF119)+('Modelo AHP'!$U$25*aux!AG119)+('Modelo AHP'!$U$26*aux!AH119)+('Modelo AHP'!$U$27*aux!AI119)</f>
        <v>9.2312723014986199E-3</v>
      </c>
    </row>
    <row r="117" spans="1:21" ht="16.8" thickTop="1" thickBot="1">
      <c r="A117" s="152">
        <f t="shared" si="1"/>
        <v>57</v>
      </c>
      <c r="B117" s="104" t="s">
        <v>137</v>
      </c>
      <c r="C117" s="106" t="s">
        <v>328</v>
      </c>
      <c r="D117" s="194">
        <v>3.6060554516074164E-2</v>
      </c>
      <c r="E117" s="140">
        <v>83.34</v>
      </c>
      <c r="F117" s="156">
        <v>0.35197044334975369</v>
      </c>
      <c r="G117" s="138">
        <v>38092.09981925731</v>
      </c>
      <c r="H117" s="98">
        <v>8.94</v>
      </c>
      <c r="I117" s="167">
        <v>9.35</v>
      </c>
      <c r="J117" s="158">
        <v>6.2535329215953103E-2</v>
      </c>
      <c r="K117" s="165">
        <v>61754.93</v>
      </c>
      <c r="L117" s="262">
        <v>3.0860950376994566E-2</v>
      </c>
      <c r="M117" s="263">
        <v>669</v>
      </c>
      <c r="N117" s="262">
        <v>2.4252352960071954E-2</v>
      </c>
      <c r="O117" s="262">
        <v>2.3858532934131736E-2</v>
      </c>
      <c r="P117" s="108">
        <f>('Modelo AHP'!$U$37*aux!P120)+('Modelo AHP'!$U$38*aux!R120)+('Modelo AHP'!$U$39*aux!S120)</f>
        <v>6.0832304992617468E-3</v>
      </c>
      <c r="Q117" s="110">
        <f>aux!U120</f>
        <v>7.6396591621947412E-3</v>
      </c>
      <c r="R117" s="108">
        <f>('Modelo AHP'!$U$47*aux!V120)+('Modelo AHP'!$U$48*aux!W120)+('Modelo AHP'!$U$49*aux!X120)</f>
        <v>8.8591239213097837E-3</v>
      </c>
      <c r="S117" s="110">
        <f>aux!Z120</f>
        <v>7.656600196768143E-3</v>
      </c>
      <c r="T117" s="112">
        <f>('Modelo AHP'!$U$56*aux!AA120)+('Modelo AHP'!$U$57*aux!AB120)+('Modelo AHP'!$U$58*aux!AC120)+('Modelo AHP'!$U$59*aux!AD120)</f>
        <v>5.1257831422193995E-3</v>
      </c>
      <c r="U117" s="126">
        <f>('Modelo AHP'!$U$23*aux!AE120)+('Modelo AHP'!$U$24*aux!AF120)+('Modelo AHP'!$U$25*aux!AG120)+('Modelo AHP'!$U$26*aux!AH120)+('Modelo AHP'!$U$27*aux!AI120)</f>
        <v>7.5625644277062644E-3</v>
      </c>
    </row>
    <row r="118" spans="1:21" ht="16.8" thickTop="1" thickBot="1">
      <c r="A118" s="152">
        <f t="shared" si="1"/>
        <v>84</v>
      </c>
      <c r="B118" s="104" t="s">
        <v>137</v>
      </c>
      <c r="C118" s="106" t="s">
        <v>329</v>
      </c>
      <c r="D118" s="194">
        <v>1.7546754675467548E-2</v>
      </c>
      <c r="E118" s="140">
        <v>83.34</v>
      </c>
      <c r="F118" s="156">
        <v>0.23176857786246319</v>
      </c>
      <c r="G118" s="138">
        <v>39290.701014584658</v>
      </c>
      <c r="H118" s="98">
        <v>5.73</v>
      </c>
      <c r="I118" s="167">
        <v>6.57</v>
      </c>
      <c r="J118" s="158">
        <v>6.2535329215953103E-2</v>
      </c>
      <c r="K118" s="165">
        <v>77028.05</v>
      </c>
      <c r="L118" s="262">
        <v>3.0860950376994566E-2</v>
      </c>
      <c r="M118" s="263">
        <v>669</v>
      </c>
      <c r="N118" s="262">
        <v>2.4252352960071954E-2</v>
      </c>
      <c r="O118" s="262">
        <v>2.3858532934131736E-2</v>
      </c>
      <c r="P118" s="108">
        <f>('Modelo AHP'!$U$37*aux!P121)+('Modelo AHP'!$U$38*aux!R121)+('Modelo AHP'!$U$39*aux!S121)</f>
        <v>4.0962112436654348E-3</v>
      </c>
      <c r="Q118" s="110">
        <f>aux!U121</f>
        <v>7.6380025302047738E-3</v>
      </c>
      <c r="R118" s="108">
        <f>('Modelo AHP'!$U$47*aux!V121)+('Modelo AHP'!$U$48*aux!W121)+('Modelo AHP'!$U$49*aux!X121)</f>
        <v>7.2863512990021684E-3</v>
      </c>
      <c r="S118" s="110">
        <f>aux!Z121</f>
        <v>7.6477690821627978E-3</v>
      </c>
      <c r="T118" s="112">
        <f>('Modelo AHP'!$U$56*aux!AA121)+('Modelo AHP'!$U$57*aux!AB121)+('Modelo AHP'!$U$58*aux!AC121)+('Modelo AHP'!$U$59*aux!AD121)</f>
        <v>5.1257831422193995E-3</v>
      </c>
      <c r="U118" s="126">
        <f>('Modelo AHP'!$U$23*aux!AE121)+('Modelo AHP'!$U$24*aux!AF121)+('Modelo AHP'!$U$25*aux!AG121)+('Modelo AHP'!$U$26*aux!AH121)+('Modelo AHP'!$U$27*aux!AI121)</f>
        <v>6.6923058301059544E-3</v>
      </c>
    </row>
    <row r="119" spans="1:21" ht="16.8" thickTop="1" thickBot="1">
      <c r="A119" s="152">
        <f t="shared" si="1"/>
        <v>61</v>
      </c>
      <c r="B119" s="104" t="s">
        <v>137</v>
      </c>
      <c r="C119" s="106" t="s">
        <v>330</v>
      </c>
      <c r="D119" s="194">
        <v>4.2328042328042326E-2</v>
      </c>
      <c r="E119" s="140">
        <v>83.34</v>
      </c>
      <c r="F119" s="156">
        <v>0.35897435897435898</v>
      </c>
      <c r="G119" s="138">
        <v>38691.40041692098</v>
      </c>
      <c r="H119" s="98">
        <v>6.01</v>
      </c>
      <c r="I119" s="167">
        <v>9.41</v>
      </c>
      <c r="J119" s="158">
        <v>6.2535329215953103E-2</v>
      </c>
      <c r="K119" s="165">
        <v>106107.71</v>
      </c>
      <c r="L119" s="262">
        <v>3.0860950376994566E-2</v>
      </c>
      <c r="M119" s="263">
        <v>669</v>
      </c>
      <c r="N119" s="262">
        <v>2.4252352960071954E-2</v>
      </c>
      <c r="O119" s="262">
        <v>2.3858532934131736E-2</v>
      </c>
      <c r="P119" s="108">
        <f>('Modelo AHP'!$U$37*aux!P122)+('Modelo AHP'!$U$38*aux!R122)+('Modelo AHP'!$U$39*aux!S122)</f>
        <v>6.3414910363424068E-3</v>
      </c>
      <c r="Q119" s="110">
        <f>aux!U122</f>
        <v>7.6388308461997571E-3</v>
      </c>
      <c r="R119" s="108">
        <f>('Modelo AHP'!$U$47*aux!V122)+('Modelo AHP'!$U$48*aux!W122)+('Modelo AHP'!$U$49*aux!X122)</f>
        <v>8.3773652894676316E-3</v>
      </c>
      <c r="S119" s="110">
        <f>aux!Z122</f>
        <v>7.6309548483883992E-3</v>
      </c>
      <c r="T119" s="112">
        <f>('Modelo AHP'!$U$56*aux!AA122)+('Modelo AHP'!$U$57*aux!AB122)+('Modelo AHP'!$U$58*aux!AC122)+('Modelo AHP'!$U$59*aux!AD122)</f>
        <v>5.1257831422193995E-3</v>
      </c>
      <c r="U119" s="126">
        <f>('Modelo AHP'!$U$23*aux!AE122)+('Modelo AHP'!$U$24*aux!AF122)+('Modelo AHP'!$U$25*aux!AG122)+('Modelo AHP'!$U$26*aux!AH122)+('Modelo AHP'!$U$27*aux!AI122)</f>
        <v>7.4388403879919514E-3</v>
      </c>
    </row>
    <row r="120" spans="1:21" ht="16.8" thickTop="1" thickBot="1">
      <c r="A120" s="152">
        <f>_xlfn.RANK.EQ(U120,U$2:U$132)</f>
        <v>39</v>
      </c>
      <c r="B120" s="104" t="s">
        <v>139</v>
      </c>
      <c r="C120" s="106" t="s">
        <v>140</v>
      </c>
      <c r="D120" s="194">
        <v>0.10208501578445048</v>
      </c>
      <c r="E120" s="140">
        <v>83.06</v>
      </c>
      <c r="F120" s="156">
        <v>0.48927913068788204</v>
      </c>
      <c r="G120" s="138">
        <v>31368.082104293884</v>
      </c>
      <c r="H120" s="98">
        <v>9.08</v>
      </c>
      <c r="I120" s="167">
        <v>11.26</v>
      </c>
      <c r="J120" s="158">
        <v>5.2258064516129035E-2</v>
      </c>
      <c r="K120" s="165">
        <v>67547.839999999997</v>
      </c>
      <c r="L120" s="262">
        <v>5.5526331170728853E-2</v>
      </c>
      <c r="M120" s="263">
        <v>807</v>
      </c>
      <c r="N120" s="262">
        <v>6.8163566862612823E-2</v>
      </c>
      <c r="O120" s="262">
        <v>5.7821856287425151E-2</v>
      </c>
      <c r="P120" s="108">
        <f>('Modelo AHP'!$U$37*aux!P123)+('Modelo AHP'!$U$38*aux!R123)+('Modelo AHP'!$U$39*aux!S123)</f>
        <v>9.5853348653055989E-3</v>
      </c>
      <c r="Q120" s="110">
        <f>aux!U123</f>
        <v>7.6489526810825416E-3</v>
      </c>
      <c r="R120" s="108">
        <f>('Modelo AHP'!$U$47*aux!V123)+('Modelo AHP'!$U$48*aux!W123)+('Modelo AHP'!$U$49*aux!X123)</f>
        <v>8.9455027542108025E-3</v>
      </c>
      <c r="S120" s="110">
        <f>aux!Z123</f>
        <v>7.653250661630041E-3</v>
      </c>
      <c r="T120" s="112">
        <f>('Modelo AHP'!$U$56*aux!AA123)+('Modelo AHP'!$U$57*aux!AB123)+('Modelo AHP'!$U$58*aux!AC123)+('Modelo AHP'!$U$59*aux!AD123)</f>
        <v>8.4747426652632771E-3</v>
      </c>
      <c r="U120" s="126">
        <f>('Modelo AHP'!$U$23*aux!AE123)+('Modelo AHP'!$U$24*aux!AF123)+('Modelo AHP'!$U$25*aux!AG123)+('Modelo AHP'!$U$26*aux!AH123)+('Modelo AHP'!$U$27*aux!AI123)</f>
        <v>8.4928026261937798E-3</v>
      </c>
    </row>
    <row r="121" spans="1:21" ht="16.8" thickTop="1" thickBot="1">
      <c r="A121" s="152">
        <f>_xlfn.RANK.EQ(U121,U$2:U$132)</f>
        <v>26</v>
      </c>
      <c r="B121" s="104" t="s">
        <v>139</v>
      </c>
      <c r="C121" s="106" t="s">
        <v>141</v>
      </c>
      <c r="D121" s="194">
        <v>7.4376467956604408E-2</v>
      </c>
      <c r="E121" s="140">
        <v>81.489999999999995</v>
      </c>
      <c r="F121" s="156">
        <v>0.65717476270240094</v>
      </c>
      <c r="G121" s="138">
        <v>23534.745027670171</v>
      </c>
      <c r="H121" s="98">
        <v>11.97</v>
      </c>
      <c r="I121" s="167">
        <v>14.41</v>
      </c>
      <c r="J121" s="158">
        <v>5.2258064516129035E-2</v>
      </c>
      <c r="K121" s="165">
        <v>62968.18</v>
      </c>
      <c r="L121" s="262">
        <v>5.5526331170728853E-2</v>
      </c>
      <c r="M121" s="263">
        <v>807</v>
      </c>
      <c r="N121" s="262">
        <v>6.8163566862612823E-2</v>
      </c>
      <c r="O121" s="262">
        <v>5.7821856287425151E-2</v>
      </c>
      <c r="P121" s="108">
        <f>('Modelo AHP'!$U$37*aux!P124)+('Modelo AHP'!$U$38*aux!R124)+('Modelo AHP'!$U$39*aux!S124)</f>
        <v>1.0889906061130071E-2</v>
      </c>
      <c r="Q121" s="110">
        <f>aux!U124</f>
        <v>7.659779432165322E-3</v>
      </c>
      <c r="R121" s="108">
        <f>('Modelo AHP'!$U$47*aux!V124)+('Modelo AHP'!$U$48*aux!W124)+('Modelo AHP'!$U$49*aux!X124)</f>
        <v>1.0599120706282111E-2</v>
      </c>
      <c r="S121" s="110">
        <f>aux!Z124</f>
        <v>7.6558986799991433E-3</v>
      </c>
      <c r="T121" s="112">
        <f>('Modelo AHP'!$U$56*aux!AA124)+('Modelo AHP'!$U$57*aux!AB124)+('Modelo AHP'!$U$58*aux!AC124)+('Modelo AHP'!$U$59*aux!AD124)</f>
        <v>8.4747426652632771E-3</v>
      </c>
      <c r="U121" s="126">
        <f>('Modelo AHP'!$U$23*aux!AE124)+('Modelo AHP'!$U$24*aux!AF124)+('Modelo AHP'!$U$25*aux!AG124)+('Modelo AHP'!$U$26*aux!AH124)+('Modelo AHP'!$U$27*aux!AI124)</f>
        <v>9.2792916280124132E-3</v>
      </c>
    </row>
    <row r="122" spans="1:21" ht="16.8" thickTop="1" thickBot="1">
      <c r="A122" s="152">
        <f>_xlfn.RANK.EQ(U122,U$2:U$132)</f>
        <v>22</v>
      </c>
      <c r="B122" s="104" t="s">
        <v>139</v>
      </c>
      <c r="C122" s="106" t="s">
        <v>142</v>
      </c>
      <c r="D122" s="194">
        <v>0.10711718188353701</v>
      </c>
      <c r="E122" s="140">
        <v>78.36</v>
      </c>
      <c r="F122" s="156">
        <v>0.69253920481546016</v>
      </c>
      <c r="G122" s="138">
        <v>21841.988840086608</v>
      </c>
      <c r="H122" s="98">
        <v>13.07</v>
      </c>
      <c r="I122" s="167">
        <v>15.08</v>
      </c>
      <c r="J122" s="158">
        <v>5.2258064516129035E-2</v>
      </c>
      <c r="K122" s="165">
        <v>46961.13</v>
      </c>
      <c r="L122" s="262">
        <v>5.5526331170728853E-2</v>
      </c>
      <c r="M122" s="263">
        <v>807</v>
      </c>
      <c r="N122" s="262">
        <v>6.8163566862612823E-2</v>
      </c>
      <c r="O122" s="262">
        <v>5.7821856287425151E-2</v>
      </c>
      <c r="P122" s="108">
        <f>('Modelo AHP'!$U$37*aux!P125)+('Modelo AHP'!$U$38*aux!R125)+('Modelo AHP'!$U$39*aux!S125)</f>
        <v>1.2224205991025507E-2</v>
      </c>
      <c r="Q122" s="110">
        <f>aux!U125</f>
        <v>7.6621190544370991E-3</v>
      </c>
      <c r="R122" s="108">
        <f>('Modelo AHP'!$U$47*aux!V125)+('Modelo AHP'!$U$48*aux!W125)+('Modelo AHP'!$U$49*aux!X125)</f>
        <v>1.1034286517579157E-2</v>
      </c>
      <c r="S122" s="110">
        <f>aux!Z125</f>
        <v>7.6651541623788712E-3</v>
      </c>
      <c r="T122" s="112">
        <f>('Modelo AHP'!$U$56*aux!AA125)+('Modelo AHP'!$U$57*aux!AB125)+('Modelo AHP'!$U$58*aux!AC125)+('Modelo AHP'!$U$59*aux!AD125)</f>
        <v>8.4747426652632771E-3</v>
      </c>
      <c r="U122" s="126">
        <f>('Modelo AHP'!$U$23*aux!AE125)+('Modelo AHP'!$U$24*aux!AF125)+('Modelo AHP'!$U$25*aux!AG125)+('Modelo AHP'!$U$26*aux!AH125)+('Modelo AHP'!$U$27*aux!AI125)</f>
        <v>9.6521239245526604E-3</v>
      </c>
    </row>
    <row r="123" spans="1:21" ht="16.8" thickTop="1" thickBot="1">
      <c r="A123" s="152">
        <f>_xlfn.RANK.EQ(U123,U$2:U$132)</f>
        <v>37</v>
      </c>
      <c r="B123" s="104" t="s">
        <v>139</v>
      </c>
      <c r="C123" s="106" t="s">
        <v>143</v>
      </c>
      <c r="D123" s="194">
        <v>5.9568068841639163E-2</v>
      </c>
      <c r="E123" s="140">
        <v>81.45</v>
      </c>
      <c r="F123" s="156">
        <v>0.56915400571845043</v>
      </c>
      <c r="G123" s="138">
        <v>28111.351410726566</v>
      </c>
      <c r="H123" s="98">
        <v>10.07</v>
      </c>
      <c r="I123" s="167">
        <v>11.49</v>
      </c>
      <c r="J123" s="158">
        <v>5.2258064516129035E-2</v>
      </c>
      <c r="K123" s="165">
        <v>73483.649999999994</v>
      </c>
      <c r="L123" s="262">
        <v>5.5526331170728853E-2</v>
      </c>
      <c r="M123" s="263">
        <v>807</v>
      </c>
      <c r="N123" s="262">
        <v>6.8163566862612823E-2</v>
      </c>
      <c r="O123" s="262">
        <v>5.7821856287425151E-2</v>
      </c>
      <c r="P123" s="108">
        <f>('Modelo AHP'!$U$37*aux!P126)+('Modelo AHP'!$U$38*aux!R126)+('Modelo AHP'!$U$39*aux!S126)</f>
        <v>9.4005073718477425E-3</v>
      </c>
      <c r="Q123" s="110">
        <f>aux!U126</f>
        <v>7.6534539315991478E-3</v>
      </c>
      <c r="R123" s="108">
        <f>('Modelo AHP'!$U$47*aux!V126)+('Modelo AHP'!$U$48*aux!W126)+('Modelo AHP'!$U$49*aux!X126)</f>
        <v>9.2001834777182493E-3</v>
      </c>
      <c r="S123" s="110">
        <f>aux!Z126</f>
        <v>7.6498184998722895E-3</v>
      </c>
      <c r="T123" s="112">
        <f>('Modelo AHP'!$U$56*aux!AA126)+('Modelo AHP'!$U$57*aux!AB126)+('Modelo AHP'!$U$58*aux!AC126)+('Modelo AHP'!$U$59*aux!AD126)</f>
        <v>8.4747426652632771E-3</v>
      </c>
      <c r="U123" s="126">
        <f>('Modelo AHP'!$U$23*aux!AE126)+('Modelo AHP'!$U$24*aux!AF126)+('Modelo AHP'!$U$25*aux!AG126)+('Modelo AHP'!$U$26*aux!AH126)+('Modelo AHP'!$U$27*aux!AI126)</f>
        <v>8.5501829097043049E-3</v>
      </c>
    </row>
    <row r="124" spans="1:21" ht="16.8" thickTop="1" thickBot="1">
      <c r="A124" s="152">
        <f>_xlfn.RANK.EQ(U124,U$2:U$132)</f>
        <v>76</v>
      </c>
      <c r="B124" s="104" t="s">
        <v>139</v>
      </c>
      <c r="C124" s="106" t="s">
        <v>144</v>
      </c>
      <c r="D124" s="194">
        <v>2.4366286438529783E-2</v>
      </c>
      <c r="E124" s="140">
        <v>83.81</v>
      </c>
      <c r="F124" s="156">
        <v>0.31627421623338325</v>
      </c>
      <c r="G124" s="138">
        <v>43369.468554283601</v>
      </c>
      <c r="H124" s="98">
        <v>5.98</v>
      </c>
      <c r="I124" s="167">
        <v>7.08</v>
      </c>
      <c r="J124" s="158">
        <v>5.2258064516129035E-2</v>
      </c>
      <c r="K124" s="165">
        <v>80925.23</v>
      </c>
      <c r="L124" s="262">
        <v>5.5526331170728853E-2</v>
      </c>
      <c r="M124" s="263">
        <v>807</v>
      </c>
      <c r="N124" s="262">
        <v>6.8163566862612823E-2</v>
      </c>
      <c r="O124" s="262">
        <v>5.7821856287425151E-2</v>
      </c>
      <c r="P124" s="108">
        <f>('Modelo AHP'!$U$37*aux!P127)+('Modelo AHP'!$U$38*aux!R127)+('Modelo AHP'!$U$39*aux!S127)</f>
        <v>5.3229669942316859E-3</v>
      </c>
      <c r="Q124" s="110">
        <f>aux!U127</f>
        <v>7.6323651115101756E-3</v>
      </c>
      <c r="R124" s="108">
        <f>('Modelo AHP'!$U$47*aux!V127)+('Modelo AHP'!$U$48*aux!W127)+('Modelo AHP'!$U$49*aux!X127)</f>
        <v>6.8775528812096576E-3</v>
      </c>
      <c r="S124" s="110">
        <f>aux!Z127</f>
        <v>7.6455156825157283E-3</v>
      </c>
      <c r="T124" s="112">
        <f>('Modelo AHP'!$U$56*aux!AA127)+('Modelo AHP'!$U$57*aux!AB127)+('Modelo AHP'!$U$58*aux!AC127)+('Modelo AHP'!$U$59*aux!AD127)</f>
        <v>8.4747426652632771E-3</v>
      </c>
      <c r="U124" s="126">
        <f>('Modelo AHP'!$U$23*aux!AE127)+('Modelo AHP'!$U$24*aux!AF127)+('Modelo AHP'!$U$25*aux!AG127)+('Modelo AHP'!$U$26*aux!AH127)+('Modelo AHP'!$U$27*aux!AI127)</f>
        <v>7.0688731620752532E-3</v>
      </c>
    </row>
    <row r="125" spans="1:21" ht="16.8" thickTop="1" thickBot="1">
      <c r="A125" s="152">
        <f t="shared" si="1"/>
        <v>63</v>
      </c>
      <c r="B125" s="104" t="s">
        <v>139</v>
      </c>
      <c r="C125" s="106" t="s">
        <v>145</v>
      </c>
      <c r="D125" s="194">
        <v>9.3962611094085199E-2</v>
      </c>
      <c r="E125" s="140">
        <v>85.24</v>
      </c>
      <c r="F125" s="156">
        <v>0.28790689829650867</v>
      </c>
      <c r="G125" s="138">
        <v>38202.727063900413</v>
      </c>
      <c r="H125" s="98">
        <v>5.6</v>
      </c>
      <c r="I125" s="167">
        <v>7.91</v>
      </c>
      <c r="J125" s="158">
        <v>5.2258064516129035E-2</v>
      </c>
      <c r="K125" s="165">
        <v>59944.22</v>
      </c>
      <c r="L125" s="262">
        <v>5.5526331170728853E-2</v>
      </c>
      <c r="M125" s="263">
        <v>807</v>
      </c>
      <c r="N125" s="262">
        <v>6.8163566862612823E-2</v>
      </c>
      <c r="O125" s="262">
        <v>5.7821856287425151E-2</v>
      </c>
      <c r="P125" s="108">
        <f>('Modelo AHP'!$U$37*aux!P128)+('Modelo AHP'!$U$38*aux!R128)+('Modelo AHP'!$U$39*aux!S128)</f>
        <v>6.8850077681022123E-3</v>
      </c>
      <c r="Q125" s="110">
        <f>aux!U128</f>
        <v>7.6395062601009069E-3</v>
      </c>
      <c r="R125" s="108">
        <f>('Modelo AHP'!$U$47*aux!V128)+('Modelo AHP'!$U$48*aux!W128)+('Modelo AHP'!$U$49*aux!X128)</f>
        <v>7.116997254309464E-3</v>
      </c>
      <c r="S125" s="110">
        <f>aux!Z128</f>
        <v>7.6576471726006535E-3</v>
      </c>
      <c r="T125" s="112">
        <f>('Modelo AHP'!$U$56*aux!AA128)+('Modelo AHP'!$U$57*aux!AB128)+('Modelo AHP'!$U$58*aux!AC128)+('Modelo AHP'!$U$59*aux!AD128)</f>
        <v>8.4747426652632771E-3</v>
      </c>
      <c r="U125" s="126">
        <f>('Modelo AHP'!$U$23*aux!AE128)+('Modelo AHP'!$U$24*aux!AF128)+('Modelo AHP'!$U$25*aux!AG128)+('Modelo AHP'!$U$26*aux!AH128)+('Modelo AHP'!$U$27*aux!AI128)</f>
        <v>7.4145941282091239E-3</v>
      </c>
    </row>
    <row r="126" spans="1:21" ht="16.8" thickTop="1" thickBot="1">
      <c r="A126" s="152">
        <f t="shared" si="1"/>
        <v>38</v>
      </c>
      <c r="B126" s="104" t="s">
        <v>139</v>
      </c>
      <c r="C126" s="106" t="s">
        <v>146</v>
      </c>
      <c r="D126" s="194">
        <v>8.7520600301553342E-2</v>
      </c>
      <c r="E126" s="140">
        <v>83.06</v>
      </c>
      <c r="F126" s="156">
        <v>0.54008532574882229</v>
      </c>
      <c r="G126" s="138">
        <v>31306.00894479451</v>
      </c>
      <c r="H126" s="98">
        <v>8.84</v>
      </c>
      <c r="I126" s="167">
        <v>11.23</v>
      </c>
      <c r="J126" s="158">
        <v>5.2258064516129035E-2</v>
      </c>
      <c r="K126" s="165">
        <v>62705.279999999999</v>
      </c>
      <c r="L126" s="262">
        <v>5.5526331170728853E-2</v>
      </c>
      <c r="M126" s="263">
        <v>807</v>
      </c>
      <c r="N126" s="262">
        <v>6.8163566862612823E-2</v>
      </c>
      <c r="O126" s="262">
        <v>5.7821856287425151E-2</v>
      </c>
      <c r="P126" s="108">
        <f>('Modelo AHP'!$U$37*aux!P129)+('Modelo AHP'!$U$38*aux!R129)+('Modelo AHP'!$U$39*aux!S129)</f>
        <v>9.810380661660633E-3</v>
      </c>
      <c r="Q126" s="110">
        <f>aux!U129</f>
        <v>7.6490384747411383E-3</v>
      </c>
      <c r="R126" s="108">
        <f>('Modelo AHP'!$U$47*aux!V129)+('Modelo AHP'!$U$48*aux!W129)+('Modelo AHP'!$U$49*aux!X129)</f>
        <v>8.8932203552925075E-3</v>
      </c>
      <c r="S126" s="110">
        <f>aux!Z129</f>
        <v>7.6560506921636356E-3</v>
      </c>
      <c r="T126" s="112">
        <f>('Modelo AHP'!$U$56*aux!AA129)+('Modelo AHP'!$U$57*aux!AB129)+('Modelo AHP'!$U$58*aux!AC129)+('Modelo AHP'!$U$59*aux!AD129)</f>
        <v>8.4747426652632771E-3</v>
      </c>
      <c r="U126" s="126">
        <f>('Modelo AHP'!$U$23*aux!AE129)+('Modelo AHP'!$U$24*aux!AF129)+('Modelo AHP'!$U$25*aux!AG129)+('Modelo AHP'!$U$26*aux!AH129)+('Modelo AHP'!$U$27*aux!AI129)</f>
        <v>8.512731247330492E-3</v>
      </c>
    </row>
    <row r="127" spans="1:21" ht="16.8" thickTop="1" thickBot="1">
      <c r="A127" s="152">
        <f t="shared" si="1"/>
        <v>74</v>
      </c>
      <c r="B127" s="104" t="s">
        <v>139</v>
      </c>
      <c r="C127" s="106" t="s">
        <v>331</v>
      </c>
      <c r="D127" s="194">
        <v>3.7210950651191635E-2</v>
      </c>
      <c r="E127" s="140">
        <v>84.45</v>
      </c>
      <c r="F127" s="156">
        <v>0.26099092812281927</v>
      </c>
      <c r="G127" s="138">
        <v>54441.104586305271</v>
      </c>
      <c r="H127" s="98">
        <v>6.23</v>
      </c>
      <c r="I127" s="167">
        <v>7.7</v>
      </c>
      <c r="J127" s="158">
        <v>5.2258064516129035E-2</v>
      </c>
      <c r="K127" s="165">
        <v>119894.91</v>
      </c>
      <c r="L127" s="262">
        <v>5.5526331170728853E-2</v>
      </c>
      <c r="M127" s="263">
        <v>807</v>
      </c>
      <c r="N127" s="262">
        <v>6.8163566862612823E-2</v>
      </c>
      <c r="O127" s="262">
        <v>5.7821856287425151E-2</v>
      </c>
      <c r="P127" s="108">
        <f>('Modelo AHP'!$U$37*aux!P130)+('Modelo AHP'!$U$38*aux!R130)+('Modelo AHP'!$U$39*aux!S130)</f>
        <v>4.9955780998746056E-3</v>
      </c>
      <c r="Q127" s="110">
        <f>aux!U130</f>
        <v>7.617062585112383E-3</v>
      </c>
      <c r="R127" s="108">
        <f>('Modelo AHP'!$U$47*aux!V130)+('Modelo AHP'!$U$48*aux!W130)+('Modelo AHP'!$U$49*aux!X130)</f>
        <v>7.1482073013411848E-3</v>
      </c>
      <c r="S127" s="110">
        <f>aux!Z130</f>
        <v>7.6229829118563217E-3</v>
      </c>
      <c r="T127" s="112">
        <f>('Modelo AHP'!$U$56*aux!AA130)+('Modelo AHP'!$U$57*aux!AB130)+('Modelo AHP'!$U$58*aux!AC130)+('Modelo AHP'!$U$59*aux!AD130)</f>
        <v>8.4747426652632771E-3</v>
      </c>
      <c r="U127" s="126">
        <f>('Modelo AHP'!$U$23*aux!AE130)+('Modelo AHP'!$U$24*aux!AF130)+('Modelo AHP'!$U$25*aux!AG130)+('Modelo AHP'!$U$26*aux!AH130)+('Modelo AHP'!$U$27*aux!AI130)</f>
        <v>7.1000962002226468E-3</v>
      </c>
    </row>
    <row r="128" spans="1:21" ht="16.8" thickTop="1" thickBot="1">
      <c r="A128" s="152">
        <f t="shared" si="1"/>
        <v>122</v>
      </c>
      <c r="B128" s="104" t="s">
        <v>147</v>
      </c>
      <c r="C128" s="106" t="s">
        <v>148</v>
      </c>
      <c r="D128" s="194">
        <v>2.411807055435565E-2</v>
      </c>
      <c r="E128" s="140">
        <v>83.91</v>
      </c>
      <c r="F128" s="156">
        <v>0.20959836623553438</v>
      </c>
      <c r="G128" s="138">
        <v>52281.190739049795</v>
      </c>
      <c r="H128" s="98">
        <v>4.9800000000000004</v>
      </c>
      <c r="I128" s="167">
        <v>6.35</v>
      </c>
      <c r="J128" s="158">
        <v>3.3185413852980898E-2</v>
      </c>
      <c r="K128" s="165">
        <v>88289.33</v>
      </c>
      <c r="L128" s="262">
        <v>9.351803144543808E-3</v>
      </c>
      <c r="M128" s="263">
        <v>73</v>
      </c>
      <c r="N128" s="262">
        <v>8.2554367029648908E-3</v>
      </c>
      <c r="O128" s="262">
        <v>9.2315369261477039E-3</v>
      </c>
      <c r="P128" s="108">
        <f>('Modelo AHP'!$U$37*aux!P131)+('Modelo AHP'!$U$38*aux!R131)+('Modelo AHP'!$U$39*aux!S131)</f>
        <v>4.0038957217425602E-3</v>
      </c>
      <c r="Q128" s="110">
        <f>aux!U131</f>
        <v>7.6200478836327638E-3</v>
      </c>
      <c r="R128" s="108">
        <f>('Modelo AHP'!$U$47*aux!V131)+('Modelo AHP'!$U$48*aux!W131)+('Modelo AHP'!$U$49*aux!X131)</f>
        <v>5.2515749312191584E-3</v>
      </c>
      <c r="S128" s="110">
        <f>aux!Z131</f>
        <v>7.6412576650926201E-3</v>
      </c>
      <c r="T128" s="112">
        <f>('Modelo AHP'!$U$56*aux!AA131)+('Modelo AHP'!$U$57*aux!AB131)+('Modelo AHP'!$U$58*aux!AC131)+('Modelo AHP'!$U$59*aux!AD131)</f>
        <v>1.0202604911229752E-3</v>
      </c>
      <c r="U128" s="126">
        <f>('Modelo AHP'!$U$23*aux!AE131)+('Modelo AHP'!$U$24*aux!AF131)+('Modelo AHP'!$U$25*aux!AG131)+('Modelo AHP'!$U$26*aux!AH131)+('Modelo AHP'!$U$27*aux!AI131)</f>
        <v>5.5909287365566544E-3</v>
      </c>
    </row>
    <row r="129" spans="1:21" ht="16.8" thickTop="1" thickBot="1">
      <c r="A129" s="152">
        <f t="shared" si="1"/>
        <v>60</v>
      </c>
      <c r="B129" s="104" t="s">
        <v>147</v>
      </c>
      <c r="C129" s="106" t="s">
        <v>149</v>
      </c>
      <c r="D129" s="194">
        <v>0.13823857302118173</v>
      </c>
      <c r="E129" s="140">
        <v>81.84</v>
      </c>
      <c r="F129" s="156">
        <v>0.59191176470588236</v>
      </c>
      <c r="G129" s="138">
        <v>24254.314661654134</v>
      </c>
      <c r="H129" s="98">
        <v>7.82</v>
      </c>
      <c r="I129" s="167">
        <v>9.27</v>
      </c>
      <c r="J129" s="158">
        <v>3.3185413852980898E-2</v>
      </c>
      <c r="K129" s="165">
        <v>73598.759999999995</v>
      </c>
      <c r="L129" s="262">
        <v>9.351803144543808E-3</v>
      </c>
      <c r="M129" s="263">
        <v>73</v>
      </c>
      <c r="N129" s="262">
        <v>8.2554367029648908E-3</v>
      </c>
      <c r="O129" s="262">
        <v>9.2315369261477039E-3</v>
      </c>
      <c r="P129" s="108">
        <f>('Modelo AHP'!$U$37*aux!P132)+('Modelo AHP'!$U$38*aux!R132)+('Modelo AHP'!$U$39*aux!S132)</f>
        <v>1.184069948742145E-2</v>
      </c>
      <c r="Q129" s="110">
        <f>aux!U132</f>
        <v>7.6587848877920032E-3</v>
      </c>
      <c r="R129" s="108">
        <f>('Modelo AHP'!$U$47*aux!V132)+('Modelo AHP'!$U$48*aux!W132)+('Modelo AHP'!$U$49*aux!X132)</f>
        <v>6.8121379732428511E-3</v>
      </c>
      <c r="S129" s="110">
        <f>aux!Z132</f>
        <v>7.6497519417883988E-3</v>
      </c>
      <c r="T129" s="112">
        <f>('Modelo AHP'!$U$56*aux!AA132)+('Modelo AHP'!$U$57*aux!AB132)+('Modelo AHP'!$U$58*aux!AC132)+('Modelo AHP'!$U$59*aux!AD132)</f>
        <v>1.0202604911229752E-3</v>
      </c>
      <c r="U129" s="126">
        <f>('Modelo AHP'!$U$23*aux!AE132)+('Modelo AHP'!$U$24*aux!AF132)+('Modelo AHP'!$U$25*aux!AG132)+('Modelo AHP'!$U$26*aux!AH132)+('Modelo AHP'!$U$27*aux!AI132)</f>
        <v>7.4451935098512178E-3</v>
      </c>
    </row>
    <row r="130" spans="1:21" ht="16.8" thickTop="1" thickBot="1">
      <c r="A130" s="152">
        <f t="shared" si="1"/>
        <v>73</v>
      </c>
      <c r="B130" s="104" t="s">
        <v>147</v>
      </c>
      <c r="C130" s="106" t="s">
        <v>150</v>
      </c>
      <c r="D130" s="194">
        <v>0.10169029443838604</v>
      </c>
      <c r="E130" s="140">
        <v>82.96</v>
      </c>
      <c r="F130" s="156">
        <v>0.5049638229850244</v>
      </c>
      <c r="G130" s="138">
        <v>29450.042165929957</v>
      </c>
      <c r="H130" s="98">
        <v>7.55</v>
      </c>
      <c r="I130" s="167">
        <v>10.039999999999999</v>
      </c>
      <c r="J130" s="158">
        <v>3.3185413852980898E-2</v>
      </c>
      <c r="K130" s="165">
        <v>82966.28</v>
      </c>
      <c r="L130" s="262">
        <v>9.351803144543808E-3</v>
      </c>
      <c r="M130" s="263">
        <v>73</v>
      </c>
      <c r="N130" s="262">
        <v>8.2554367029648908E-3</v>
      </c>
      <c r="O130" s="262">
        <v>9.2315369261477039E-3</v>
      </c>
      <c r="P130" s="108">
        <f>('Modelo AHP'!$U$37*aux!P133)+('Modelo AHP'!$U$38*aux!R133)+('Modelo AHP'!$U$39*aux!S133)</f>
        <v>9.7674446094328949E-3</v>
      </c>
      <c r="Q130" s="110">
        <f>aux!U133</f>
        <v>7.6516036765365064E-3</v>
      </c>
      <c r="R130" s="108">
        <f>('Modelo AHP'!$U$47*aux!V133)+('Modelo AHP'!$U$48*aux!W133)+('Modelo AHP'!$U$49*aux!X133)</f>
        <v>7.048463537805319E-3</v>
      </c>
      <c r="S130" s="110">
        <f>aux!Z133</f>
        <v>7.6443355211298913E-3</v>
      </c>
      <c r="T130" s="112">
        <f>('Modelo AHP'!$U$56*aux!AA133)+('Modelo AHP'!$U$57*aux!AB133)+('Modelo AHP'!$U$58*aux!AC133)+('Modelo AHP'!$U$59*aux!AD133)</f>
        <v>1.0202604911229752E-3</v>
      </c>
      <c r="U130" s="126">
        <f>('Modelo AHP'!$U$23*aux!AE133)+('Modelo AHP'!$U$24*aux!AF133)+('Modelo AHP'!$U$25*aux!AG133)+('Modelo AHP'!$U$26*aux!AH133)+('Modelo AHP'!$U$27*aux!AI133)</f>
        <v>7.1772331528521137E-3</v>
      </c>
    </row>
    <row r="131" spans="1:21" ht="16.8" thickTop="1" thickBot="1">
      <c r="A131" s="152">
        <f>_xlfn.RANK.EQ(U131,U$2:U$132)</f>
        <v>103</v>
      </c>
      <c r="B131" s="104" t="s">
        <v>147</v>
      </c>
      <c r="C131" s="106" t="s">
        <v>151</v>
      </c>
      <c r="D131" s="194">
        <v>5.1914893617021278E-2</v>
      </c>
      <c r="E131" s="140">
        <v>83.02</v>
      </c>
      <c r="F131" s="156">
        <v>0.30694143167028198</v>
      </c>
      <c r="G131" s="138">
        <v>40271.041996996995</v>
      </c>
      <c r="H131" s="98">
        <v>5.77</v>
      </c>
      <c r="I131" s="167">
        <v>7.17</v>
      </c>
      <c r="J131" s="158">
        <v>3.3185413852980898E-2</v>
      </c>
      <c r="K131" s="165">
        <v>101313.54</v>
      </c>
      <c r="L131" s="262">
        <v>9.351803144543808E-3</v>
      </c>
      <c r="M131" s="263">
        <v>73</v>
      </c>
      <c r="N131" s="262">
        <v>8.2554367029648908E-3</v>
      </c>
      <c r="O131" s="262">
        <v>9.2315369261477039E-3</v>
      </c>
      <c r="P131" s="108">
        <f>('Modelo AHP'!$U$37*aux!P134)+('Modelo AHP'!$U$38*aux!R134)+('Modelo AHP'!$U$39*aux!S134)</f>
        <v>5.964694972820872E-3</v>
      </c>
      <c r="Q131" s="110">
        <f>aux!U134</f>
        <v>7.6366475638999917E-3</v>
      </c>
      <c r="R131" s="108">
        <f>('Modelo AHP'!$U$47*aux!V134)+('Modelo AHP'!$U$48*aux!W134)+('Modelo AHP'!$U$49*aux!X134)</f>
        <v>5.6885197814434902E-3</v>
      </c>
      <c r="S131" s="110">
        <f>aux!Z134</f>
        <v>7.6337268992010361E-3</v>
      </c>
      <c r="T131" s="112">
        <f>('Modelo AHP'!$U$56*aux!AA134)+('Modelo AHP'!$U$57*aux!AB134)+('Modelo AHP'!$U$58*aux!AC134)+('Modelo AHP'!$U$59*aux!AD134)</f>
        <v>1.0202604911229752E-3</v>
      </c>
      <c r="U131" s="126">
        <f>('Modelo AHP'!$U$23*aux!AE134)+('Modelo AHP'!$U$24*aux!AF134)+('Modelo AHP'!$U$25*aux!AG134)+('Modelo AHP'!$U$26*aux!AH134)+('Modelo AHP'!$U$27*aux!AI134)</f>
        <v>6.0722613347362741E-3</v>
      </c>
    </row>
    <row r="132" spans="1:21" ht="16.2" thickTop="1">
      <c r="A132" s="152">
        <f>_xlfn.RANK.EQ(U132,U$2:U$132)</f>
        <v>130</v>
      </c>
      <c r="B132" s="104" t="s">
        <v>147</v>
      </c>
      <c r="C132" s="106" t="s">
        <v>152</v>
      </c>
      <c r="D132" s="194">
        <v>2.4367509986684421E-2</v>
      </c>
      <c r="E132" s="140">
        <v>84.65</v>
      </c>
      <c r="F132" s="156">
        <v>0.15305913648455086</v>
      </c>
      <c r="G132" s="138">
        <v>65879.163713692949</v>
      </c>
      <c r="H132" s="98">
        <v>4.2</v>
      </c>
      <c r="I132" s="167">
        <v>5.46</v>
      </c>
      <c r="J132" s="158">
        <v>3.3185413852980898E-2</v>
      </c>
      <c r="K132" s="165">
        <v>115899.58</v>
      </c>
      <c r="L132" s="262">
        <v>9.351803144543808E-3</v>
      </c>
      <c r="M132" s="263">
        <v>73</v>
      </c>
      <c r="N132" s="262">
        <v>8.2554367029648908E-3</v>
      </c>
      <c r="O132" s="262">
        <v>9.2315369261477039E-3</v>
      </c>
      <c r="P132" s="108">
        <f>('Modelo AHP'!$U$37*aux!P135)+('Modelo AHP'!$U$38*aux!R135)+('Modelo AHP'!$U$39*aux!S135)</f>
        <v>3.3151886693787809E-3</v>
      </c>
      <c r="Q132" s="110">
        <f>aux!U135</f>
        <v>7.6012536115126249E-3</v>
      </c>
      <c r="R132" s="108">
        <f>('Modelo AHP'!$U$47*aux!V135)+('Modelo AHP'!$U$48*aux!W135)+('Modelo AHP'!$U$49*aux!X135)</f>
        <v>4.790644959056501E-3</v>
      </c>
      <c r="S132" s="110">
        <f>aux!Z135</f>
        <v>7.6252930630969435E-3</v>
      </c>
      <c r="T132" s="112">
        <f>('Modelo AHP'!$U$56*aux!AA135)+('Modelo AHP'!$U$57*aux!AB135)+('Modelo AHP'!$U$58*aux!AC135)+('Modelo AHP'!$U$59*aux!AD135)</f>
        <v>1.0202604911229752E-3</v>
      </c>
      <c r="U132" s="126">
        <f>('Modelo AHP'!$U$23*aux!AE135)+('Modelo AHP'!$U$24*aux!AF135)+('Modelo AHP'!$U$25*aux!AG135)+('Modelo AHP'!$U$26*aux!AH135)+('Modelo AHP'!$U$27*aux!AI135)</f>
        <v>5.3112191137900822E-3</v>
      </c>
    </row>
    <row r="133" spans="1:21">
      <c r="B133" s="84"/>
      <c r="C133" s="84"/>
      <c r="D133" s="84"/>
      <c r="E133" s="84"/>
      <c r="F133" s="84"/>
      <c r="G133" s="84"/>
      <c r="H133" s="84"/>
      <c r="I133" s="84"/>
    </row>
    <row r="153" spans="12:12">
      <c r="L153" s="153"/>
    </row>
    <row r="154" spans="12:12">
      <c r="L154" s="153"/>
    </row>
    <row r="155" spans="12:12">
      <c r="L155" s="153"/>
    </row>
  </sheetData>
  <sheetProtection sort="0" autoFilter="0" pivotTables="0"/>
  <conditionalFormatting sqref="A2:A132">
    <cfRule type="colorScale" priority="45">
      <colorScale>
        <cfvo type="min"/>
        <cfvo type="percentile" val="50"/>
        <cfvo type="max"/>
        <color rgb="FFFF0000"/>
        <color rgb="FFFFEB84"/>
        <color rgb="FF92D050"/>
      </colorScale>
    </cfRule>
  </conditionalFormatting>
  <conditionalFormatting sqref="P2:P128">
    <cfRule type="colorScale" priority="41">
      <colorScale>
        <cfvo type="min"/>
        <cfvo type="percentile" val="50"/>
        <cfvo type="max"/>
        <color rgb="FF63BE7B"/>
        <color rgb="FFFFEB84"/>
        <color rgb="FFFF0000"/>
      </colorScale>
    </cfRule>
  </conditionalFormatting>
  <conditionalFormatting sqref="Q2:Q128">
    <cfRule type="colorScale" priority="40">
      <colorScale>
        <cfvo type="min"/>
        <cfvo type="percentile" val="50"/>
        <cfvo type="max"/>
        <color rgb="FF63BE7B"/>
        <color rgb="FFFFEB84"/>
        <color rgb="FFFF0000"/>
      </colorScale>
    </cfRule>
  </conditionalFormatting>
  <conditionalFormatting sqref="R2:R128">
    <cfRule type="colorScale" priority="39">
      <colorScale>
        <cfvo type="min"/>
        <cfvo type="percentile" val="50"/>
        <cfvo type="max"/>
        <color rgb="FF63BE7B"/>
        <color rgb="FFFFEB84"/>
        <color rgb="FFFF0000"/>
      </colorScale>
    </cfRule>
  </conditionalFormatting>
  <conditionalFormatting sqref="U2:U128">
    <cfRule type="colorScale" priority="26">
      <colorScale>
        <cfvo type="min"/>
        <cfvo type="percentile" val="50"/>
        <cfvo type="max"/>
        <color rgb="FF63BE7B"/>
        <color rgb="FFFFEB84"/>
        <color rgb="FFF8696B"/>
      </colorScale>
    </cfRule>
  </conditionalFormatting>
  <conditionalFormatting sqref="S2:S128">
    <cfRule type="colorScale" priority="10">
      <colorScale>
        <cfvo type="min"/>
        <cfvo type="percentile" val="50"/>
        <cfvo type="max"/>
        <color rgb="FF63BE7B"/>
        <color rgb="FFFFEB84"/>
        <color rgb="FFF8696B"/>
      </colorScale>
    </cfRule>
  </conditionalFormatting>
  <conditionalFormatting sqref="T101:T128">
    <cfRule type="colorScale" priority="9">
      <colorScale>
        <cfvo type="min"/>
        <cfvo type="percentile" val="50"/>
        <cfvo type="max"/>
        <color rgb="FF63BE7B"/>
        <color rgb="FFFFEB84"/>
        <color rgb="FFF8696B"/>
      </colorScale>
    </cfRule>
  </conditionalFormatting>
  <conditionalFormatting sqref="P129:P132">
    <cfRule type="colorScale" priority="6">
      <colorScale>
        <cfvo type="min"/>
        <cfvo type="percentile" val="50"/>
        <cfvo type="max"/>
        <color rgb="FF63BE7B"/>
        <color rgb="FFFFEB84"/>
        <color rgb="FFFF0000"/>
      </colorScale>
    </cfRule>
  </conditionalFormatting>
  <conditionalFormatting sqref="Q129:Q132">
    <cfRule type="colorScale" priority="5">
      <colorScale>
        <cfvo type="min"/>
        <cfvo type="percentile" val="50"/>
        <cfvo type="max"/>
        <color rgb="FF63BE7B"/>
        <color rgb="FFFFEB84"/>
        <color rgb="FFFF0000"/>
      </colorScale>
    </cfRule>
  </conditionalFormatting>
  <conditionalFormatting sqref="R129:R132">
    <cfRule type="colorScale" priority="4">
      <colorScale>
        <cfvo type="min"/>
        <cfvo type="percentile" val="50"/>
        <cfvo type="max"/>
        <color rgb="FF63BE7B"/>
        <color rgb="FFFFEB84"/>
        <color rgb="FFFF0000"/>
      </colorScale>
    </cfRule>
  </conditionalFormatting>
  <conditionalFormatting sqref="U129:U132">
    <cfRule type="colorScale" priority="3">
      <colorScale>
        <cfvo type="min"/>
        <cfvo type="percentile" val="50"/>
        <cfvo type="max"/>
        <color rgb="FF63BE7B"/>
        <color rgb="FFFFEB84"/>
        <color rgb="FFF8696B"/>
      </colorScale>
    </cfRule>
  </conditionalFormatting>
  <conditionalFormatting sqref="S129:S132">
    <cfRule type="colorScale" priority="2">
      <colorScale>
        <cfvo type="min"/>
        <cfvo type="percentile" val="50"/>
        <cfvo type="max"/>
        <color rgb="FF63BE7B"/>
        <color rgb="FFFFEB84"/>
        <color rgb="FFF8696B"/>
      </colorScale>
    </cfRule>
  </conditionalFormatting>
  <conditionalFormatting sqref="T129:T132">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B1:D25"/>
  <sheetViews>
    <sheetView showGridLines="0" zoomScale="80" zoomScaleNormal="80" workbookViewId="0">
      <selection sqref="A1:XFD2"/>
    </sheetView>
  </sheetViews>
  <sheetFormatPr defaultColWidth="11.19921875" defaultRowHeight="15.6"/>
  <cols>
    <col min="2" max="2" width="15.5" customWidth="1"/>
    <col min="3" max="3" width="26.3984375" customWidth="1"/>
    <col min="4" max="4" width="12.3984375" customWidth="1"/>
  </cols>
  <sheetData>
    <row r="1" spans="2:4" ht="18" customHeight="1"/>
    <row r="2" spans="2:4" ht="52.5" customHeight="1" thickBot="1"/>
    <row r="3" spans="2:4" ht="94.5" customHeight="1" thickTop="1" thickBot="1">
      <c r="B3" s="149" t="s">
        <v>336</v>
      </c>
      <c r="C3" s="247" t="s">
        <v>237</v>
      </c>
      <c r="D3" s="149" t="s">
        <v>0</v>
      </c>
    </row>
    <row r="4" spans="2:4" ht="16.2" thickTop="1">
      <c r="B4" s="248">
        <f t="shared" ref="B4:B24" ca="1" si="0">_xlfn.RANK.EQ(D4,D$4:D$24)</f>
        <v>1</v>
      </c>
      <c r="C4" s="245" t="s">
        <v>99</v>
      </c>
      <c r="D4" s="249">
        <f ca="1">AVERAGEIF('Índices y Ranking Barrio'!$B$2:$B$132,CONCATENATE("=",OFFSET($C4,0,0)),'Índices y Ranking Barrio'!U$2:U$132)</f>
        <v>1.1247450822838076E-2</v>
      </c>
    </row>
    <row r="5" spans="2:4">
      <c r="B5" s="248">
        <f t="shared" ca="1" si="0"/>
        <v>2</v>
      </c>
      <c r="C5" s="246" t="s">
        <v>129</v>
      </c>
      <c r="D5" s="249">
        <f ca="1">AVERAGEIF('Índices y Ranking Barrio'!$B$2:$B$132,CONCATENATE("=",OFFSET($C5,0,0)),'Índices y Ranking Barrio'!U$2:U$132)</f>
        <v>1.0083826396309937E-2</v>
      </c>
    </row>
    <row r="6" spans="2:4">
      <c r="B6" s="248">
        <f t="shared" ca="1" si="0"/>
        <v>3</v>
      </c>
      <c r="C6" s="246" t="s">
        <v>92</v>
      </c>
      <c r="D6" s="249">
        <f ca="1">AVERAGEIF('Índices y Ranking Barrio'!$B$2:$B$132,CONCATENATE("=",OFFSET($C6,0,0)),'Índices y Ranking Barrio'!U$2:U$132)</f>
        <v>9.8920364503410456E-3</v>
      </c>
    </row>
    <row r="7" spans="2:4">
      <c r="B7" s="248">
        <f t="shared" ca="1" si="0"/>
        <v>4</v>
      </c>
      <c r="C7" s="246" t="s">
        <v>84</v>
      </c>
      <c r="D7" s="249">
        <f ca="1">AVERAGEIF('Índices y Ranking Barrio'!$B$2:$B$132,CONCATENATE("=",OFFSET($C7,0,0)),'Índices y Ranking Barrio'!U$2:U$132)</f>
        <v>9.7740245245326405E-3</v>
      </c>
    </row>
    <row r="8" spans="2:4">
      <c r="B8" s="248">
        <f t="shared" ca="1" si="0"/>
        <v>5</v>
      </c>
      <c r="C8" s="246" t="s">
        <v>78</v>
      </c>
      <c r="D8" s="249">
        <f ca="1">AVERAGEIF('Índices y Ranking Barrio'!$B$2:$B$132,CONCATENATE("=",OFFSET($C8,0,0)),'Índices y Ranking Barrio'!U$2:U$132)</f>
        <v>8.8387286891274293E-3</v>
      </c>
    </row>
    <row r="9" spans="2:4">
      <c r="B9" s="248">
        <f t="shared" ca="1" si="0"/>
        <v>6</v>
      </c>
      <c r="C9" s="246" t="s">
        <v>134</v>
      </c>
      <c r="D9" s="249">
        <f ca="1">AVERAGEIF('Índices y Ranking Barrio'!$B$2:$B$132,CONCATENATE("=",OFFSET($C9,0,0)),'Índices y Ranking Barrio'!U$2:U$132)</f>
        <v>8.4866706426724552E-3</v>
      </c>
    </row>
    <row r="10" spans="2:4">
      <c r="B10" s="248">
        <f t="shared" ca="1" si="0"/>
        <v>7</v>
      </c>
      <c r="C10" s="246" t="s">
        <v>139</v>
      </c>
      <c r="D10" s="249">
        <f ca="1">AVERAGEIF('Índices y Ranking Barrio'!$B$2:$B$132,CONCATENATE("=",OFFSET($C10,0,0)),'Índices y Ranking Barrio'!U$2:U$132)</f>
        <v>8.2588369782875849E-3</v>
      </c>
    </row>
    <row r="11" spans="2:4">
      <c r="B11" s="248">
        <f t="shared" ca="1" si="0"/>
        <v>8</v>
      </c>
      <c r="C11" s="246" t="s">
        <v>48</v>
      </c>
      <c r="D11" s="249">
        <f ca="1">AVERAGEIF('Índices y Ranking Barrio'!$B$2:$B$132,CONCATENATE("=",OFFSET($C11,0,0)),'Índices y Ranking Barrio'!U$2:U$132)</f>
        <v>8.0224317969211246E-3</v>
      </c>
    </row>
    <row r="12" spans="2:4">
      <c r="B12" s="248">
        <f t="shared" ca="1" si="0"/>
        <v>9</v>
      </c>
      <c r="C12" s="246" t="s">
        <v>106</v>
      </c>
      <c r="D12" s="249">
        <f ca="1">AVERAGEIF('Índices y Ranking Barrio'!$B$2:$B$132,CONCATENATE("=",OFFSET($C12,0,0)),'Índices y Ranking Barrio'!U$2:U$132)</f>
        <v>7.8246460928646892E-3</v>
      </c>
    </row>
    <row r="13" spans="2:4">
      <c r="B13" s="248">
        <f t="shared" ca="1" si="0"/>
        <v>10</v>
      </c>
      <c r="C13" s="246" t="s">
        <v>137</v>
      </c>
      <c r="D13" s="249">
        <f ca="1">AVERAGEIF('Índices y Ranking Barrio'!$B$2:$B$132,CONCATENATE("=",OFFSET($C13,0,0)),'Índices y Ranking Barrio'!U$2:U$132)</f>
        <v>7.7312457368256971E-3</v>
      </c>
    </row>
    <row r="14" spans="2:4">
      <c r="B14" s="248">
        <f t="shared" ca="1" si="0"/>
        <v>11</v>
      </c>
      <c r="C14" s="246" t="s">
        <v>17</v>
      </c>
      <c r="D14" s="249">
        <f ca="1">AVERAGEIF('Índices y Ranking Barrio'!$B$2:$B$132,CONCATENATE("=",OFFSET($C14,0,0)),'Índices y Ranking Barrio'!U$2:U$132)</f>
        <v>7.5902988585447029E-3</v>
      </c>
    </row>
    <row r="15" spans="2:4">
      <c r="B15" s="248">
        <f t="shared" ca="1" si="0"/>
        <v>12</v>
      </c>
      <c r="C15" s="246" t="s">
        <v>113</v>
      </c>
      <c r="D15" s="249">
        <f ca="1">AVERAGEIF('Índices y Ranking Barrio'!$B$2:$B$132,CONCATENATE("=",OFFSET($C15,0,0)),'Índices y Ranking Barrio'!U$2:U$132)</f>
        <v>7.3916169275684051E-3</v>
      </c>
    </row>
    <row r="16" spans="2:4">
      <c r="B16" s="248">
        <f t="shared" ca="1" si="0"/>
        <v>13</v>
      </c>
      <c r="C16" s="246" t="s">
        <v>24</v>
      </c>
      <c r="D16" s="249">
        <f ca="1">AVERAGEIF('Índices y Ranking Barrio'!$B$2:$B$132,CONCATENATE("=",OFFSET($C16,0,0)),'Índices y Ranking Barrio'!U$2:U$132)</f>
        <v>6.6563968887155406E-3</v>
      </c>
    </row>
    <row r="17" spans="2:4">
      <c r="B17" s="248">
        <f t="shared" ca="1" si="0"/>
        <v>14</v>
      </c>
      <c r="C17" s="246" t="s">
        <v>122</v>
      </c>
      <c r="D17" s="249">
        <f ca="1">AVERAGEIF('Índices y Ranking Barrio'!$B$2:$B$132,CONCATENATE("=",OFFSET($C17,0,0)),'Índices y Ranking Barrio'!U$2:U$132)</f>
        <v>6.6335065039398004E-3</v>
      </c>
    </row>
    <row r="18" spans="2:4">
      <c r="B18" s="248">
        <f t="shared" ca="1" si="0"/>
        <v>15</v>
      </c>
      <c r="C18" s="246" t="s">
        <v>62</v>
      </c>
      <c r="D18" s="249">
        <f ca="1">AVERAGEIF('Índices y Ranking Barrio'!$B$2:$B$132,CONCATENATE("=",OFFSET($C18,0,0)),'Índices y Ranking Barrio'!U$2:U$132)</f>
        <v>6.4922996721555552E-3</v>
      </c>
    </row>
    <row r="19" spans="2:4">
      <c r="B19" s="248">
        <f t="shared" ca="1" si="0"/>
        <v>16</v>
      </c>
      <c r="C19" s="246" t="s">
        <v>147</v>
      </c>
      <c r="D19" s="249">
        <f ca="1">AVERAGEIF('Índices y Ranking Barrio'!$B$2:$B$132,CONCATENATE("=",OFFSET($C19,0,0)),'Índices y Ranking Barrio'!U$2:U$132)</f>
        <v>6.3193671695572677E-3</v>
      </c>
    </row>
    <row r="20" spans="2:4">
      <c r="B20" s="248">
        <f t="shared" ca="1" si="0"/>
        <v>17</v>
      </c>
      <c r="C20" s="246" t="s">
        <v>55</v>
      </c>
      <c r="D20" s="249">
        <f ca="1">AVERAGEIF('Índices y Ranking Barrio'!$B$2:$B$132,CONCATENATE("=",OFFSET($C20,0,0)),'Índices y Ranking Barrio'!U$2:U$132)</f>
        <v>6.0264491792386436E-3</v>
      </c>
    </row>
    <row r="21" spans="2:4">
      <c r="B21" s="248">
        <f t="shared" ca="1" si="0"/>
        <v>18</v>
      </c>
      <c r="C21" s="246" t="s">
        <v>70</v>
      </c>
      <c r="D21" s="249">
        <f ca="1">AVERAGEIF('Índices y Ranking Barrio'!$B$2:$B$132,CONCATENATE("=",OFFSET($C21,0,0)),'Índices y Ranking Barrio'!U$2:U$132)</f>
        <v>5.9606619217806049E-3</v>
      </c>
    </row>
    <row r="22" spans="2:4">
      <c r="B22" s="248">
        <f t="shared" ca="1" si="0"/>
        <v>19</v>
      </c>
      <c r="C22" s="246" t="s">
        <v>34</v>
      </c>
      <c r="D22" s="249">
        <f ca="1">AVERAGEIF('Índices y Ranking Barrio'!$B$2:$B$132,CONCATENATE("=",OFFSET($C22,0,0)),'Índices y Ranking Barrio'!U$2:U$132)</f>
        <v>5.9083469518467482E-3</v>
      </c>
    </row>
    <row r="23" spans="2:4">
      <c r="B23" s="248">
        <f t="shared" ca="1" si="0"/>
        <v>20</v>
      </c>
      <c r="C23" s="246" t="s">
        <v>29</v>
      </c>
      <c r="D23" s="249">
        <f ca="1">AVERAGEIF('Índices y Ranking Barrio'!$B$2:$B$132,CONCATENATE("=",OFFSET($C23,0,0)),'Índices y Ranking Barrio'!U$2:U$132)</f>
        <v>5.8545456724830441E-3</v>
      </c>
    </row>
    <row r="24" spans="2:4">
      <c r="B24" s="248">
        <f t="shared" ca="1" si="0"/>
        <v>21</v>
      </c>
      <c r="C24" s="246" t="s">
        <v>41</v>
      </c>
      <c r="D24" s="249">
        <f ca="1">AVERAGEIF('Índices y Ranking Barrio'!$B$2:$B$132,CONCATENATE("=",OFFSET($C24,0,0)),'Índices y Ranking Barrio'!U$2:U$132)</f>
        <v>5.7610661916902284E-3</v>
      </c>
    </row>
    <row r="25" spans="2:4" ht="13.5" customHeight="1"/>
  </sheetData>
  <autoFilter ref="B3:D3" xr:uid="{00000000-0009-0000-0000-000003000000}">
    <sortState xmlns:xlrd2="http://schemas.microsoft.com/office/spreadsheetml/2017/richdata2" ref="B5:AP25">
      <sortCondition ref="B4"/>
    </sortState>
  </autoFilter>
  <conditionalFormatting sqref="D4:D24">
    <cfRule type="colorScale" priority="7">
      <colorScale>
        <cfvo type="min"/>
        <cfvo type="percentile" val="50"/>
        <cfvo type="max"/>
        <color rgb="FF63BE7B"/>
        <color rgb="FFFFEB84"/>
        <color rgb="FFF8696B"/>
      </colorScale>
    </cfRule>
  </conditionalFormatting>
  <conditionalFormatting sqref="B4:B24">
    <cfRule type="colorScale" priority="6">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AJ135"/>
  <sheetViews>
    <sheetView showGridLines="0" zoomScale="80" zoomScaleNormal="80" workbookViewId="0">
      <pane xSplit="3" ySplit="4" topLeftCell="D5" activePane="bottomRight" state="frozen"/>
      <selection pane="topRight" activeCell="D1" sqref="D1"/>
      <selection pane="bottomLeft" activeCell="A5" sqref="A5"/>
      <selection pane="bottomRight" activeCell="P1" sqref="P1:AD1048576"/>
    </sheetView>
  </sheetViews>
  <sheetFormatPr defaultColWidth="11.19921875" defaultRowHeight="15.6"/>
  <cols>
    <col min="1" max="1" width="13.69921875" customWidth="1"/>
    <col min="2" max="2" width="20" bestFit="1" customWidth="1"/>
    <col min="3" max="3" width="29.19921875" bestFit="1" customWidth="1"/>
    <col min="4" max="4" width="13.19921875" customWidth="1"/>
    <col min="7" max="7" width="12.69921875" customWidth="1"/>
    <col min="11" max="11" width="12.69921875" bestFit="1" customWidth="1"/>
    <col min="12" max="12" width="13.69921875" customWidth="1"/>
    <col min="13" max="14" width="12.19921875" customWidth="1"/>
    <col min="15" max="15" width="13.69921875" customWidth="1"/>
    <col min="16" max="16" width="15.69921875" customWidth="1"/>
    <col min="17" max="26" width="10.69921875" customWidth="1"/>
    <col min="27" max="27" width="13.69921875" customWidth="1"/>
    <col min="28" max="28" width="10.69921875" customWidth="1"/>
    <col min="29" max="29" width="13.19921875" customWidth="1"/>
    <col min="30" max="30" width="14.69921875" bestFit="1" customWidth="1"/>
    <col min="32" max="32" width="13.09765625" customWidth="1"/>
    <col min="33" max="33" width="12" bestFit="1" customWidth="1"/>
    <col min="35" max="36" width="14.5" customWidth="1"/>
  </cols>
  <sheetData>
    <row r="1" spans="1:36">
      <c r="A1" t="s">
        <v>270</v>
      </c>
      <c r="B1" s="177">
        <f>SUM(Tabla2[[Tasa Inmigrantes]:[Tasa Teleasistencia Dependencia]])</f>
        <v>18988853.827968359</v>
      </c>
      <c r="C1" s="195">
        <f>SUM(D5:O135)</f>
        <v>18988853.827968359</v>
      </c>
      <c r="D1" s="195">
        <f>B1-C1</f>
        <v>0</v>
      </c>
      <c r="P1" s="22">
        <f>SUM(D5:D135)</f>
        <v>10.925091221734977</v>
      </c>
      <c r="Q1" s="22">
        <f>SUM(E5:E135)</f>
        <v>10872.980000000001</v>
      </c>
      <c r="R1" s="22">
        <f>SUM(Q5:Q135)</f>
        <v>129.99999999999994</v>
      </c>
      <c r="S1" s="22">
        <f>SUM(F5:F135)</f>
        <v>48.775458160685254</v>
      </c>
      <c r="T1" s="22">
        <f>SUM(G5:G135)</f>
        <v>5565514.3994940165</v>
      </c>
      <c r="U1" s="22">
        <f>SUM(T5:T135)</f>
        <v>130</v>
      </c>
      <c r="V1" s="22">
        <f>SUM(H5:H135)</f>
        <v>984.05000000000007</v>
      </c>
      <c r="W1" s="22">
        <f>SUM(I5:I135)</f>
        <v>1207.57</v>
      </c>
      <c r="X1" s="22">
        <f>SUM(J5:J135)</f>
        <v>6.229641260102218</v>
      </c>
      <c r="Y1" s="22">
        <f>SUM(K5:K135)</f>
        <v>13303591.189999998</v>
      </c>
      <c r="Z1" s="22">
        <f>SUM(Y5:Y135)</f>
        <v>130</v>
      </c>
      <c r="AA1" s="22">
        <f>SUM(L5:L135)</f>
        <v>6.5467882401075528</v>
      </c>
      <c r="AB1" s="22">
        <f>SUM(M5:M135)</f>
        <v>106598</v>
      </c>
      <c r="AC1" s="22">
        <f>SUM(N5:N135)</f>
        <v>6.5897015836304682</v>
      </c>
      <c r="AD1" s="22">
        <f>SUM(O5:O135)</f>
        <v>6.5717939121756563</v>
      </c>
    </row>
    <row r="2" spans="1:36" ht="16.2" thickBot="1">
      <c r="B2" s="177" t="s">
        <v>271</v>
      </c>
      <c r="C2" s="177" t="s">
        <v>272</v>
      </c>
      <c r="D2" s="177"/>
      <c r="P2" s="322" t="s">
        <v>159</v>
      </c>
      <c r="Q2" s="323"/>
      <c r="R2" s="323"/>
      <c r="S2" s="323"/>
      <c r="T2" s="323"/>
      <c r="U2" s="323"/>
      <c r="V2" s="323"/>
      <c r="W2" s="323"/>
      <c r="X2" s="323"/>
      <c r="Y2" s="323"/>
      <c r="Z2" s="323"/>
      <c r="AA2" s="323"/>
      <c r="AB2" s="323"/>
      <c r="AC2" s="323"/>
      <c r="AD2" s="323"/>
    </row>
    <row r="3" spans="1:36" ht="30" customHeight="1" thickTop="1" thickBot="1">
      <c r="D3" s="319" t="s">
        <v>2</v>
      </c>
      <c r="E3" s="320"/>
      <c r="F3" s="321"/>
      <c r="G3" s="122" t="s">
        <v>208</v>
      </c>
      <c r="H3" s="319" t="s">
        <v>4</v>
      </c>
      <c r="I3" s="320"/>
      <c r="J3" s="321"/>
      <c r="K3" s="121" t="s">
        <v>217</v>
      </c>
      <c r="L3" s="319" t="s">
        <v>220</v>
      </c>
      <c r="M3" s="320"/>
      <c r="N3" s="320"/>
      <c r="O3" s="321"/>
      <c r="P3" s="319" t="s">
        <v>2</v>
      </c>
      <c r="Q3" s="320"/>
      <c r="R3" s="320"/>
      <c r="S3" s="321"/>
      <c r="T3" s="319" t="s">
        <v>208</v>
      </c>
      <c r="U3" s="321"/>
      <c r="V3" s="319" t="s">
        <v>4</v>
      </c>
      <c r="W3" s="320"/>
      <c r="X3" s="321"/>
      <c r="Y3" s="319" t="s">
        <v>217</v>
      </c>
      <c r="Z3" s="321"/>
      <c r="AA3" s="319" t="s">
        <v>220</v>
      </c>
      <c r="AB3" s="320"/>
      <c r="AC3" s="320"/>
      <c r="AD3" s="321"/>
    </row>
    <row r="4" spans="1:36" s="123" customFormat="1" ht="42.6" thickTop="1" thickBot="1">
      <c r="A4" s="251" t="s">
        <v>161</v>
      </c>
      <c r="B4" s="252" t="s">
        <v>15</v>
      </c>
      <c r="C4" s="253" t="s">
        <v>16</v>
      </c>
      <c r="D4" s="254" t="s">
        <v>13</v>
      </c>
      <c r="E4" s="254" t="s">
        <v>14</v>
      </c>
      <c r="F4" s="254" t="s">
        <v>238</v>
      </c>
      <c r="G4" s="255" t="s">
        <v>210</v>
      </c>
      <c r="H4" s="254" t="s">
        <v>153</v>
      </c>
      <c r="I4" s="254" t="s">
        <v>254</v>
      </c>
      <c r="J4" s="254" t="s">
        <v>239</v>
      </c>
      <c r="K4" s="256" t="s">
        <v>257</v>
      </c>
      <c r="L4" s="254" t="s">
        <v>207</v>
      </c>
      <c r="M4" s="254" t="s">
        <v>209</v>
      </c>
      <c r="N4" s="254" t="s">
        <v>226</v>
      </c>
      <c r="O4" s="254" t="s">
        <v>227</v>
      </c>
      <c r="P4" s="254" t="s">
        <v>13</v>
      </c>
      <c r="Q4" s="254" t="s">
        <v>14</v>
      </c>
      <c r="R4" s="254" t="s">
        <v>160</v>
      </c>
      <c r="S4" s="254" t="s">
        <v>238</v>
      </c>
      <c r="T4" s="255" t="s">
        <v>210</v>
      </c>
      <c r="U4" s="255" t="s">
        <v>211</v>
      </c>
      <c r="V4" s="254" t="s">
        <v>153</v>
      </c>
      <c r="W4" s="254" t="s">
        <v>228</v>
      </c>
      <c r="X4" s="254" t="s">
        <v>239</v>
      </c>
      <c r="Y4" s="256" t="s">
        <v>257</v>
      </c>
      <c r="Z4" s="256" t="s">
        <v>258</v>
      </c>
      <c r="AA4" s="257" t="s">
        <v>207</v>
      </c>
      <c r="AB4" s="257" t="s">
        <v>209</v>
      </c>
      <c r="AC4" s="254" t="s">
        <v>226</v>
      </c>
      <c r="AD4" s="254" t="s">
        <v>227</v>
      </c>
      <c r="AE4" s="258" t="s">
        <v>2</v>
      </c>
      <c r="AF4" s="259" t="s">
        <v>3</v>
      </c>
      <c r="AG4" s="260" t="s">
        <v>4</v>
      </c>
      <c r="AH4" s="259" t="s">
        <v>217</v>
      </c>
      <c r="AI4" s="260" t="s">
        <v>220</v>
      </c>
      <c r="AJ4" s="261" t="s">
        <v>0</v>
      </c>
    </row>
    <row r="5" spans="1:36" ht="16.2" thickTop="1">
      <c r="A5" s="1">
        <f>_xlfn.RANK.EQ(AJ5,AJ$5:AJ$135)</f>
        <v>58</v>
      </c>
      <c r="B5" s="16" t="s">
        <v>17</v>
      </c>
      <c r="C5" s="17" t="s">
        <v>18</v>
      </c>
      <c r="D5" s="143">
        <v>7.7237397290695092E-2</v>
      </c>
      <c r="E5" s="18">
        <v>79.53</v>
      </c>
      <c r="F5" s="143">
        <v>0.26652407532995981</v>
      </c>
      <c r="G5" s="159">
        <v>34675.847913459736</v>
      </c>
      <c r="H5" s="146">
        <v>8.2100000000000009</v>
      </c>
      <c r="I5" s="146">
        <v>10.76</v>
      </c>
      <c r="J5" s="143">
        <v>4.7497384726804537E-2</v>
      </c>
      <c r="K5" s="161">
        <v>124121.57</v>
      </c>
      <c r="L5" s="143">
        <v>3.4718569174118884E-2</v>
      </c>
      <c r="M5" s="265">
        <v>897</v>
      </c>
      <c r="N5" s="143">
        <v>2.8845844977674985E-2</v>
      </c>
      <c r="O5" s="143">
        <v>2.7632235528942117E-2</v>
      </c>
      <c r="P5" s="23">
        <f>D5/$P$1</f>
        <v>7.069725618128915E-3</v>
      </c>
      <c r="Q5" s="23">
        <f>1-(E5/Q$1)</f>
        <v>0.99268553791140979</v>
      </c>
      <c r="R5" s="23">
        <f>Q5/R$1</f>
        <v>7.6360425993185401E-3</v>
      </c>
      <c r="S5" s="23">
        <f>F5/S$1</f>
        <v>5.4643069564190719E-3</v>
      </c>
      <c r="T5" s="23">
        <f>1-(G5/T$1)</f>
        <v>0.99376951609062192</v>
      </c>
      <c r="U5" s="97">
        <f>T5/U$1</f>
        <v>7.6443808930047839E-3</v>
      </c>
      <c r="V5" s="23">
        <f>H5/V$1</f>
        <v>8.3430719983740662E-3</v>
      </c>
      <c r="W5" s="23">
        <f>I5/W$1</f>
        <v>8.910456536681103E-3</v>
      </c>
      <c r="X5" s="23">
        <f>J5/X$1</f>
        <v>7.624417320946212E-3</v>
      </c>
      <c r="Y5" s="23">
        <f>1-(K5/Y$1)</f>
        <v>0.99067007034211185</v>
      </c>
      <c r="Z5" s="97">
        <f>Y5/Z$1</f>
        <v>7.6205390026316292E-3</v>
      </c>
      <c r="AA5" s="23">
        <f>L5/$AA$1</f>
        <v>5.3031452829683271E-3</v>
      </c>
      <c r="AB5" s="23">
        <f>M5/AB$1</f>
        <v>8.4147920223643976E-3</v>
      </c>
      <c r="AC5" s="23">
        <f>N5/AC$1</f>
        <v>4.377412939203679E-3</v>
      </c>
      <c r="AD5" s="23">
        <f>O5/AD$1</f>
        <v>4.2046716464658879E-3</v>
      </c>
      <c r="AE5" s="24">
        <f>('Modelo AHP'!$U$37*aux!P5)+('Modelo AHP'!$U$38*aux!R5)+('Modelo AHP'!$U$39*aux!S5)</f>
        <v>6.1631061192219715E-3</v>
      </c>
      <c r="AF5" s="25">
        <f>aux!U5</f>
        <v>7.6443808930047839E-3</v>
      </c>
      <c r="AG5" s="24">
        <f>('Modelo AHP'!$U$47*aux!V5)+('Modelo AHP'!$U$48*aux!W5)+('Modelo AHP'!$U$49*aux!X5)</f>
        <v>8.316280832178103E-3</v>
      </c>
      <c r="AH5" s="25">
        <f>Z5</f>
        <v>7.6205390026316292E-3</v>
      </c>
      <c r="AI5" s="24">
        <f>('Modelo AHP'!$U$56*aux!AA5)+('Modelo AHP'!$U$57*aux!AB5)+('Modelo AHP'!$U$58*aux!AC5)+('Modelo AHP'!$U$59*aux!AD5)</f>
        <v>6.5016404598339274E-3</v>
      </c>
      <c r="AJ5" s="26">
        <f>('Modelo AHP'!$U$23*aux!AE5)+('Modelo AHP'!$U$24*aux!AF5)+('Modelo AHP'!$U$25*aux!AG5)+('Modelo AHP'!$U$26*aux!AH5)+('Modelo AHP'!$U$27*aux!AI5)</f>
        <v>7.5180102743885218E-3</v>
      </c>
    </row>
    <row r="6" spans="1:36">
      <c r="A6" s="1">
        <f>_xlfn.RANK.EQ(AJ6,AJ$5:AJ$135)</f>
        <v>44</v>
      </c>
      <c r="B6" s="16" t="s">
        <v>17</v>
      </c>
      <c r="C6" s="17" t="s">
        <v>19</v>
      </c>
      <c r="D6" s="143">
        <v>0.1636343266860856</v>
      </c>
      <c r="E6" s="18">
        <v>82.04</v>
      </c>
      <c r="F6" s="143">
        <v>0.35072716235120227</v>
      </c>
      <c r="G6" s="159">
        <v>25999.832743082243</v>
      </c>
      <c r="H6" s="146">
        <v>8.94</v>
      </c>
      <c r="I6" s="146">
        <v>11.99</v>
      </c>
      <c r="J6" s="143">
        <v>4.7497384726804537E-2</v>
      </c>
      <c r="K6" s="161">
        <v>86821.52</v>
      </c>
      <c r="L6" s="143">
        <v>3.4718569174118884E-2</v>
      </c>
      <c r="M6" s="265">
        <v>897</v>
      </c>
      <c r="N6" s="143">
        <v>2.8845844977674985E-2</v>
      </c>
      <c r="O6" s="143">
        <v>2.7632235528942117E-2</v>
      </c>
      <c r="P6" s="23">
        <f>D6/$P$1</f>
        <v>1.4977845343802939E-2</v>
      </c>
      <c r="Q6" s="23">
        <f>1-(E6/Q$1)</f>
        <v>0.99245469043445311</v>
      </c>
      <c r="R6" s="23">
        <f>Q6/R$1</f>
        <v>7.6342668494957964E-3</v>
      </c>
      <c r="S6" s="23">
        <f>F6/S$1</f>
        <v>7.1906482394439256E-3</v>
      </c>
      <c r="T6" s="23">
        <f>1-(G6/T$1)</f>
        <v>0.99532840437077186</v>
      </c>
      <c r="U6" s="97">
        <f>T6/U$1</f>
        <v>7.65637234131363E-3</v>
      </c>
      <c r="V6" s="23">
        <f>H6/V$1</f>
        <v>9.0849042223464238E-3</v>
      </c>
      <c r="W6" s="23">
        <f>I6/W$1</f>
        <v>9.9290310292571033E-3</v>
      </c>
      <c r="X6" s="23">
        <f>J6/X$1</f>
        <v>7.624417320946212E-3</v>
      </c>
      <c r="Y6" s="23">
        <f>1-(K6/Y$1)</f>
        <v>0.99347382832499675</v>
      </c>
      <c r="Z6" s="97">
        <f>Y6/Z$1</f>
        <v>7.6421063717307443E-3</v>
      </c>
      <c r="AA6" s="23">
        <f>L6/$AA$1</f>
        <v>5.3031452829683271E-3</v>
      </c>
      <c r="AB6" s="23">
        <f>M6/AB$1</f>
        <v>8.4147920223643976E-3</v>
      </c>
      <c r="AC6" s="23">
        <f>N6/AC$1</f>
        <v>4.377412939203679E-3</v>
      </c>
      <c r="AD6" s="23">
        <f>O6/AD$1</f>
        <v>4.2046716464658879E-3</v>
      </c>
      <c r="AE6" s="27">
        <f>('Modelo AHP'!$U$37*aux!P6)+('Modelo AHP'!$U$38*aux!R6)+('Modelo AHP'!$U$39*aux!S6)</f>
        <v>9.571169231756816E-3</v>
      </c>
      <c r="AF6" s="28">
        <f>aux!U6</f>
        <v>7.65637234131363E-3</v>
      </c>
      <c r="AG6" s="27">
        <f>('Modelo AHP'!$U$47*aux!V6)+('Modelo AHP'!$U$48*aux!W6)+('Modelo AHP'!$U$49*aux!X6)</f>
        <v>8.8934643361058552E-3</v>
      </c>
      <c r="AH6" s="28">
        <f>Z6</f>
        <v>7.6421063717307443E-3</v>
      </c>
      <c r="AI6" s="27">
        <f>('Modelo AHP'!$U$56*aux!AA6)+('Modelo AHP'!$U$57*aux!AB6)+('Modelo AHP'!$U$58*aux!AC6)+('Modelo AHP'!$U$59*aux!AD6)</f>
        <v>6.5016404598339274E-3</v>
      </c>
      <c r="AJ6" s="29">
        <f>('Modelo AHP'!$U$23*aux!AE6)+('Modelo AHP'!$U$24*aux!AF6)+('Modelo AHP'!$U$25*aux!AG6)+('Modelo AHP'!$U$26*aux!AH6)+('Modelo AHP'!$U$27*aux!AI6)</f>
        <v>8.2894926514455545E-3</v>
      </c>
    </row>
    <row r="7" spans="1:36">
      <c r="A7" s="1">
        <f>_xlfn.RANK.EQ(AJ7,AJ$5:AJ$135)</f>
        <v>71</v>
      </c>
      <c r="B7" s="16" t="s">
        <v>17</v>
      </c>
      <c r="C7" s="17" t="s">
        <v>20</v>
      </c>
      <c r="D7" s="143">
        <v>9.2678757952711036E-2</v>
      </c>
      <c r="E7" s="18">
        <v>80.94</v>
      </c>
      <c r="F7" s="143">
        <v>0.23501146663754505</v>
      </c>
      <c r="G7" s="159">
        <v>34952.679804656669</v>
      </c>
      <c r="H7" s="146">
        <v>6.88</v>
      </c>
      <c r="I7" s="146">
        <v>9.0399999999999991</v>
      </c>
      <c r="J7" s="143">
        <v>4.7497384726804537E-2</v>
      </c>
      <c r="K7" s="161">
        <v>147344.70000000001</v>
      </c>
      <c r="L7" s="143">
        <v>3.4718569174118884E-2</v>
      </c>
      <c r="M7" s="265">
        <v>897</v>
      </c>
      <c r="N7" s="143">
        <v>2.8845844977674985E-2</v>
      </c>
      <c r="O7" s="143">
        <v>2.7632235528942117E-2</v>
      </c>
      <c r="P7" s="23">
        <f>D7/$P$1</f>
        <v>8.4831106735594863E-3</v>
      </c>
      <c r="Q7" s="23">
        <f>1-(E7/Q$1)</f>
        <v>0.99255585865144602</v>
      </c>
      <c r="R7" s="23">
        <f>Q7/R$1</f>
        <v>7.6350450665495879E-3</v>
      </c>
      <c r="S7" s="23">
        <f>F7/S$1</f>
        <v>4.818231862903804E-3</v>
      </c>
      <c r="T7" s="23">
        <f>1-(G7/T$1)</f>
        <v>0.99371977551476021</v>
      </c>
      <c r="U7" s="97">
        <f>T7/U$1</f>
        <v>7.6439982731904632E-3</v>
      </c>
      <c r="V7" s="23">
        <f>H7/V$1</f>
        <v>6.9915146588079872E-3</v>
      </c>
      <c r="W7" s="23">
        <f>I7/W$1</f>
        <v>7.4861084657618189E-3</v>
      </c>
      <c r="X7" s="23">
        <f>J7/X$1</f>
        <v>7.624417320946212E-3</v>
      </c>
      <c r="Y7" s="23">
        <f>1-(K7/Y$1)</f>
        <v>0.98892444168678639</v>
      </c>
      <c r="Z7" s="97">
        <f>Y7/Z$1</f>
        <v>7.6071110898983567E-3</v>
      </c>
      <c r="AA7" s="23">
        <f>L7/$AA$1</f>
        <v>5.3031452829683271E-3</v>
      </c>
      <c r="AB7" s="23">
        <f>M7/AB$1</f>
        <v>8.4147920223643976E-3</v>
      </c>
      <c r="AC7" s="23">
        <f>N7/AC$1</f>
        <v>4.377412939203679E-3</v>
      </c>
      <c r="AD7" s="23">
        <f>O7/AD$1</f>
        <v>4.2046716464658879E-3</v>
      </c>
      <c r="AE7" s="27">
        <f>('Modelo AHP'!$U$37*aux!P7)+('Modelo AHP'!$U$38*aux!R7)+('Modelo AHP'!$U$39*aux!S7)</f>
        <v>6.1993768264650868E-3</v>
      </c>
      <c r="AF7" s="28">
        <f>aux!U7</f>
        <v>7.6439982731904632E-3</v>
      </c>
      <c r="AG7" s="27">
        <f>('Modelo AHP'!$U$47*aux!V7)+('Modelo AHP'!$U$48*aux!W7)+('Modelo AHP'!$U$49*aux!X7)</f>
        <v>7.4560000970032552E-3</v>
      </c>
      <c r="AH7" s="28">
        <f>Z7</f>
        <v>7.6071110898983567E-3</v>
      </c>
      <c r="AI7" s="27">
        <f>('Modelo AHP'!$U$56*aux!AA7)+('Modelo AHP'!$U$57*aux!AB7)+('Modelo AHP'!$U$58*aux!AC7)+('Modelo AHP'!$U$59*aux!AD7)</f>
        <v>6.5016404598339274E-3</v>
      </c>
      <c r="AJ7" s="29">
        <f>('Modelo AHP'!$U$23*aux!AE7)+('Modelo AHP'!$U$24*aux!AF7)+('Modelo AHP'!$U$25*aux!AG7)+('Modelo AHP'!$U$26*aux!AH7)+('Modelo AHP'!$U$27*aux!AI7)</f>
        <v>7.2289506850036749E-3</v>
      </c>
    </row>
    <row r="8" spans="1:36">
      <c r="A8" s="1">
        <f>_xlfn.RANK.EQ(AJ8,AJ$5:AJ$135)</f>
        <v>70</v>
      </c>
      <c r="B8" s="16" t="s">
        <v>17</v>
      </c>
      <c r="C8" s="17" t="s">
        <v>21</v>
      </c>
      <c r="D8" s="143">
        <v>9.6935697912896621E-2</v>
      </c>
      <c r="E8" s="18">
        <v>81.36</v>
      </c>
      <c r="F8" s="143">
        <v>0.21742532005689899</v>
      </c>
      <c r="G8" s="159">
        <v>40314.882263767009</v>
      </c>
      <c r="H8" s="146">
        <v>6.63</v>
      </c>
      <c r="I8" s="146">
        <v>9.39</v>
      </c>
      <c r="J8" s="143">
        <v>4.7497384726804537E-2</v>
      </c>
      <c r="K8" s="161">
        <v>158945.04</v>
      </c>
      <c r="L8" s="143">
        <v>3.4718569174118884E-2</v>
      </c>
      <c r="M8" s="265">
        <v>897</v>
      </c>
      <c r="N8" s="143">
        <v>2.8845844977674985E-2</v>
      </c>
      <c r="O8" s="143">
        <v>2.7632235528942117E-2</v>
      </c>
      <c r="P8" s="23">
        <f>D8/$P$1</f>
        <v>8.8727586750074368E-3</v>
      </c>
      <c r="Q8" s="23">
        <f>1-(E8/Q$1)</f>
        <v>0.99251723078677601</v>
      </c>
      <c r="R8" s="23">
        <f>Q8/R$1</f>
        <v>7.6347479291290496E-3</v>
      </c>
      <c r="S8" s="23">
        <f>F8/S$1</f>
        <v>4.4576786821892223E-3</v>
      </c>
      <c r="T8" s="23">
        <f>1-(G8/T$1)</f>
        <v>0.99275630617945532</v>
      </c>
      <c r="U8" s="97">
        <f>T8/U$1</f>
        <v>7.6365869706111946E-3</v>
      </c>
      <c r="V8" s="23">
        <f>H8/V$1</f>
        <v>6.7374625273106037E-3</v>
      </c>
      <c r="W8" s="23">
        <f>I8/W$1</f>
        <v>7.7759467360070233E-3</v>
      </c>
      <c r="X8" s="23">
        <f>J8/X$1</f>
        <v>7.624417320946212E-3</v>
      </c>
      <c r="Y8" s="23">
        <f>1-(K8/Y$1)</f>
        <v>0.98805247111625949</v>
      </c>
      <c r="Z8" s="97">
        <f>Y8/Z$1</f>
        <v>7.6004036239712266E-3</v>
      </c>
      <c r="AA8" s="23">
        <f>L8/$AA$1</f>
        <v>5.3031452829683271E-3</v>
      </c>
      <c r="AB8" s="23">
        <f>M8/AB$1</f>
        <v>8.4147920223643976E-3</v>
      </c>
      <c r="AC8" s="23">
        <f>N8/AC$1</f>
        <v>4.377412939203679E-3</v>
      </c>
      <c r="AD8" s="23">
        <f>O8/AD$1</f>
        <v>4.2046716464658879E-3</v>
      </c>
      <c r="AE8" s="27">
        <f>('Modelo AHP'!$U$37*aux!P8)+('Modelo AHP'!$U$38*aux!R8)+('Modelo AHP'!$U$39*aux!S8)</f>
        <v>6.0999096047286696E-3</v>
      </c>
      <c r="AF8" s="28">
        <f>aux!U8</f>
        <v>7.6365869706111946E-3</v>
      </c>
      <c r="AG8" s="27">
        <f>('Modelo AHP'!$U$47*aux!V8)+('Modelo AHP'!$U$48*aux!W8)+('Modelo AHP'!$U$49*aux!X8)</f>
        <v>7.541537235745987E-3</v>
      </c>
      <c r="AH8" s="28">
        <f>Z8</f>
        <v>7.6004036239712266E-3</v>
      </c>
      <c r="AI8" s="27">
        <f>('Modelo AHP'!$U$56*aux!AA8)+('Modelo AHP'!$U$57*aux!AB8)+('Modelo AHP'!$U$58*aux!AC8)+('Modelo AHP'!$U$59*aux!AD8)</f>
        <v>6.5016404598339274E-3</v>
      </c>
      <c r="AJ8" s="29">
        <f>('Modelo AHP'!$U$23*aux!AE8)+('Modelo AHP'!$U$24*aux!AF8)+('Modelo AHP'!$U$25*aux!AG8)+('Modelo AHP'!$U$26*aux!AH8)+('Modelo AHP'!$U$27*aux!AI8)</f>
        <v>7.2386862393332236E-3</v>
      </c>
    </row>
    <row r="9" spans="1:36">
      <c r="A9" s="1">
        <f>_xlfn.RANK.EQ(AJ9,AJ$5:AJ$135)</f>
        <v>59</v>
      </c>
      <c r="B9" s="16" t="s">
        <v>17</v>
      </c>
      <c r="C9" s="17" t="s">
        <v>22</v>
      </c>
      <c r="D9" s="143">
        <v>0.11230863837913066</v>
      </c>
      <c r="E9" s="18">
        <v>82.81</v>
      </c>
      <c r="F9" s="143">
        <v>0.26114939047474822</v>
      </c>
      <c r="G9" s="159">
        <v>30701.652039292203</v>
      </c>
      <c r="H9" s="146">
        <v>7.06</v>
      </c>
      <c r="I9" s="146">
        <v>9.92</v>
      </c>
      <c r="J9" s="143">
        <v>4.7497384726804537E-2</v>
      </c>
      <c r="K9" s="161">
        <v>106883.32</v>
      </c>
      <c r="L9" s="143">
        <v>3.4718569174118884E-2</v>
      </c>
      <c r="M9" s="265">
        <v>897</v>
      </c>
      <c r="N9" s="143">
        <v>2.8845844977674985E-2</v>
      </c>
      <c r="O9" s="143">
        <v>2.7632235528942117E-2</v>
      </c>
      <c r="P9" s="23">
        <f>D9/$P$1</f>
        <v>1.0279881064580741E-2</v>
      </c>
      <c r="Q9" s="23">
        <f>1-(E9/Q$1)</f>
        <v>0.99238387268255801</v>
      </c>
      <c r="R9" s="23">
        <f>Q9/R$1</f>
        <v>7.633722097558142E-3</v>
      </c>
      <c r="S9" s="23">
        <f>F9/S$1</f>
        <v>5.3541145552015315E-3</v>
      </c>
      <c r="T9" s="23">
        <f>1-(G9/T$1)</f>
        <v>0.99448359130252484</v>
      </c>
      <c r="U9" s="97">
        <f>T9/U$1</f>
        <v>7.649873779250191E-3</v>
      </c>
      <c r="V9" s="23">
        <f>H9/V$1</f>
        <v>7.1744321934861027E-3</v>
      </c>
      <c r="W9" s="23">
        <f>I9/W$1</f>
        <v>8.2148446880926165E-3</v>
      </c>
      <c r="X9" s="23">
        <f>J9/X$1</f>
        <v>7.624417320946212E-3</v>
      </c>
      <c r="Y9" s="23">
        <f>1-(K9/Y$1)</f>
        <v>0.99196582949118717</v>
      </c>
      <c r="Z9" s="97">
        <f>Y9/Z$1</f>
        <v>7.6305063807014396E-3</v>
      </c>
      <c r="AA9" s="23">
        <f>L9/$AA$1</f>
        <v>5.3031452829683271E-3</v>
      </c>
      <c r="AB9" s="23">
        <f>M9/AB$1</f>
        <v>8.4147920223643976E-3</v>
      </c>
      <c r="AC9" s="23">
        <f>N9/AC$1</f>
        <v>4.377412939203679E-3</v>
      </c>
      <c r="AD9" s="23">
        <f>O9/AD$1</f>
        <v>4.2046716464658879E-3</v>
      </c>
      <c r="AE9" s="27">
        <f>('Modelo AHP'!$U$37*aux!P9)+('Modelo AHP'!$U$38*aux!R9)+('Modelo AHP'!$U$39*aux!S9)</f>
        <v>7.0598052622509559E-3</v>
      </c>
      <c r="AF9" s="28">
        <f>aux!U9</f>
        <v>7.649873779250191E-3</v>
      </c>
      <c r="AG9" s="27">
        <f>('Modelo AHP'!$U$47*aux!V9)+('Modelo AHP'!$U$48*aux!W9)+('Modelo AHP'!$U$49*aux!X9)</f>
        <v>7.8100925783926752E-3</v>
      </c>
      <c r="AH9" s="28">
        <f>Z9</f>
        <v>7.6305063807014396E-3</v>
      </c>
      <c r="AI9" s="27">
        <f>('Modelo AHP'!$U$56*aux!AA9)+('Modelo AHP'!$U$57*aux!AB9)+('Modelo AHP'!$U$58*aux!AC9)+('Modelo AHP'!$U$59*aux!AD9)</f>
        <v>6.5016404598339274E-3</v>
      </c>
      <c r="AJ9" s="29">
        <f>('Modelo AHP'!$U$23*aux!AE9)+('Modelo AHP'!$U$24*aux!AF9)+('Modelo AHP'!$U$25*aux!AG9)+('Modelo AHP'!$U$26*aux!AH9)+('Modelo AHP'!$U$27*aux!AI9)</f>
        <v>7.4971994925779962E-3</v>
      </c>
    </row>
    <row r="10" spans="1:36">
      <c r="A10" s="1">
        <f>_xlfn.RANK.EQ(AJ10,AJ$5:AJ$135)</f>
        <v>54</v>
      </c>
      <c r="B10" s="16" t="s">
        <v>17</v>
      </c>
      <c r="C10" s="17" t="s">
        <v>23</v>
      </c>
      <c r="D10" s="143">
        <v>0.11790029162616303</v>
      </c>
      <c r="E10" s="18">
        <v>79.08</v>
      </c>
      <c r="F10" s="143">
        <v>0.26512226512226511</v>
      </c>
      <c r="G10" s="159">
        <v>30935.804311342592</v>
      </c>
      <c r="H10" s="146">
        <v>7.9</v>
      </c>
      <c r="I10" s="146">
        <v>11.45</v>
      </c>
      <c r="J10" s="143">
        <v>4.7497384726804537E-2</v>
      </c>
      <c r="K10" s="161">
        <v>171610.78</v>
      </c>
      <c r="L10" s="143">
        <v>3.4718569174118884E-2</v>
      </c>
      <c r="M10" s="265">
        <v>897</v>
      </c>
      <c r="N10" s="143">
        <v>2.8845844977674985E-2</v>
      </c>
      <c r="O10" s="143">
        <v>2.7632235528942117E-2</v>
      </c>
      <c r="P10" s="23">
        <f>D10/$P$1</f>
        <v>1.0791698598507416E-2</v>
      </c>
      <c r="Q10" s="23">
        <f>1-(E10/Q$1)</f>
        <v>0.9927269249092705</v>
      </c>
      <c r="R10" s="23">
        <f>Q10/R$1</f>
        <v>7.636360960840546E-3</v>
      </c>
      <c r="S10" s="23">
        <f>F10/S$1</f>
        <v>5.4355668838383777E-3</v>
      </c>
      <c r="T10" s="23">
        <f>1-(G10/T$1)</f>
        <v>0.99444151931146652</v>
      </c>
      <c r="U10" s="97">
        <f>T10/U$1</f>
        <v>7.6495501485497426E-3</v>
      </c>
      <c r="V10" s="23">
        <f>H10/V$1</f>
        <v>8.0280473553173103E-3</v>
      </c>
      <c r="W10" s="23">
        <f>I10/W$1</f>
        <v>9.4818519837359325E-3</v>
      </c>
      <c r="X10" s="23">
        <f>J10/X$1</f>
        <v>7.624417320946212E-3</v>
      </c>
      <c r="Y10" s="23">
        <f>1-(K10/Y$1)</f>
        <v>0.98710041690630157</v>
      </c>
      <c r="Z10" s="97">
        <f>Y10/Z$1</f>
        <v>7.593080130048474E-3</v>
      </c>
      <c r="AA10" s="23">
        <f>L10/$AA$1</f>
        <v>5.3031452829683271E-3</v>
      </c>
      <c r="AB10" s="23">
        <f>M10/AB$1</f>
        <v>8.4147920223643976E-3</v>
      </c>
      <c r="AC10" s="23">
        <f>N10/AC$1</f>
        <v>4.377412939203679E-3</v>
      </c>
      <c r="AD10" s="23">
        <f>O10/AD$1</f>
        <v>4.2046716464658879E-3</v>
      </c>
      <c r="AE10" s="27">
        <f>('Modelo AHP'!$U$37*aux!P10)+('Modelo AHP'!$U$38*aux!R10)+('Modelo AHP'!$U$39*aux!S10)</f>
        <v>7.2624858059393057E-3</v>
      </c>
      <c r="AF10" s="28">
        <f>aux!U10</f>
        <v>7.6495501485497426E-3</v>
      </c>
      <c r="AG10" s="27">
        <f>('Modelo AHP'!$U$47*aux!V10)+('Modelo AHP'!$U$48*aux!W10)+('Modelo AHP'!$U$49*aux!X10)</f>
        <v>8.5163520791384818E-3</v>
      </c>
      <c r="AH10" s="28">
        <f>Z10</f>
        <v>7.593080130048474E-3</v>
      </c>
      <c r="AI10" s="27">
        <f>('Modelo AHP'!$U$56*aux!AA10)+('Modelo AHP'!$U$57*aux!AB10)+('Modelo AHP'!$U$58*aux!AC10)+('Modelo AHP'!$U$59*aux!AD10)</f>
        <v>6.5016404598339274E-3</v>
      </c>
      <c r="AJ10" s="29">
        <f>('Modelo AHP'!$U$23*aux!AE10)+('Modelo AHP'!$U$24*aux!AF10)+('Modelo AHP'!$U$25*aux!AG10)+('Modelo AHP'!$U$26*aux!AH10)+('Modelo AHP'!$U$27*aux!AI10)</f>
        <v>7.7694538085192411E-3</v>
      </c>
    </row>
    <row r="11" spans="1:36">
      <c r="A11" s="1">
        <f>_xlfn.RANK.EQ(AJ11,AJ$5:AJ$135)</f>
        <v>89</v>
      </c>
      <c r="B11" s="16" t="s">
        <v>24</v>
      </c>
      <c r="C11" s="17" t="s">
        <v>25</v>
      </c>
      <c r="D11" s="143">
        <v>3.6753378229675601E-2</v>
      </c>
      <c r="E11" s="18">
        <v>83.7</v>
      </c>
      <c r="F11" s="143">
        <v>0.26624692033944702</v>
      </c>
      <c r="G11" s="159">
        <v>41950.812045864746</v>
      </c>
      <c r="H11" s="146">
        <v>6.83</v>
      </c>
      <c r="I11" s="146">
        <v>8.06</v>
      </c>
      <c r="J11" s="143">
        <v>3.9670622889987663E-2</v>
      </c>
      <c r="K11" s="161">
        <v>87446.56</v>
      </c>
      <c r="L11" s="143">
        <v>3.5244608100999476E-2</v>
      </c>
      <c r="M11" s="265">
        <v>266</v>
      </c>
      <c r="N11" s="143">
        <v>3.5238187016157531E-2</v>
      </c>
      <c r="O11" s="143">
        <v>3.9202844311377244E-2</v>
      </c>
      <c r="P11" s="23">
        <f>D11/$P$1</f>
        <v>3.3641255238726435E-3</v>
      </c>
      <c r="Q11" s="23">
        <f>1-(E11/Q$1)</f>
        <v>0.99230201839790011</v>
      </c>
      <c r="R11" s="23">
        <f>Q11/R$1</f>
        <v>7.6330924492146197E-3</v>
      </c>
      <c r="S11" s="23">
        <f>F11/S$1</f>
        <v>5.4586246932284369E-3</v>
      </c>
      <c r="T11" s="23">
        <f>1-(G11/T$1)</f>
        <v>0.99246236573394209</v>
      </c>
      <c r="U11" s="97">
        <f>T11/U$1</f>
        <v>7.6343258902610931E-3</v>
      </c>
      <c r="V11" s="23">
        <f>H11/V$1</f>
        <v>6.9407042325085105E-3</v>
      </c>
      <c r="W11" s="23">
        <f>I11/W$1</f>
        <v>6.6745613090752514E-3</v>
      </c>
      <c r="X11" s="23">
        <f>J11/X$1</f>
        <v>6.3680429150966443E-3</v>
      </c>
      <c r="Y11" s="23">
        <f>1-(K11/Y$1)</f>
        <v>0.99342684552230287</v>
      </c>
      <c r="Z11" s="97">
        <f>Y11/Z$1</f>
        <v>7.6417449655561756E-3</v>
      </c>
      <c r="AA11" s="23">
        <f>L11/$AA$1</f>
        <v>5.3834959690739082E-3</v>
      </c>
      <c r="AB11" s="23">
        <f>M11/AB$1</f>
        <v>2.495356385673277E-3</v>
      </c>
      <c r="AC11" s="23">
        <f>N11/AC$1</f>
        <v>5.3474632453301071E-3</v>
      </c>
      <c r="AD11" s="23">
        <f>O11/AD$1</f>
        <v>5.9653185774352383E-3</v>
      </c>
      <c r="AE11" s="27">
        <f>('Modelo AHP'!$U$37*aux!P11)+('Modelo AHP'!$U$38*aux!R11)+('Modelo AHP'!$U$39*aux!S11)</f>
        <v>5.0477217180203166E-3</v>
      </c>
      <c r="AF11" s="28">
        <f>aux!U11</f>
        <v>7.6343258902610931E-3</v>
      </c>
      <c r="AG11" s="27">
        <f>('Modelo AHP'!$U$47*aux!V11)+('Modelo AHP'!$U$48*aux!W11)+('Modelo AHP'!$U$49*aux!X11)</f>
        <v>6.6008563178743974E-3</v>
      </c>
      <c r="AH11" s="28">
        <f>Z11</f>
        <v>7.6417449655561756E-3</v>
      </c>
      <c r="AI11" s="27">
        <f>('Modelo AHP'!$U$56*aux!AA11)+('Modelo AHP'!$U$57*aux!AB11)+('Modelo AHP'!$U$58*aux!AC11)+('Modelo AHP'!$U$59*aux!AD11)</f>
        <v>4.0224239138251074E-3</v>
      </c>
      <c r="AJ11" s="29">
        <f>('Modelo AHP'!$U$23*aux!AE11)+('Modelo AHP'!$U$24*aux!AF11)+('Modelo AHP'!$U$25*aux!AG11)+('Modelo AHP'!$U$26*aux!AH11)+('Modelo AHP'!$U$27*aux!AI11)</f>
        <v>6.5119133924937244E-3</v>
      </c>
    </row>
    <row r="12" spans="1:36">
      <c r="A12" s="1">
        <f>_xlfn.RANK.EQ(AJ12,AJ$5:AJ$135)</f>
        <v>90</v>
      </c>
      <c r="B12" s="16" t="s">
        <v>24</v>
      </c>
      <c r="C12" s="17" t="s">
        <v>316</v>
      </c>
      <c r="D12" s="143">
        <v>3.7958150798617724E-2</v>
      </c>
      <c r="E12" s="18">
        <v>84.41</v>
      </c>
      <c r="F12" s="143">
        <v>0.26345045985917864</v>
      </c>
      <c r="G12" s="159">
        <v>44669.182438943455</v>
      </c>
      <c r="H12" s="146">
        <v>6.57</v>
      </c>
      <c r="I12" s="146">
        <v>7.67</v>
      </c>
      <c r="J12" s="143">
        <v>3.9670622889987663E-2</v>
      </c>
      <c r="K12" s="161">
        <v>83248.38</v>
      </c>
      <c r="L12" s="143">
        <v>3.5244608100999476E-2</v>
      </c>
      <c r="M12" s="265">
        <v>266</v>
      </c>
      <c r="N12" s="143">
        <v>3.5238187016157531E-2</v>
      </c>
      <c r="O12" s="143">
        <v>3.9202844311377244E-2</v>
      </c>
      <c r="P12" s="23">
        <f>D12/$P$1</f>
        <v>3.4744012684399094E-3</v>
      </c>
      <c r="Q12" s="23">
        <f>1-(E12/Q$1)</f>
        <v>0.99223671891238652</v>
      </c>
      <c r="R12" s="23">
        <f>Q12/R$1</f>
        <v>7.6325901454798997E-3</v>
      </c>
      <c r="S12" s="23">
        <f>F12/S$1</f>
        <v>5.401291341872603E-3</v>
      </c>
      <c r="T12" s="23">
        <f>1-(G12/T$1)</f>
        <v>0.99197393462084937</v>
      </c>
      <c r="U12" s="97">
        <f>T12/U$1</f>
        <v>7.6305687278526877E-3</v>
      </c>
      <c r="V12" s="23">
        <f>H12/V$1</f>
        <v>6.6764900157512321E-3</v>
      </c>
      <c r="W12" s="23">
        <f>I12/W$1</f>
        <v>6.3515986650877383E-3</v>
      </c>
      <c r="X12" s="23">
        <f>J12/X$1</f>
        <v>6.3680429150966443E-3</v>
      </c>
      <c r="Y12" s="23">
        <f>1-(K12/Y$1)</f>
        <v>0.99374241294616927</v>
      </c>
      <c r="Z12" s="97">
        <f>Y12/Z$1</f>
        <v>7.6441724072782253E-3</v>
      </c>
      <c r="AA12" s="23">
        <f>L12/$AA$1</f>
        <v>5.3834959690739082E-3</v>
      </c>
      <c r="AB12" s="23">
        <f>M12/AB$1</f>
        <v>2.495356385673277E-3</v>
      </c>
      <c r="AC12" s="23">
        <f>N12/AC$1</f>
        <v>5.3474632453301071E-3</v>
      </c>
      <c r="AD12" s="23">
        <f>O12/AD$1</f>
        <v>5.9653185774352383E-3</v>
      </c>
      <c r="AE12" s="27">
        <f>('Modelo AHP'!$U$37*aux!P12)+('Modelo AHP'!$U$38*aux!R12)+('Modelo AHP'!$U$39*aux!S12)</f>
        <v>5.0463542002035242E-3</v>
      </c>
      <c r="AF12" s="28">
        <f>aux!U12</f>
        <v>7.6305687278526877E-3</v>
      </c>
      <c r="AG12" s="27">
        <f>('Modelo AHP'!$U$47*aux!V12)+('Modelo AHP'!$U$48*aux!W12)+('Modelo AHP'!$U$49*aux!X12)</f>
        <v>6.4129402665058155E-3</v>
      </c>
      <c r="AH12" s="28">
        <f>Z12</f>
        <v>7.6441724072782253E-3</v>
      </c>
      <c r="AI12" s="27">
        <f>('Modelo AHP'!$U$56*aux!AA12)+('Modelo AHP'!$U$57*aux!AB12)+('Modelo AHP'!$U$58*aux!AC12)+('Modelo AHP'!$U$59*aux!AD12)</f>
        <v>4.0224239138251074E-3</v>
      </c>
      <c r="AJ12" s="29">
        <f>('Modelo AHP'!$U$23*aux!AE12)+('Modelo AHP'!$U$24*aux!AF12)+('Modelo AHP'!$U$25*aux!AG12)+('Modelo AHP'!$U$26*aux!AH12)+('Modelo AHP'!$U$27*aux!AI12)</f>
        <v>6.4464397204897798E-3</v>
      </c>
    </row>
    <row r="13" spans="1:36">
      <c r="A13" s="1">
        <f>_xlfn.RANK.EQ(AJ13,AJ$5:AJ$135)</f>
        <v>65</v>
      </c>
      <c r="B13" s="16" t="s">
        <v>24</v>
      </c>
      <c r="C13" s="17" t="s">
        <v>317</v>
      </c>
      <c r="D13" s="143">
        <v>0.10040911157129148</v>
      </c>
      <c r="E13" s="18">
        <v>83.39</v>
      </c>
      <c r="F13" s="143">
        <v>0.39527626506761304</v>
      </c>
      <c r="G13" s="159">
        <v>31933.911996619991</v>
      </c>
      <c r="H13" s="146">
        <v>7.87</v>
      </c>
      <c r="I13" s="146">
        <v>9.81</v>
      </c>
      <c r="J13" s="143">
        <v>3.9670622889987663E-2</v>
      </c>
      <c r="K13" s="161">
        <v>79471.759999999995</v>
      </c>
      <c r="L13" s="143">
        <v>3.5244608100999476E-2</v>
      </c>
      <c r="M13" s="265">
        <v>266</v>
      </c>
      <c r="N13" s="143">
        <v>3.5238187016157531E-2</v>
      </c>
      <c r="O13" s="143">
        <v>3.9202844311377244E-2</v>
      </c>
      <c r="P13" s="23">
        <f>D13/$P$1</f>
        <v>9.1906886206617727E-3</v>
      </c>
      <c r="Q13" s="23">
        <f>1-(E13/Q$1)</f>
        <v>0.99233052944087086</v>
      </c>
      <c r="R13" s="23">
        <f>Q13/R$1</f>
        <v>7.6333117649297795E-3</v>
      </c>
      <c r="S13" s="23">
        <f>F13/S$1</f>
        <v>8.1039990186339179E-3</v>
      </c>
      <c r="T13" s="23">
        <f>1-(G13/T$1)</f>
        <v>0.99426218140779166</v>
      </c>
      <c r="U13" s="97">
        <f>T13/U$1</f>
        <v>7.6481706262137824E-3</v>
      </c>
      <c r="V13" s="23">
        <f>H13/V$1</f>
        <v>7.9975610995376249E-3</v>
      </c>
      <c r="W13" s="23">
        <f>I13/W$1</f>
        <v>8.1237526603012665E-3</v>
      </c>
      <c r="X13" s="23">
        <f>J13/X$1</f>
        <v>6.3680429150966443E-3</v>
      </c>
      <c r="Y13" s="23">
        <f>1-(K13/Y$1)</f>
        <v>0.99402629268556164</v>
      </c>
      <c r="Z13" s="97">
        <f>Y13/Z$1</f>
        <v>7.6463560975812434E-3</v>
      </c>
      <c r="AA13" s="23">
        <f>L13/$AA$1</f>
        <v>5.3834959690739082E-3</v>
      </c>
      <c r="AB13" s="23">
        <f>M13/AB$1</f>
        <v>2.495356385673277E-3</v>
      </c>
      <c r="AC13" s="23">
        <f>N13/AC$1</f>
        <v>5.3474632453301071E-3</v>
      </c>
      <c r="AD13" s="23">
        <f>O13/AD$1</f>
        <v>5.9653185774352383E-3</v>
      </c>
      <c r="AE13" s="27">
        <f>('Modelo AHP'!$U$37*aux!P13)+('Modelo AHP'!$U$38*aux!R13)+('Modelo AHP'!$U$39*aux!S13)</f>
        <v>8.3829371738718614E-3</v>
      </c>
      <c r="AF13" s="28">
        <f>aux!U13</f>
        <v>7.6481706262137824E-3</v>
      </c>
      <c r="AG13" s="27">
        <f>('Modelo AHP'!$U$47*aux!V13)+('Modelo AHP'!$U$48*aux!W13)+('Modelo AHP'!$U$49*aux!X13)</f>
        <v>7.4222900039529567E-3</v>
      </c>
      <c r="AH13" s="28">
        <f>Z13</f>
        <v>7.6463560975812434E-3</v>
      </c>
      <c r="AI13" s="27">
        <f>('Modelo AHP'!$U$56*aux!AA13)+('Modelo AHP'!$U$57*aux!AB13)+('Modelo AHP'!$U$58*aux!AC13)+('Modelo AHP'!$U$59*aux!AD13)</f>
        <v>4.0224239138251074E-3</v>
      </c>
      <c r="AJ13" s="29">
        <f>('Modelo AHP'!$U$23*aux!AE13)+('Modelo AHP'!$U$24*aux!AF13)+('Modelo AHP'!$U$25*aux!AG13)+('Modelo AHP'!$U$26*aux!AH13)+('Modelo AHP'!$U$27*aux!AI13)</f>
        <v>7.3540287786322102E-3</v>
      </c>
    </row>
    <row r="14" spans="1:36">
      <c r="A14" s="1">
        <f>_xlfn.RANK.EQ(AJ14,AJ$5:AJ$135)</f>
        <v>108</v>
      </c>
      <c r="B14" s="16" t="s">
        <v>24</v>
      </c>
      <c r="C14" s="17" t="s">
        <v>26</v>
      </c>
      <c r="D14" s="143">
        <v>3.9736131311032617E-2</v>
      </c>
      <c r="E14" s="18">
        <v>82.86</v>
      </c>
      <c r="F14" s="143">
        <v>0.17371601208459214</v>
      </c>
      <c r="G14" s="159">
        <v>48935.036576627012</v>
      </c>
      <c r="H14" s="146">
        <v>4.9400000000000004</v>
      </c>
      <c r="I14" s="146">
        <v>6.22</v>
      </c>
      <c r="J14" s="143">
        <v>3.9670622889987663E-2</v>
      </c>
      <c r="K14" s="161">
        <v>90178.67</v>
      </c>
      <c r="L14" s="143">
        <v>3.5244608100999476E-2</v>
      </c>
      <c r="M14" s="265">
        <v>266</v>
      </c>
      <c r="N14" s="143">
        <v>3.5238187016157531E-2</v>
      </c>
      <c r="O14" s="143">
        <v>3.9202844311377244E-2</v>
      </c>
      <c r="P14" s="23">
        <f>D14/$P$1</f>
        <v>3.6371441212297954E-3</v>
      </c>
      <c r="Q14" s="23">
        <f>1-(E14/Q$1)</f>
        <v>0.99237927412724014</v>
      </c>
      <c r="R14" s="23">
        <f>Q14/R$1</f>
        <v>7.6336867240556971E-3</v>
      </c>
      <c r="S14" s="23">
        <f>F14/S$1</f>
        <v>3.5615454705172486E-3</v>
      </c>
      <c r="T14" s="23">
        <f>1-(G14/T$1)</f>
        <v>0.99120745486148132</v>
      </c>
      <c r="U14" s="97">
        <f>T14/U$1</f>
        <v>7.6246727297037027E-3</v>
      </c>
      <c r="V14" s="23">
        <f>H14/V$1</f>
        <v>5.0200701183882937E-3</v>
      </c>
      <c r="W14" s="23">
        <f>I14/W$1</f>
        <v>5.1508401169290396E-3</v>
      </c>
      <c r="X14" s="23">
        <f>J14/X$1</f>
        <v>6.3680429150966443E-3</v>
      </c>
      <c r="Y14" s="23">
        <f>1-(K14/Y$1)</f>
        <v>0.99322147916964065</v>
      </c>
      <c r="Z14" s="97">
        <f>Y14/Z$1</f>
        <v>7.6401652243818508E-3</v>
      </c>
      <c r="AA14" s="23">
        <f>L14/$AA$1</f>
        <v>5.3834959690739082E-3</v>
      </c>
      <c r="AB14" s="23">
        <f>M14/AB$1</f>
        <v>2.495356385673277E-3</v>
      </c>
      <c r="AC14" s="23">
        <f>N14/AC$1</f>
        <v>5.3474632453301071E-3</v>
      </c>
      <c r="AD14" s="23">
        <f>O14/AD$1</f>
        <v>5.9653185774352383E-3</v>
      </c>
      <c r="AE14" s="27">
        <f>('Modelo AHP'!$U$37*aux!P14)+('Modelo AHP'!$U$38*aux!R14)+('Modelo AHP'!$U$39*aux!S14)</f>
        <v>3.9914391910848574E-3</v>
      </c>
      <c r="AF14" s="28">
        <f>aux!U14</f>
        <v>7.6246727297037027E-3</v>
      </c>
      <c r="AG14" s="27">
        <f>('Modelo AHP'!$U$47*aux!V14)+('Modelo AHP'!$U$48*aux!W14)+('Modelo AHP'!$U$49*aux!X14)</f>
        <v>5.6002229289241635E-3</v>
      </c>
      <c r="AH14" s="28">
        <f>Z14</f>
        <v>7.6401652243818508E-3</v>
      </c>
      <c r="AI14" s="27">
        <f>('Modelo AHP'!$U$56*aux!AA14)+('Modelo AHP'!$U$57*aux!AB14)+('Modelo AHP'!$U$58*aux!AC14)+('Modelo AHP'!$U$59*aux!AD14)</f>
        <v>4.0224239138251074E-3</v>
      </c>
      <c r="AJ14" s="29">
        <f>('Modelo AHP'!$U$23*aux!AE14)+('Modelo AHP'!$U$24*aux!AF14)+('Modelo AHP'!$U$25*aux!AG14)+('Modelo AHP'!$U$26*aux!AH14)+('Modelo AHP'!$U$27*aux!AI14)</f>
        <v>5.990460558342508E-3</v>
      </c>
    </row>
    <row r="15" spans="1:36">
      <c r="A15" s="1">
        <f>_xlfn.RANK.EQ(AJ15,AJ$5:AJ$135)</f>
        <v>85</v>
      </c>
      <c r="B15" s="16" t="s">
        <v>24</v>
      </c>
      <c r="C15" s="17" t="s">
        <v>318</v>
      </c>
      <c r="D15" s="143">
        <v>7.5455902158482871E-2</v>
      </c>
      <c r="E15" s="18">
        <v>83.46</v>
      </c>
      <c r="F15" s="143">
        <v>0.28848581179000515</v>
      </c>
      <c r="G15" s="159">
        <v>39647.688652559234</v>
      </c>
      <c r="H15" s="146">
        <v>6.42</v>
      </c>
      <c r="I15" s="146">
        <v>7.8</v>
      </c>
      <c r="J15" s="143">
        <v>3.9670622889987663E-2</v>
      </c>
      <c r="K15" s="161">
        <v>83583.649999999994</v>
      </c>
      <c r="L15" s="143">
        <v>3.5244608100999476E-2</v>
      </c>
      <c r="M15" s="265">
        <v>266</v>
      </c>
      <c r="N15" s="143">
        <v>3.5238187016157531E-2</v>
      </c>
      <c r="O15" s="143">
        <v>3.9202844311377244E-2</v>
      </c>
      <c r="P15" s="23">
        <f>D15/$P$1</f>
        <v>6.9066610636959033E-3</v>
      </c>
      <c r="Q15" s="23">
        <f>1-(E15/Q$1)</f>
        <v>0.99232409146342582</v>
      </c>
      <c r="R15" s="23">
        <f>Q15/R$1</f>
        <v>7.6332622420263556E-3</v>
      </c>
      <c r="S15" s="23">
        <f>F15/S$1</f>
        <v>5.9145689793342615E-3</v>
      </c>
      <c r="T15" s="23">
        <f>1-(G15/T$1)</f>
        <v>0.99287618613363682</v>
      </c>
      <c r="U15" s="97">
        <f>T15/U$1</f>
        <v>7.6375091241048989E-3</v>
      </c>
      <c r="V15" s="23">
        <f>H15/V$1</f>
        <v>6.524058736852802E-3</v>
      </c>
      <c r="W15" s="23">
        <f>I15/W$1</f>
        <v>6.4592528797502427E-3</v>
      </c>
      <c r="X15" s="23">
        <f>J15/X$1</f>
        <v>6.3680429150966443E-3</v>
      </c>
      <c r="Y15" s="23">
        <f>1-(K15/Y$1)</f>
        <v>0.99371721148024839</v>
      </c>
      <c r="Z15" s="97">
        <f>Y15/Z$1</f>
        <v>7.6439785498480647E-3</v>
      </c>
      <c r="AA15" s="23">
        <f>L15/$AA$1</f>
        <v>5.3834959690739082E-3</v>
      </c>
      <c r="AB15" s="23">
        <f>M15/AB$1</f>
        <v>2.495356385673277E-3</v>
      </c>
      <c r="AC15" s="23">
        <f>N15/AC$1</f>
        <v>5.3474632453301071E-3</v>
      </c>
      <c r="AD15" s="23">
        <f>O15/AD$1</f>
        <v>5.9653185774352383E-3</v>
      </c>
      <c r="AE15" s="27">
        <f>('Modelo AHP'!$U$37*aux!P15)+('Modelo AHP'!$U$38*aux!R15)+('Modelo AHP'!$U$39*aux!S15)</f>
        <v>6.3840659309119634E-3</v>
      </c>
      <c r="AF15" s="28">
        <f>aux!U15</f>
        <v>7.6375091241048989E-3</v>
      </c>
      <c r="AG15" s="27">
        <f>('Modelo AHP'!$U$47*aux!V15)+('Modelo AHP'!$U$48*aux!W15)+('Modelo AHP'!$U$49*aux!X15)</f>
        <v>6.4348859263391447E-3</v>
      </c>
      <c r="AH15" s="28">
        <f>Z15</f>
        <v>7.6439785498480647E-3</v>
      </c>
      <c r="AI15" s="27">
        <f>('Modelo AHP'!$U$56*aux!AA15)+('Modelo AHP'!$U$57*aux!AB15)+('Modelo AHP'!$U$58*aux!AC15)+('Modelo AHP'!$U$59*aux!AD15)</f>
        <v>4.0224239138251074E-3</v>
      </c>
      <c r="AJ15" s="29">
        <f>('Modelo AHP'!$U$23*aux!AE15)+('Modelo AHP'!$U$24*aux!AF15)+('Modelo AHP'!$U$25*aux!AG15)+('Modelo AHP'!$U$26*aux!AH15)+('Modelo AHP'!$U$27*aux!AI15)</f>
        <v>6.679407604756305E-3</v>
      </c>
    </row>
    <row r="16" spans="1:36">
      <c r="A16" s="1">
        <f>_xlfn.RANK.EQ(AJ16,AJ$5:AJ$135)</f>
        <v>75</v>
      </c>
      <c r="B16" s="16" t="s">
        <v>24</v>
      </c>
      <c r="C16" s="17" t="s">
        <v>27</v>
      </c>
      <c r="D16" s="143">
        <v>9.7444461705763541E-2</v>
      </c>
      <c r="E16" s="18">
        <v>83.27</v>
      </c>
      <c r="F16" s="143">
        <v>0.32320647622592352</v>
      </c>
      <c r="G16" s="159">
        <v>33938.36905297661</v>
      </c>
      <c r="H16" s="146">
        <v>7.21</v>
      </c>
      <c r="I16" s="146">
        <v>9.23</v>
      </c>
      <c r="J16" s="143">
        <v>3.9670622889987663E-2</v>
      </c>
      <c r="K16" s="161">
        <v>81739.38</v>
      </c>
      <c r="L16" s="143">
        <v>3.5244608100999476E-2</v>
      </c>
      <c r="M16" s="265">
        <v>266</v>
      </c>
      <c r="N16" s="143">
        <v>3.5238187016157531E-2</v>
      </c>
      <c r="O16" s="143">
        <v>3.9202844311377244E-2</v>
      </c>
      <c r="P16" s="23">
        <f>D16/$P$1</f>
        <v>8.919327054395864E-3</v>
      </c>
      <c r="Q16" s="23">
        <f>1-(E16/Q$1)</f>
        <v>0.99234156597363377</v>
      </c>
      <c r="R16" s="23">
        <f>Q16/R$1</f>
        <v>7.6333966613356475E-3</v>
      </c>
      <c r="S16" s="23">
        <f>F16/S$1</f>
        <v>6.6264159971835875E-3</v>
      </c>
      <c r="T16" s="23">
        <f>1-(G16/T$1)</f>
        <v>0.99390202475155542</v>
      </c>
      <c r="U16" s="97">
        <f>T16/U$1</f>
        <v>7.6454001903965806E-3</v>
      </c>
      <c r="V16" s="23">
        <f>H16/V$1</f>
        <v>7.3268634723845328E-3</v>
      </c>
      <c r="W16" s="23">
        <f>I16/W$1</f>
        <v>7.643449241037787E-3</v>
      </c>
      <c r="X16" s="23">
        <f>J16/X$1</f>
        <v>6.3680429150966443E-3</v>
      </c>
      <c r="Y16" s="23">
        <f>1-(K16/Y$1)</f>
        <v>0.9938558409656002</v>
      </c>
      <c r="Z16" s="97">
        <f>Y16/Z$1</f>
        <v>7.6450449305046171E-3</v>
      </c>
      <c r="AA16" s="23">
        <f>L16/$AA$1</f>
        <v>5.3834959690739082E-3</v>
      </c>
      <c r="AB16" s="23">
        <f>M16/AB$1</f>
        <v>2.495356385673277E-3</v>
      </c>
      <c r="AC16" s="23">
        <f>N16/AC$1</f>
        <v>5.3474632453301071E-3</v>
      </c>
      <c r="AD16" s="23">
        <f>O16/AD$1</f>
        <v>5.9653185774352383E-3</v>
      </c>
      <c r="AE16" s="27">
        <f>('Modelo AHP'!$U$37*aux!P16)+('Modelo AHP'!$U$38*aux!R16)+('Modelo AHP'!$U$39*aux!S16)</f>
        <v>7.4149873807624759E-3</v>
      </c>
      <c r="AF16" s="28">
        <f>aux!U16</f>
        <v>7.6454001903965806E-3</v>
      </c>
      <c r="AG16" s="27">
        <f>('Modelo AHP'!$U$47*aux!V16)+('Modelo AHP'!$U$48*aux!W16)+('Modelo AHP'!$U$49*aux!X16)</f>
        <v>7.0958275300823399E-3</v>
      </c>
      <c r="AH16" s="28">
        <f>Z16</f>
        <v>7.6450449305046171E-3</v>
      </c>
      <c r="AI16" s="27">
        <f>('Modelo AHP'!$U$56*aux!AA16)+('Modelo AHP'!$U$57*aux!AB16)+('Modelo AHP'!$U$58*aux!AC16)+('Modelo AHP'!$U$59*aux!AD16)</f>
        <v>4.0224239138251074E-3</v>
      </c>
      <c r="AJ16" s="29">
        <f>('Modelo AHP'!$U$23*aux!AE16)+('Modelo AHP'!$U$24*aux!AF16)+('Modelo AHP'!$U$25*aux!AG16)+('Modelo AHP'!$U$26*aux!AH16)+('Modelo AHP'!$U$27*aux!AI16)</f>
        <v>7.0799395716991389E-3</v>
      </c>
    </row>
    <row r="17" spans="1:36">
      <c r="A17" s="1">
        <f>_xlfn.RANK.EQ(AJ17,AJ$5:AJ$135)</f>
        <v>88</v>
      </c>
      <c r="B17" s="16" t="s">
        <v>24</v>
      </c>
      <c r="C17" s="17" t="s">
        <v>28</v>
      </c>
      <c r="D17" s="143">
        <v>3.3476394849785408E-2</v>
      </c>
      <c r="E17" s="18">
        <v>78.849999999999994</v>
      </c>
      <c r="F17" s="143">
        <v>0.29036295369211512</v>
      </c>
      <c r="G17" s="159">
        <v>37939.284722891563</v>
      </c>
      <c r="H17" s="146">
        <v>7.96</v>
      </c>
      <c r="I17" s="146">
        <v>7.42</v>
      </c>
      <c r="J17" s="143">
        <v>3.9670622889987663E-2</v>
      </c>
      <c r="K17" s="161">
        <v>127649.25</v>
      </c>
      <c r="L17" s="143">
        <v>3.5244608100999476E-2</v>
      </c>
      <c r="M17" s="265">
        <v>266</v>
      </c>
      <c r="N17" s="143">
        <v>3.5238187016157531E-2</v>
      </c>
      <c r="O17" s="143">
        <v>3.9202844311377244E-2</v>
      </c>
      <c r="P17" s="23">
        <f>D17/$P$1</f>
        <v>3.0641753162834583E-3</v>
      </c>
      <c r="Q17" s="23">
        <f>1-(E17/Q$1)</f>
        <v>0.99274807826373268</v>
      </c>
      <c r="R17" s="23">
        <f>Q17/R$1</f>
        <v>7.6365236789517933E-3</v>
      </c>
      <c r="S17" s="23">
        <f>F17/S$1</f>
        <v>5.9530543564664641E-3</v>
      </c>
      <c r="T17" s="23">
        <f>1-(G17/T$1)</f>
        <v>0.99318314858257473</v>
      </c>
      <c r="U17" s="97">
        <f>T17/U$1</f>
        <v>7.6398703737121133E-3</v>
      </c>
      <c r="V17" s="23">
        <f>H17/V$1</f>
        <v>8.0890198668766827E-3</v>
      </c>
      <c r="W17" s="23">
        <f>I17/W$1</f>
        <v>6.1445713291983072E-3</v>
      </c>
      <c r="X17" s="23">
        <f>J17/X$1</f>
        <v>6.3680429150966443E-3</v>
      </c>
      <c r="Y17" s="23">
        <f>1-(K17/Y$1)</f>
        <v>0.99040490284338034</v>
      </c>
      <c r="Z17" s="97">
        <f>Y17/Z$1</f>
        <v>7.6184992526413869E-3</v>
      </c>
      <c r="AA17" s="23">
        <f>L17/$AA$1</f>
        <v>5.3834959690739082E-3</v>
      </c>
      <c r="AB17" s="23">
        <f>M17/AB$1</f>
        <v>2.495356385673277E-3</v>
      </c>
      <c r="AC17" s="23">
        <f>N17/AC$1</f>
        <v>5.3474632453301071E-3</v>
      </c>
      <c r="AD17" s="23">
        <f>O17/AD$1</f>
        <v>5.9653185774352383E-3</v>
      </c>
      <c r="AE17" s="27">
        <f>('Modelo AHP'!$U$37*aux!P17)+('Modelo AHP'!$U$38*aux!R17)+('Modelo AHP'!$U$39*aux!S17)</f>
        <v>5.2547375766600953E-3</v>
      </c>
      <c r="AF17" s="28">
        <f>aux!U17</f>
        <v>7.6398703737121133E-3</v>
      </c>
      <c r="AG17" s="27">
        <f>('Modelo AHP'!$U$47*aux!V17)+('Modelo AHP'!$U$48*aux!W17)+('Modelo AHP'!$U$49*aux!X17)</f>
        <v>6.5601381914372012E-3</v>
      </c>
      <c r="AH17" s="28">
        <f>Z17</f>
        <v>7.6184992526413869E-3</v>
      </c>
      <c r="AI17" s="27">
        <f>('Modelo AHP'!$U$56*aux!AA17)+('Modelo AHP'!$U$57*aux!AB17)+('Modelo AHP'!$U$58*aux!AC17)+('Modelo AHP'!$U$59*aux!AD17)</f>
        <v>4.0224239138251074E-3</v>
      </c>
      <c r="AJ17" s="29">
        <f>('Modelo AHP'!$U$23*aux!AE17)+('Modelo AHP'!$U$24*aux!AF17)+('Modelo AHP'!$U$25*aux!AG17)+('Modelo AHP'!$U$26*aux!AH17)+('Modelo AHP'!$U$27*aux!AI17)</f>
        <v>6.5325885945951186E-3</v>
      </c>
    </row>
    <row r="18" spans="1:36">
      <c r="A18" s="1">
        <f>_xlfn.RANK.EQ(AJ18,AJ$5:AJ$135)</f>
        <v>102</v>
      </c>
      <c r="B18" s="16" t="s">
        <v>29</v>
      </c>
      <c r="C18" s="17" t="s">
        <v>30</v>
      </c>
      <c r="D18" s="143">
        <v>5.0683015386446838E-2</v>
      </c>
      <c r="E18" s="18">
        <v>84.16</v>
      </c>
      <c r="F18" s="143">
        <v>0.25641398886422356</v>
      </c>
      <c r="G18" s="159">
        <v>41948.887029967016</v>
      </c>
      <c r="H18" s="146">
        <v>6.1</v>
      </c>
      <c r="I18" s="146">
        <v>7.59</v>
      </c>
      <c r="J18" s="143">
        <v>3.3098371565551614E-2</v>
      </c>
      <c r="K18" s="161">
        <v>95321.7</v>
      </c>
      <c r="L18" s="143">
        <v>2.0164825530422585E-2</v>
      </c>
      <c r="M18" s="265">
        <v>121</v>
      </c>
      <c r="N18" s="143">
        <v>1.6607240371334039E-2</v>
      </c>
      <c r="O18" s="143">
        <v>2.6166417165668664E-2</v>
      </c>
      <c r="P18" s="23">
        <f>D18/$P$1</f>
        <v>4.6391388737894706E-3</v>
      </c>
      <c r="Q18" s="23">
        <f>1-(E18/Q$1)</f>
        <v>0.99225971168897575</v>
      </c>
      <c r="R18" s="23">
        <f>Q18/R$1</f>
        <v>7.6327670129921242E-3</v>
      </c>
      <c r="S18" s="23">
        <f>F18/S$1</f>
        <v>5.2570288118975027E-3</v>
      </c>
      <c r="T18" s="23">
        <f>1-(G18/T$1)</f>
        <v>0.9924627116167769</v>
      </c>
      <c r="U18" s="97">
        <f>T18/U$1</f>
        <v>7.6343285508982837E-3</v>
      </c>
      <c r="V18" s="23">
        <f>H18/V$1</f>
        <v>6.1988720085361512E-3</v>
      </c>
      <c r="W18" s="23">
        <f>I18/W$1</f>
        <v>6.2853499176031202E-3</v>
      </c>
      <c r="X18" s="23">
        <f>J18/X$1</f>
        <v>5.3130461584570479E-3</v>
      </c>
      <c r="Y18" s="23">
        <f>1-(K18/Y$1)</f>
        <v>0.99283488956939303</v>
      </c>
      <c r="Z18" s="97">
        <f>Y18/Z$1</f>
        <v>7.6371914582261001E-3</v>
      </c>
      <c r="AA18" s="23">
        <f>L18/$AA$1</f>
        <v>3.080109634047261E-3</v>
      </c>
      <c r="AB18" s="23">
        <f>M18/AB$1</f>
        <v>1.1351057243100247E-3</v>
      </c>
      <c r="AC18" s="23">
        <f>N18/AC$1</f>
        <v>2.5201809460671512E-3</v>
      </c>
      <c r="AD18" s="23">
        <f>O18/AD$1</f>
        <v>3.9816247306827092E-3</v>
      </c>
      <c r="AE18" s="27">
        <f>('Modelo AHP'!$U$37*aux!P18)+('Modelo AHP'!$U$38*aux!R18)+('Modelo AHP'!$U$39*aux!S18)</f>
        <v>5.309235650574555E-3</v>
      </c>
      <c r="AF18" s="28">
        <f>aux!U18</f>
        <v>7.6343285508982837E-3</v>
      </c>
      <c r="AG18" s="27">
        <f>('Modelo AHP'!$U$47*aux!V18)+('Modelo AHP'!$U$48*aux!W18)+('Modelo AHP'!$U$49*aux!X18)</f>
        <v>5.8940755754686306E-3</v>
      </c>
      <c r="AH18" s="28">
        <f>Z18</f>
        <v>7.6371914582261001E-3</v>
      </c>
      <c r="AI18" s="27">
        <f>('Modelo AHP'!$U$56*aux!AA18)+('Modelo AHP'!$U$57*aux!AB18)+('Modelo AHP'!$U$58*aux!AC18)+('Modelo AHP'!$U$59*aux!AD18)</f>
        <v>2.1112150528219747E-3</v>
      </c>
      <c r="AJ18" s="29">
        <f>('Modelo AHP'!$U$23*aux!AE18)+('Modelo AHP'!$U$24*aux!AF18)+('Modelo AHP'!$U$25*aux!AG18)+('Modelo AHP'!$U$26*aux!AH18)+('Modelo AHP'!$U$27*aux!AI18)</f>
        <v>6.1347647134496379E-3</v>
      </c>
    </row>
    <row r="19" spans="1:36">
      <c r="A19" s="1">
        <f>_xlfn.RANK.EQ(AJ19,AJ$5:AJ$135)</f>
        <v>92</v>
      </c>
      <c r="B19" s="16" t="s">
        <v>29</v>
      </c>
      <c r="C19" s="17" t="s">
        <v>31</v>
      </c>
      <c r="D19" s="143">
        <v>3.8593622240392478E-2</v>
      </c>
      <c r="E19" s="18">
        <v>82.52</v>
      </c>
      <c r="F19" s="143">
        <v>0.26134101983391667</v>
      </c>
      <c r="G19" s="159">
        <v>45842.92865148378</v>
      </c>
      <c r="H19" s="146">
        <v>6.73</v>
      </c>
      <c r="I19" s="146">
        <v>8.7799999999999994</v>
      </c>
      <c r="J19" s="143">
        <v>3.3098371565551614E-2</v>
      </c>
      <c r="K19" s="161">
        <v>89195.73</v>
      </c>
      <c r="L19" s="143">
        <v>2.0164825530422585E-2</v>
      </c>
      <c r="M19" s="265">
        <v>121</v>
      </c>
      <c r="N19" s="143">
        <v>1.6607240371334039E-2</v>
      </c>
      <c r="O19" s="143">
        <v>2.6166417165668664E-2</v>
      </c>
      <c r="P19" s="23">
        <f>D19/$P$1</f>
        <v>3.5325675051218067E-3</v>
      </c>
      <c r="Q19" s="23">
        <f>1-(E19/Q$1)</f>
        <v>0.9924105443034017</v>
      </c>
      <c r="R19" s="23">
        <f>Q19/R$1</f>
        <v>7.6339272638723237E-3</v>
      </c>
      <c r="S19" s="23">
        <f>F19/S$1</f>
        <v>5.3580433621547565E-3</v>
      </c>
      <c r="T19" s="23">
        <f>1-(G19/T$1)</f>
        <v>0.99176303835353452</v>
      </c>
      <c r="U19" s="97">
        <f>T19/U$1</f>
        <v>7.6289464488733423E-3</v>
      </c>
      <c r="V19" s="23">
        <f>H19/V$1</f>
        <v>6.8390833799095571E-3</v>
      </c>
      <c r="W19" s="23">
        <f>I19/W$1</f>
        <v>7.270800036436811E-3</v>
      </c>
      <c r="X19" s="23">
        <f>J19/X$1</f>
        <v>5.3130461584570479E-3</v>
      </c>
      <c r="Y19" s="23">
        <f>1-(K19/Y$1)</f>
        <v>0.9932953644827085</v>
      </c>
      <c r="Z19" s="97">
        <f>Y19/Z$1</f>
        <v>7.6407335729439113E-3</v>
      </c>
      <c r="AA19" s="23">
        <f>L19/$AA$1</f>
        <v>3.080109634047261E-3</v>
      </c>
      <c r="AB19" s="23">
        <f>M19/AB$1</f>
        <v>1.1351057243100247E-3</v>
      </c>
      <c r="AC19" s="23">
        <f>N19/AC$1</f>
        <v>2.5201809460671512E-3</v>
      </c>
      <c r="AD19" s="23">
        <f>O19/AD$1</f>
        <v>3.9816247306827092E-3</v>
      </c>
      <c r="AE19" s="27">
        <f>('Modelo AHP'!$U$37*aux!P19)+('Modelo AHP'!$U$38*aux!R19)+('Modelo AHP'!$U$39*aux!S19)</f>
        <v>5.037988995216628E-3</v>
      </c>
      <c r="AF19" s="28">
        <f>aux!U19</f>
        <v>7.6289464488733423E-3</v>
      </c>
      <c r="AG19" s="27">
        <f>('Modelo AHP'!$U$47*aux!V19)+('Modelo AHP'!$U$48*aux!W19)+('Modelo AHP'!$U$49*aux!X19)</f>
        <v>6.4393765322157759E-3</v>
      </c>
      <c r="AH19" s="28">
        <f>Z19</f>
        <v>7.6407335729439113E-3</v>
      </c>
      <c r="AI19" s="27">
        <f>('Modelo AHP'!$U$56*aux!AA19)+('Modelo AHP'!$U$57*aux!AB19)+('Modelo AHP'!$U$58*aux!AC19)+('Modelo AHP'!$U$59*aux!AD19)</f>
        <v>2.1112150528219747E-3</v>
      </c>
      <c r="AJ19" s="29">
        <f>('Modelo AHP'!$U$23*aux!AE19)+('Modelo AHP'!$U$24*aux!AF19)+('Modelo AHP'!$U$25*aux!AG19)+('Modelo AHP'!$U$26*aux!AH19)+('Modelo AHP'!$U$27*aux!AI19)</f>
        <v>6.2743709194371276E-3</v>
      </c>
    </row>
    <row r="20" spans="1:36">
      <c r="A20" s="1">
        <f>_xlfn.RANK.EQ(AJ20,AJ$5:AJ$135)</f>
        <v>118</v>
      </c>
      <c r="B20" s="16" t="s">
        <v>29</v>
      </c>
      <c r="C20" s="17" t="s">
        <v>319</v>
      </c>
      <c r="D20" s="143">
        <v>1.9838196058180567E-2</v>
      </c>
      <c r="E20" s="18">
        <v>85.36</v>
      </c>
      <c r="F20" s="143">
        <v>0.20516823687752356</v>
      </c>
      <c r="G20" s="159">
        <v>58249.144489218801</v>
      </c>
      <c r="H20" s="146">
        <v>5.21</v>
      </c>
      <c r="I20" s="146">
        <v>6.64</v>
      </c>
      <c r="J20" s="143">
        <v>3.3098371565551614E-2</v>
      </c>
      <c r="K20" s="161">
        <v>124451.81</v>
      </c>
      <c r="L20" s="143">
        <v>2.0164825530422585E-2</v>
      </c>
      <c r="M20" s="265">
        <v>121</v>
      </c>
      <c r="N20" s="143">
        <v>1.6607240371334039E-2</v>
      </c>
      <c r="O20" s="143">
        <v>2.6166417165668664E-2</v>
      </c>
      <c r="P20" s="23">
        <f>D20/$P$1</f>
        <v>1.8158380241908982E-3</v>
      </c>
      <c r="Q20" s="23">
        <f>1-(E20/Q$1)</f>
        <v>0.99214934636134711</v>
      </c>
      <c r="R20" s="23">
        <f>Q20/R$1</f>
        <v>7.6319180489334429E-3</v>
      </c>
      <c r="S20" s="23">
        <f>F20/S$1</f>
        <v>4.2063825664460167E-3</v>
      </c>
      <c r="T20" s="23">
        <f>1-(G20/T$1)</f>
        <v>0.98953391541049385</v>
      </c>
      <c r="U20" s="97">
        <f>T20/U$1</f>
        <v>7.611799349311491E-3</v>
      </c>
      <c r="V20" s="23">
        <f>H20/V$1</f>
        <v>5.2944464204054669E-3</v>
      </c>
      <c r="W20" s="23">
        <f>I20/W$1</f>
        <v>5.4986460412232829E-3</v>
      </c>
      <c r="X20" s="23">
        <f>J20/X$1</f>
        <v>5.3130461584570479E-3</v>
      </c>
      <c r="Y20" s="23">
        <f>1-(K20/Y$1)</f>
        <v>0.99064524696958911</v>
      </c>
      <c r="Z20" s="97">
        <f>Y20/Z$1</f>
        <v>7.6203480536122239E-3</v>
      </c>
      <c r="AA20" s="23">
        <f>L20/$AA$1</f>
        <v>3.080109634047261E-3</v>
      </c>
      <c r="AB20" s="23">
        <f>M20/AB$1</f>
        <v>1.1351057243100247E-3</v>
      </c>
      <c r="AC20" s="23">
        <f>N20/AC$1</f>
        <v>2.5201809460671512E-3</v>
      </c>
      <c r="AD20" s="23">
        <f>O20/AD$1</f>
        <v>3.9816247306827092E-3</v>
      </c>
      <c r="AE20" s="27">
        <f>('Modelo AHP'!$U$37*aux!P20)+('Modelo AHP'!$U$38*aux!R20)+('Modelo AHP'!$U$39*aux!S20)</f>
        <v>3.8317727520182235E-3</v>
      </c>
      <c r="AF20" s="28">
        <f>aux!U20</f>
        <v>7.611799349311491E-3</v>
      </c>
      <c r="AG20" s="27">
        <f>('Modelo AHP'!$U$47*aux!V20)+('Modelo AHP'!$U$48*aux!W20)+('Modelo AHP'!$U$49*aux!X20)</f>
        <v>5.3921994767248448E-3</v>
      </c>
      <c r="AH20" s="28">
        <f>Z20</f>
        <v>7.6203480536122239E-3</v>
      </c>
      <c r="AI20" s="27">
        <f>('Modelo AHP'!$U$56*aux!AA20)+('Modelo AHP'!$U$57*aux!AB20)+('Modelo AHP'!$U$58*aux!AC20)+('Modelo AHP'!$U$59*aux!AD20)</f>
        <v>2.1112150528219747E-3</v>
      </c>
      <c r="AJ20" s="29">
        <f>('Modelo AHP'!$U$23*aux!AE20)+('Modelo AHP'!$U$24*aux!AF20)+('Modelo AHP'!$U$25*aux!AG20)+('Modelo AHP'!$U$26*aux!AH20)+('Modelo AHP'!$U$27*aux!AI20)</f>
        <v>5.7081602648806308E-3</v>
      </c>
    </row>
    <row r="21" spans="1:36">
      <c r="A21" s="1">
        <f>_xlfn.RANK.EQ(AJ21,AJ$5:AJ$135)</f>
        <v>106</v>
      </c>
      <c r="B21" s="16" t="s">
        <v>29</v>
      </c>
      <c r="C21" s="17" t="s">
        <v>32</v>
      </c>
      <c r="D21" s="143">
        <v>5.2114381520119227E-2</v>
      </c>
      <c r="E21" s="18">
        <v>82.81</v>
      </c>
      <c r="F21" s="143">
        <v>0.23402168897092754</v>
      </c>
      <c r="G21" s="159">
        <v>45561.1376637797</v>
      </c>
      <c r="H21" s="146">
        <v>5.73</v>
      </c>
      <c r="I21" s="146">
        <v>7.45</v>
      </c>
      <c r="J21" s="143">
        <v>3.3098371565551614E-2</v>
      </c>
      <c r="K21" s="161">
        <v>160287.21</v>
      </c>
      <c r="L21" s="143">
        <v>2.0164825530422585E-2</v>
      </c>
      <c r="M21" s="265">
        <v>121</v>
      </c>
      <c r="N21" s="143">
        <v>1.6607240371334039E-2</v>
      </c>
      <c r="O21" s="143">
        <v>2.6166417165668664E-2</v>
      </c>
      <c r="P21" s="23">
        <f>D21/$P$1</f>
        <v>4.7701552748996741E-3</v>
      </c>
      <c r="Q21" s="23">
        <f>1-(E21/Q$1)</f>
        <v>0.99238387268255801</v>
      </c>
      <c r="R21" s="23">
        <f>Q21/R$1</f>
        <v>7.633722097558142E-3</v>
      </c>
      <c r="S21" s="23">
        <f>F21/S$1</f>
        <v>4.7979393284214664E-3</v>
      </c>
      <c r="T21" s="23">
        <f>1-(G21/T$1)</f>
        <v>0.99181366996949616</v>
      </c>
      <c r="U21" s="97">
        <f>T21/U$1</f>
        <v>7.6293359228422784E-3</v>
      </c>
      <c r="V21" s="23">
        <f>H21/V$1</f>
        <v>5.8228748539200246E-3</v>
      </c>
      <c r="W21" s="23">
        <f>I21/W$1</f>
        <v>6.1694146095050391E-3</v>
      </c>
      <c r="X21" s="23">
        <f>J21/X$1</f>
        <v>5.3130461584570479E-3</v>
      </c>
      <c r="Y21" s="23">
        <f>1-(K21/Y$1)</f>
        <v>0.98795158331981181</v>
      </c>
      <c r="Z21" s="97">
        <f>Y21/Z$1</f>
        <v>7.5996275639985521E-3</v>
      </c>
      <c r="AA21" s="23">
        <f>L21/$AA$1</f>
        <v>3.080109634047261E-3</v>
      </c>
      <c r="AB21" s="23">
        <f>M21/AB$1</f>
        <v>1.1351057243100247E-3</v>
      </c>
      <c r="AC21" s="23">
        <f>N21/AC$1</f>
        <v>2.5201809460671512E-3</v>
      </c>
      <c r="AD21" s="23">
        <f>O21/AD$1</f>
        <v>3.9816247306827092E-3</v>
      </c>
      <c r="AE21" s="27">
        <f>('Modelo AHP'!$U$37*aux!P21)+('Modelo AHP'!$U$38*aux!R21)+('Modelo AHP'!$U$39*aux!S21)</f>
        <v>5.0731823892785962E-3</v>
      </c>
      <c r="AF21" s="28">
        <f>aux!U21</f>
        <v>7.6293359228422784E-3</v>
      </c>
      <c r="AG21" s="27">
        <f>('Modelo AHP'!$U$47*aux!V21)+('Modelo AHP'!$U$48*aux!W21)+('Modelo AHP'!$U$49*aux!X21)</f>
        <v>5.7790478132416232E-3</v>
      </c>
      <c r="AH21" s="28">
        <f>Z21</f>
        <v>7.5996275639985521E-3</v>
      </c>
      <c r="AI21" s="27">
        <f>('Modelo AHP'!$U$56*aux!AA21)+('Modelo AHP'!$U$57*aux!AB21)+('Modelo AHP'!$U$58*aux!AC21)+('Modelo AHP'!$U$59*aux!AD21)</f>
        <v>2.1112150528219747E-3</v>
      </c>
      <c r="AJ21" s="29">
        <f>('Modelo AHP'!$U$23*aux!AE21)+('Modelo AHP'!$U$24*aux!AF21)+('Modelo AHP'!$U$25*aux!AG21)+('Modelo AHP'!$U$26*aux!AH21)+('Modelo AHP'!$U$27*aux!AI21)</f>
        <v>6.0516293276157845E-3</v>
      </c>
    </row>
    <row r="22" spans="1:36">
      <c r="A22" s="1">
        <f>_xlfn.RANK.EQ(AJ22,AJ$5:AJ$135)</f>
        <v>126</v>
      </c>
      <c r="B22" s="16" t="s">
        <v>29</v>
      </c>
      <c r="C22" s="17" t="s">
        <v>320</v>
      </c>
      <c r="D22" s="143">
        <v>3.7173144876325087E-2</v>
      </c>
      <c r="E22" s="18">
        <v>84.89</v>
      </c>
      <c r="F22" s="143">
        <v>0.18841832324978391</v>
      </c>
      <c r="G22" s="159">
        <v>84955.30244799405</v>
      </c>
      <c r="H22" s="146">
        <v>4.1500000000000004</v>
      </c>
      <c r="I22" s="146">
        <v>5.03</v>
      </c>
      <c r="J22" s="143">
        <v>3.3098371565551614E-2</v>
      </c>
      <c r="K22" s="161">
        <v>329936.75</v>
      </c>
      <c r="L22" s="143">
        <v>2.0164825530422585E-2</v>
      </c>
      <c r="M22" s="265">
        <v>121</v>
      </c>
      <c r="N22" s="143">
        <v>1.6607240371334039E-2</v>
      </c>
      <c r="O22" s="143">
        <v>2.6166417165668664E-2</v>
      </c>
      <c r="P22" s="23">
        <f>D22/$P$1</f>
        <v>3.4025477794062523E-3</v>
      </c>
      <c r="Q22" s="23">
        <f>1-(E22/Q$1)</f>
        <v>0.99219257278133499</v>
      </c>
      <c r="R22" s="23">
        <f>Q22/R$1</f>
        <v>7.6322505598564261E-3</v>
      </c>
      <c r="S22" s="23">
        <f>F22/S$1</f>
        <v>3.8629739290005432E-3</v>
      </c>
      <c r="T22" s="23">
        <f>1-(G22/T$1)</f>
        <v>0.98473540874214294</v>
      </c>
      <c r="U22" s="97">
        <f>T22/U$1</f>
        <v>7.5748877595549456E-3</v>
      </c>
      <c r="V22" s="23">
        <f>H22/V$1</f>
        <v>4.217265382856562E-3</v>
      </c>
      <c r="W22" s="23">
        <f>I22/W$1</f>
        <v>4.1653899980953488E-3</v>
      </c>
      <c r="X22" s="23">
        <f>J22/X$1</f>
        <v>5.3130461584570479E-3</v>
      </c>
      <c r="Y22" s="23">
        <f>1-(K22/Y$1)</f>
        <v>0.9751994220742437</v>
      </c>
      <c r="Z22" s="97">
        <f>Y22/Z$1</f>
        <v>7.5015340159557209E-3</v>
      </c>
      <c r="AA22" s="23">
        <f>L22/$AA$1</f>
        <v>3.080109634047261E-3</v>
      </c>
      <c r="AB22" s="23">
        <f>M22/AB$1</f>
        <v>1.1351057243100247E-3</v>
      </c>
      <c r="AC22" s="23">
        <f>N22/AC$1</f>
        <v>2.5201809460671512E-3</v>
      </c>
      <c r="AD22" s="23">
        <f>O22/AD$1</f>
        <v>3.9816247306827092E-3</v>
      </c>
      <c r="AE22" s="27">
        <f>('Modelo AHP'!$U$37*aux!P22)+('Modelo AHP'!$U$38*aux!R22)+('Modelo AHP'!$U$39*aux!S22)</f>
        <v>4.1017737472078437E-3</v>
      </c>
      <c r="AF22" s="28">
        <f>aux!U22</f>
        <v>7.5748877595549456E-3</v>
      </c>
      <c r="AG22" s="27">
        <f>('Modelo AHP'!$U$47*aux!V22)+('Modelo AHP'!$U$48*aux!W22)+('Modelo AHP'!$U$49*aux!X22)</f>
        <v>4.6187360345229383E-3</v>
      </c>
      <c r="AH22" s="28">
        <f>Z22</f>
        <v>7.5015340159557209E-3</v>
      </c>
      <c r="AI22" s="27">
        <f>('Modelo AHP'!$U$56*aux!AA22)+('Modelo AHP'!$U$57*aux!AB22)+('Modelo AHP'!$U$58*aux!AC22)+('Modelo AHP'!$U$59*aux!AD22)</f>
        <v>2.1112150528219747E-3</v>
      </c>
      <c r="AJ22" s="29">
        <f>('Modelo AHP'!$U$23*aux!AE22)+('Modelo AHP'!$U$24*aux!AF22)+('Modelo AHP'!$U$25*aux!AG22)+('Modelo AHP'!$U$26*aux!AH22)+('Modelo AHP'!$U$27*aux!AI22)</f>
        <v>5.4680695660346097E-3</v>
      </c>
    </row>
    <row r="23" spans="1:36">
      <c r="A23" s="1">
        <f>_xlfn.RANK.EQ(AJ23,AJ$5:AJ$135)</f>
        <v>125</v>
      </c>
      <c r="B23" s="16" t="s">
        <v>29</v>
      </c>
      <c r="C23" s="17" t="s">
        <v>33</v>
      </c>
      <c r="D23" s="143">
        <v>2.4672774869109949E-2</v>
      </c>
      <c r="E23" s="18">
        <v>83.81</v>
      </c>
      <c r="F23" s="143">
        <v>0.16060450819672131</v>
      </c>
      <c r="G23" s="159">
        <v>69100.160909916463</v>
      </c>
      <c r="H23" s="146">
        <v>4.8099999999999996</v>
      </c>
      <c r="I23" s="146">
        <v>5.71</v>
      </c>
      <c r="J23" s="143">
        <v>3.3098371565551614E-2</v>
      </c>
      <c r="K23" s="161">
        <v>205637.32</v>
      </c>
      <c r="L23" s="143">
        <v>2.0164825530422585E-2</v>
      </c>
      <c r="M23" s="265">
        <v>121</v>
      </c>
      <c r="N23" s="143">
        <v>1.6607240371334039E-2</v>
      </c>
      <c r="O23" s="143">
        <v>2.6166417165668664E-2</v>
      </c>
      <c r="P23" s="23">
        <f>D23/$P$1</f>
        <v>2.2583587055112707E-3</v>
      </c>
      <c r="Q23" s="23">
        <f>1-(E23/Q$1)</f>
        <v>0.99229190157620084</v>
      </c>
      <c r="R23" s="23">
        <f>Q23/R$1</f>
        <v>7.6330146275092403E-3</v>
      </c>
      <c r="S23" s="23">
        <f>F23/S$1</f>
        <v>3.2927319240677933E-3</v>
      </c>
      <c r="T23" s="23">
        <f>1-(G23/T$1)</f>
        <v>0.98758422744963181</v>
      </c>
      <c r="U23" s="97">
        <f>T23/U$1</f>
        <v>7.5968017496125528E-3</v>
      </c>
      <c r="V23" s="23">
        <f>H23/V$1</f>
        <v>4.8879630100096532E-3</v>
      </c>
      <c r="W23" s="23">
        <f>I23/W$1</f>
        <v>4.7285043517146007E-3</v>
      </c>
      <c r="X23" s="23">
        <f>J23/X$1</f>
        <v>5.3130461584570479E-3</v>
      </c>
      <c r="Y23" s="23">
        <f>1-(K23/Y$1)</f>
        <v>0.98454272105455454</v>
      </c>
      <c r="Z23" s="97">
        <f>Y23/Z$1</f>
        <v>7.5734055465734966E-3</v>
      </c>
      <c r="AA23" s="23">
        <f>L23/$AA$1</f>
        <v>3.080109634047261E-3</v>
      </c>
      <c r="AB23" s="23">
        <f>M23/AB$1</f>
        <v>1.1351057243100247E-3</v>
      </c>
      <c r="AC23" s="23">
        <f>N23/AC$1</f>
        <v>2.5201809460671512E-3</v>
      </c>
      <c r="AD23" s="23">
        <f>O23/AD$1</f>
        <v>3.9816247306827092E-3</v>
      </c>
      <c r="AE23" s="27">
        <f>('Modelo AHP'!$U$37*aux!P23)+('Modelo AHP'!$U$38*aux!R23)+('Modelo AHP'!$U$39*aux!S23)</f>
        <v>3.416448228844981E-3</v>
      </c>
      <c r="AF23" s="28">
        <f>aux!U23</f>
        <v>7.5968017496125528E-3</v>
      </c>
      <c r="AG23" s="27">
        <f>('Modelo AHP'!$U$47*aux!V23)+('Modelo AHP'!$U$48*aux!W23)+('Modelo AHP'!$U$49*aux!X23)</f>
        <v>4.9819192876589423E-3</v>
      </c>
      <c r="AH23" s="28">
        <f>Z23</f>
        <v>7.5734055465734966E-3</v>
      </c>
      <c r="AI23" s="27">
        <f>('Modelo AHP'!$U$56*aux!AA23)+('Modelo AHP'!$U$57*aux!AB23)+('Modelo AHP'!$U$58*aux!AC23)+('Modelo AHP'!$U$59*aux!AD23)</f>
        <v>2.1112150528219747E-3</v>
      </c>
      <c r="AJ23" s="29">
        <f>('Modelo AHP'!$U$23*aux!AE23)+('Modelo AHP'!$U$24*aux!AF23)+('Modelo AHP'!$U$25*aux!AG23)+('Modelo AHP'!$U$26*aux!AH23)+('Modelo AHP'!$U$27*aux!AI23)</f>
        <v>5.49027924348047E-3</v>
      </c>
    </row>
    <row r="24" spans="1:36">
      <c r="A24" s="1">
        <f>_xlfn.RANK.EQ(AJ24,AJ$5:AJ$135)</f>
        <v>124</v>
      </c>
      <c r="B24" s="16" t="s">
        <v>34</v>
      </c>
      <c r="C24" s="17" t="s">
        <v>35</v>
      </c>
      <c r="D24" s="143">
        <v>7.1337903021071333E-2</v>
      </c>
      <c r="E24" s="18">
        <v>84.12</v>
      </c>
      <c r="F24" s="143">
        <v>0.1456194795894008</v>
      </c>
      <c r="G24" s="159">
        <v>84705.717880827317</v>
      </c>
      <c r="H24" s="146">
        <v>3.89</v>
      </c>
      <c r="I24" s="146">
        <v>5</v>
      </c>
      <c r="J24" s="143">
        <v>2.9046305859304296E-2</v>
      </c>
      <c r="K24" s="161">
        <v>261448.85</v>
      </c>
      <c r="L24" s="143">
        <v>3.7816353965749019E-2</v>
      </c>
      <c r="M24" s="265">
        <v>111</v>
      </c>
      <c r="N24" s="143">
        <v>2.5119655648710288E-2</v>
      </c>
      <c r="O24" s="143">
        <v>2.8817365269461079E-2</v>
      </c>
      <c r="P24" s="23">
        <f>D24/$P$1</f>
        <v>6.5297306515068529E-3</v>
      </c>
      <c r="Q24" s="23">
        <f>1-(E24/Q$1)</f>
        <v>0.99226339053323009</v>
      </c>
      <c r="R24" s="23">
        <f>Q24/R$1</f>
        <v>7.6327953117940814E-3</v>
      </c>
      <c r="S24" s="23">
        <f>F24/S$1</f>
        <v>2.985507160377127E-3</v>
      </c>
      <c r="T24" s="23">
        <f>1-(G24/T$1)</f>
        <v>0.98478025357574706</v>
      </c>
      <c r="U24" s="97">
        <f>T24/U$1</f>
        <v>7.5752327198134392E-3</v>
      </c>
      <c r="V24" s="23">
        <f>H24/V$1</f>
        <v>3.9530511660992836E-3</v>
      </c>
      <c r="W24" s="23">
        <f>I24/W$1</f>
        <v>4.1405467177886169E-3</v>
      </c>
      <c r="X24" s="23">
        <f>J24/X$1</f>
        <v>4.6625968730064074E-3</v>
      </c>
      <c r="Y24" s="23">
        <f>1-(K24/Y$1)</f>
        <v>0.98034749818556322</v>
      </c>
      <c r="Z24" s="97">
        <f>Y24/Z$1</f>
        <v>7.5411346014274093E-3</v>
      </c>
      <c r="AA24" s="23">
        <f>L24/$AA$1</f>
        <v>5.7763215455900801E-3</v>
      </c>
      <c r="AB24" s="23">
        <f>M24/AB$1</f>
        <v>1.0412953338711796E-3</v>
      </c>
      <c r="AC24" s="23">
        <f>N24/AC$1</f>
        <v>3.8119564793510879E-3</v>
      </c>
      <c r="AD24" s="23">
        <f>O24/AD$1</f>
        <v>4.3850074507161179E-3</v>
      </c>
      <c r="AE24" s="27">
        <f>('Modelo AHP'!$U$37*aux!P24)+('Modelo AHP'!$U$38*aux!R24)+('Modelo AHP'!$U$39*aux!S24)</f>
        <v>4.5135030228577403E-3</v>
      </c>
      <c r="AF24" s="28">
        <f>aux!U24</f>
        <v>7.5752327198134392E-3</v>
      </c>
      <c r="AG24" s="27">
        <f>('Modelo AHP'!$U$47*aux!V24)+('Modelo AHP'!$U$48*aux!W24)+('Modelo AHP'!$U$49*aux!X24)</f>
        <v>4.3110495907851092E-3</v>
      </c>
      <c r="AH24" s="28">
        <f>Z24</f>
        <v>7.5411346014274093E-3</v>
      </c>
      <c r="AI24" s="27">
        <f>('Modelo AHP'!$U$56*aux!AA24)+('Modelo AHP'!$U$57*aux!AB24)+('Modelo AHP'!$U$58*aux!AC24)+('Modelo AHP'!$U$59*aux!AD24)</f>
        <v>2.8389015648222268E-3</v>
      </c>
      <c r="AJ24" s="29">
        <f>('Modelo AHP'!$U$23*aux!AE24)+('Modelo AHP'!$U$24*aux!AF24)+('Modelo AHP'!$U$25*aux!AG24)+('Modelo AHP'!$U$26*aux!AH24)+('Modelo AHP'!$U$27*aux!AI24)</f>
        <v>5.5028490272688397E-3</v>
      </c>
    </row>
    <row r="25" spans="1:36">
      <c r="A25" s="1">
        <f>_xlfn.RANK.EQ(AJ25,AJ$5:AJ$135)</f>
        <v>109</v>
      </c>
      <c r="B25" s="16" t="s">
        <v>34</v>
      </c>
      <c r="C25" s="17" t="s">
        <v>36</v>
      </c>
      <c r="D25" s="143">
        <v>6.7828671801107965E-2</v>
      </c>
      <c r="E25" s="18">
        <v>83.79</v>
      </c>
      <c r="F25" s="143">
        <v>0.20110341394615672</v>
      </c>
      <c r="G25" s="159">
        <v>48814.737832512321</v>
      </c>
      <c r="H25" s="146">
        <v>5.24</v>
      </c>
      <c r="I25" s="146">
        <v>7.17</v>
      </c>
      <c r="J25" s="143">
        <v>2.9046305859304296E-2</v>
      </c>
      <c r="K25" s="161">
        <v>157508.54</v>
      </c>
      <c r="L25" s="143">
        <v>3.7816353965749019E-2</v>
      </c>
      <c r="M25" s="265">
        <v>111</v>
      </c>
      <c r="N25" s="143">
        <v>2.5119655648710288E-2</v>
      </c>
      <c r="O25" s="143">
        <v>2.8817365269461079E-2</v>
      </c>
      <c r="P25" s="23">
        <f>D25/$P$1</f>
        <v>6.208522237889042E-3</v>
      </c>
      <c r="Q25" s="23">
        <f>1-(E25/Q$1)</f>
        <v>0.99229374099832801</v>
      </c>
      <c r="R25" s="23">
        <f>Q25/R$1</f>
        <v>7.6330287769102185E-3</v>
      </c>
      <c r="S25" s="23">
        <f>F25/S$1</f>
        <v>4.1230451036183844E-3</v>
      </c>
      <c r="T25" s="23">
        <f>1-(G25/T$1)</f>
        <v>0.99122906988849935</v>
      </c>
      <c r="U25" s="97">
        <f>T25/U$1</f>
        <v>7.6248389991423028E-3</v>
      </c>
      <c r="V25" s="23">
        <f>H25/V$1</f>
        <v>5.3249326761851531E-3</v>
      </c>
      <c r="W25" s="23">
        <f>I25/W$1</f>
        <v>5.937543993308877E-3</v>
      </c>
      <c r="X25" s="23">
        <f>J25/X$1</f>
        <v>4.6625968730064074E-3</v>
      </c>
      <c r="Y25" s="23">
        <f>1-(K25/Y$1)</f>
        <v>0.988160449479356</v>
      </c>
      <c r="Z25" s="97">
        <f>Y25/Z$1</f>
        <v>7.6012342267642767E-3</v>
      </c>
      <c r="AA25" s="23">
        <f>L25/$AA$1</f>
        <v>5.7763215455900801E-3</v>
      </c>
      <c r="AB25" s="23">
        <f>M25/AB$1</f>
        <v>1.0412953338711796E-3</v>
      </c>
      <c r="AC25" s="23">
        <f>N25/AC$1</f>
        <v>3.8119564793510879E-3</v>
      </c>
      <c r="AD25" s="23">
        <f>O25/AD$1</f>
        <v>4.3850074507161179E-3</v>
      </c>
      <c r="AE25" s="27">
        <f>('Modelo AHP'!$U$37*aux!P25)+('Modelo AHP'!$U$38*aux!R25)+('Modelo AHP'!$U$39*aux!S25)</f>
        <v>5.0996866112287646E-3</v>
      </c>
      <c r="AF25" s="28">
        <f>aux!U25</f>
        <v>7.6248389991423028E-3</v>
      </c>
      <c r="AG25" s="27">
        <f>('Modelo AHP'!$U$47*aux!V25)+('Modelo AHP'!$U$48*aux!W25)+('Modelo AHP'!$U$49*aux!X25)</f>
        <v>5.340012679749092E-3</v>
      </c>
      <c r="AH25" s="28">
        <f>Z25</f>
        <v>7.6012342267642767E-3</v>
      </c>
      <c r="AI25" s="27">
        <f>('Modelo AHP'!$U$56*aux!AA25)+('Modelo AHP'!$U$57*aux!AB25)+('Modelo AHP'!$U$58*aux!AC25)+('Modelo AHP'!$U$59*aux!AD25)</f>
        <v>2.8389015648222268E-3</v>
      </c>
      <c r="AJ25" s="29">
        <f>('Modelo AHP'!$U$23*aux!AE25)+('Modelo AHP'!$U$24*aux!AF25)+('Modelo AHP'!$U$25*aux!AG25)+('Modelo AHP'!$U$26*aux!AH25)+('Modelo AHP'!$U$27*aux!AI25)</f>
        <v>5.9728179110004349E-3</v>
      </c>
    </row>
    <row r="26" spans="1:36">
      <c r="A26" s="1">
        <f>_xlfn.RANK.EQ(AJ26,AJ$5:AJ$135)</f>
        <v>95</v>
      </c>
      <c r="B26" s="16" t="s">
        <v>34</v>
      </c>
      <c r="C26" s="17" t="s">
        <v>37</v>
      </c>
      <c r="D26" s="143">
        <v>6.2081264761170291E-2</v>
      </c>
      <c r="E26" s="18">
        <v>83.93</v>
      </c>
      <c r="F26" s="143">
        <v>0.25728696264148732</v>
      </c>
      <c r="G26" s="159">
        <v>40503.559002474132</v>
      </c>
      <c r="H26" s="146">
        <v>6.05</v>
      </c>
      <c r="I26" s="146">
        <v>8.1300000000000008</v>
      </c>
      <c r="J26" s="143">
        <v>2.9046305859304296E-2</v>
      </c>
      <c r="K26" s="161">
        <v>109738.52</v>
      </c>
      <c r="L26" s="143">
        <v>3.7816353965749019E-2</v>
      </c>
      <c r="M26" s="265">
        <v>111</v>
      </c>
      <c r="N26" s="143">
        <v>2.5119655648710288E-2</v>
      </c>
      <c r="O26" s="143">
        <v>2.8817365269461079E-2</v>
      </c>
      <c r="P26" s="23">
        <f>D26/$P$1</f>
        <v>5.6824481829188221E-3</v>
      </c>
      <c r="Q26" s="23">
        <f>1-(E26/Q$1)</f>
        <v>0.99228086504343793</v>
      </c>
      <c r="R26" s="23">
        <f>Q26/R$1</f>
        <v>7.6329297311033724E-3</v>
      </c>
      <c r="S26" s="23">
        <f>F26/S$1</f>
        <v>5.2749266197333177E-3</v>
      </c>
      <c r="T26" s="23">
        <f>1-(G26/T$1)</f>
        <v>0.9927224051372221</v>
      </c>
      <c r="U26" s="97">
        <f>T26/U$1</f>
        <v>7.636326193363247E-3</v>
      </c>
      <c r="V26" s="23">
        <f>H26/V$1</f>
        <v>6.1480615822366745E-3</v>
      </c>
      <c r="W26" s="23">
        <f>I26/W$1</f>
        <v>6.7325289631242919E-3</v>
      </c>
      <c r="X26" s="23">
        <f>J26/X$1</f>
        <v>4.6625968730064074E-3</v>
      </c>
      <c r="Y26" s="23">
        <f>1-(K26/Y$1)</f>
        <v>0.99175121074958406</v>
      </c>
      <c r="Z26" s="97">
        <f>Y26/Z$1</f>
        <v>7.6288554673044923E-3</v>
      </c>
      <c r="AA26" s="23">
        <f>L26/$AA$1</f>
        <v>5.7763215455900801E-3</v>
      </c>
      <c r="AB26" s="23">
        <f>M26/AB$1</f>
        <v>1.0412953338711796E-3</v>
      </c>
      <c r="AC26" s="23">
        <f>N26/AC$1</f>
        <v>3.8119564793510879E-3</v>
      </c>
      <c r="AD26" s="23">
        <f>O26/AD$1</f>
        <v>4.3850074507161179E-3</v>
      </c>
      <c r="AE26" s="27">
        <f>('Modelo AHP'!$U$37*aux!P26)+('Modelo AHP'!$U$38*aux!R26)+('Modelo AHP'!$U$39*aux!S26)</f>
        <v>5.6329833998259738E-3</v>
      </c>
      <c r="AF26" s="28">
        <f>aux!U26</f>
        <v>7.636326193363247E-3</v>
      </c>
      <c r="AG26" s="27">
        <f>('Modelo AHP'!$U$47*aux!V26)+('Modelo AHP'!$U$48*aux!W26)+('Modelo AHP'!$U$49*aux!X26)</f>
        <v>5.8318054680398558E-3</v>
      </c>
      <c r="AH26" s="28">
        <f>Z26</f>
        <v>7.6288554673044923E-3</v>
      </c>
      <c r="AI26" s="27">
        <f>('Modelo AHP'!$U$56*aux!AA26)+('Modelo AHP'!$U$57*aux!AB26)+('Modelo AHP'!$U$58*aux!AC26)+('Modelo AHP'!$U$59*aux!AD26)</f>
        <v>2.8389015648222268E-3</v>
      </c>
      <c r="AJ26" s="29">
        <f>('Modelo AHP'!$U$23*aux!AE26)+('Modelo AHP'!$U$24*aux!AF26)+('Modelo AHP'!$U$25*aux!AG26)+('Modelo AHP'!$U$26*aux!AH26)+('Modelo AHP'!$U$27*aux!AI26)</f>
        <v>6.2356571313882418E-3</v>
      </c>
    </row>
    <row r="27" spans="1:36">
      <c r="A27" s="1">
        <f>_xlfn.RANK.EQ(AJ27,AJ$5:AJ$135)</f>
        <v>104</v>
      </c>
      <c r="B27" s="16" t="s">
        <v>34</v>
      </c>
      <c r="C27" s="17" t="s">
        <v>38</v>
      </c>
      <c r="D27" s="143">
        <v>5.9914200538064427E-2</v>
      </c>
      <c r="E27" s="18">
        <v>84.93</v>
      </c>
      <c r="F27" s="143">
        <v>0.21778030461713396</v>
      </c>
      <c r="G27" s="159">
        <v>46340.874098849337</v>
      </c>
      <c r="H27" s="146">
        <v>5.85</v>
      </c>
      <c r="I27" s="146">
        <v>7.62</v>
      </c>
      <c r="J27" s="143">
        <v>2.9046305859304296E-2</v>
      </c>
      <c r="K27" s="161">
        <v>114996.92</v>
      </c>
      <c r="L27" s="143">
        <v>3.7816353965749019E-2</v>
      </c>
      <c r="M27" s="265">
        <v>111</v>
      </c>
      <c r="N27" s="143">
        <v>2.5119655648710288E-2</v>
      </c>
      <c r="O27" s="143">
        <v>2.8817365269461079E-2</v>
      </c>
      <c r="P27" s="23">
        <f>D27/$P$1</f>
        <v>5.4840915578689012E-3</v>
      </c>
      <c r="Q27" s="23">
        <f>1-(E27/Q$1)</f>
        <v>0.99218889393708076</v>
      </c>
      <c r="R27" s="23">
        <f>Q27/R$1</f>
        <v>7.6322222610544707E-3</v>
      </c>
      <c r="S27" s="23">
        <f>F27/S$1</f>
        <v>4.4649566160851074E-3</v>
      </c>
      <c r="T27" s="23">
        <f>1-(G27/T$1)</f>
        <v>0.9916735685558441</v>
      </c>
      <c r="U27" s="97">
        <f>T27/U$1</f>
        <v>7.6282582196603391E-3</v>
      </c>
      <c r="V27" s="23">
        <f>H27/V$1</f>
        <v>5.9448198770387676E-3</v>
      </c>
      <c r="W27" s="23">
        <f>I27/W$1</f>
        <v>6.3101931979098521E-3</v>
      </c>
      <c r="X27" s="23">
        <f>J27/X$1</f>
        <v>4.6625968730064074E-3</v>
      </c>
      <c r="Y27" s="23">
        <f>1-(K27/Y$1)</f>
        <v>0.99135594905483559</v>
      </c>
      <c r="Z27" s="97">
        <f>Y27/Z$1</f>
        <v>7.6258149927295044E-3</v>
      </c>
      <c r="AA27" s="23">
        <f>L27/$AA$1</f>
        <v>5.7763215455900801E-3</v>
      </c>
      <c r="AB27" s="23">
        <f>M27/AB$1</f>
        <v>1.0412953338711796E-3</v>
      </c>
      <c r="AC27" s="23">
        <f>N27/AC$1</f>
        <v>3.8119564793510879E-3</v>
      </c>
      <c r="AD27" s="23">
        <f>O27/AD$1</f>
        <v>4.3850074507161179E-3</v>
      </c>
      <c r="AE27" s="27">
        <f>('Modelo AHP'!$U$37*aux!P27)+('Modelo AHP'!$U$38*aux!R27)+('Modelo AHP'!$U$39*aux!S27)</f>
        <v>5.0874236631171816E-3</v>
      </c>
      <c r="AF27" s="28">
        <f>aux!U27</f>
        <v>7.6282582196603391E-3</v>
      </c>
      <c r="AG27" s="27">
        <f>('Modelo AHP'!$U$47*aux!V27)+('Modelo AHP'!$U$48*aux!W27)+('Modelo AHP'!$U$49*aux!X27)</f>
        <v>5.6101410228374792E-3</v>
      </c>
      <c r="AH27" s="28">
        <f>Z27</f>
        <v>7.6258149927295044E-3</v>
      </c>
      <c r="AI27" s="27">
        <f>('Modelo AHP'!$U$56*aux!AA27)+('Modelo AHP'!$U$57*aux!AB27)+('Modelo AHP'!$U$58*aux!AC27)+('Modelo AHP'!$U$59*aux!AD27)</f>
        <v>2.8389015648222268E-3</v>
      </c>
      <c r="AJ27" s="29">
        <f>('Modelo AHP'!$U$23*aux!AE27)+('Modelo AHP'!$U$24*aux!AF27)+('Modelo AHP'!$U$25*aux!AG27)+('Modelo AHP'!$U$26*aux!AH27)+('Modelo AHP'!$U$27*aux!AI27)</f>
        <v>6.066031602484802E-3</v>
      </c>
    </row>
    <row r="28" spans="1:36">
      <c r="A28" s="1">
        <f>_xlfn.RANK.EQ(AJ28,AJ$5:AJ$135)</f>
        <v>107</v>
      </c>
      <c r="B28" s="16" t="s">
        <v>34</v>
      </c>
      <c r="C28" s="17" t="s">
        <v>39</v>
      </c>
      <c r="D28" s="143">
        <v>7.3153273525481954E-2</v>
      </c>
      <c r="E28" s="18">
        <v>84.7</v>
      </c>
      <c r="F28" s="143">
        <v>0.19123316922711905</v>
      </c>
      <c r="G28" s="159">
        <v>47375.424529116586</v>
      </c>
      <c r="H28" s="146">
        <v>5.45</v>
      </c>
      <c r="I28" s="146">
        <v>7.35</v>
      </c>
      <c r="J28" s="143">
        <v>2.9046305859304296E-2</v>
      </c>
      <c r="K28" s="161">
        <v>152904.34</v>
      </c>
      <c r="L28" s="143">
        <v>3.7816353965749019E-2</v>
      </c>
      <c r="M28" s="265">
        <v>111</v>
      </c>
      <c r="N28" s="143">
        <v>2.5119655648710288E-2</v>
      </c>
      <c r="O28" s="143">
        <v>2.8817365269461079E-2</v>
      </c>
      <c r="P28" s="23">
        <f>D28/$P$1</f>
        <v>6.6958959006169954E-3</v>
      </c>
      <c r="Q28" s="23">
        <f>1-(E28/Q$1)</f>
        <v>0.99221004729154294</v>
      </c>
      <c r="R28" s="23">
        <f>Q28/R$1</f>
        <v>7.632384979165718E-3</v>
      </c>
      <c r="S28" s="23">
        <f>F28/S$1</f>
        <v>3.9206842219118255E-3</v>
      </c>
      <c r="T28" s="23">
        <f>1-(G28/T$1)</f>
        <v>0.99148768269588461</v>
      </c>
      <c r="U28" s="97">
        <f>T28/U$1</f>
        <v>7.6268283284298818E-3</v>
      </c>
      <c r="V28" s="23">
        <f>H28/V$1</f>
        <v>5.5383364666429548E-3</v>
      </c>
      <c r="W28" s="23">
        <f>I28/W$1</f>
        <v>6.0866036751492667E-3</v>
      </c>
      <c r="X28" s="23">
        <f>J28/X$1</f>
        <v>4.6625968730064074E-3</v>
      </c>
      <c r="Y28" s="23">
        <f>1-(K28/Y$1)</f>
        <v>0.98850653648204889</v>
      </c>
      <c r="Z28" s="97">
        <f>Y28/Z$1</f>
        <v>7.6038964344772994E-3</v>
      </c>
      <c r="AA28" s="23">
        <f>L28/$AA$1</f>
        <v>5.7763215455900801E-3</v>
      </c>
      <c r="AB28" s="23">
        <f>M28/AB$1</f>
        <v>1.0412953338711796E-3</v>
      </c>
      <c r="AC28" s="23">
        <f>N28/AC$1</f>
        <v>3.8119564793510879E-3</v>
      </c>
      <c r="AD28" s="23">
        <f>O28/AD$1</f>
        <v>4.3850074507161179E-3</v>
      </c>
      <c r="AE28" s="27">
        <f>('Modelo AHP'!$U$37*aux!P28)+('Modelo AHP'!$U$38*aux!R28)+('Modelo AHP'!$U$39*aux!S28)</f>
        <v>5.1244178012487662E-3</v>
      </c>
      <c r="AF28" s="28">
        <f>aux!U28</f>
        <v>7.6268283284298818E-3</v>
      </c>
      <c r="AG28" s="27">
        <f>('Modelo AHP'!$U$47*aux!V28)+('Modelo AHP'!$U$48*aux!W28)+('Modelo AHP'!$U$49*aux!X28)</f>
        <v>5.4422179769231336E-3</v>
      </c>
      <c r="AH28" s="28">
        <f>Z28</f>
        <v>7.6038964344772994E-3</v>
      </c>
      <c r="AI28" s="27">
        <f>('Modelo AHP'!$U$56*aux!AA28)+('Modelo AHP'!$U$57*aux!AB28)+('Modelo AHP'!$U$58*aux!AC28)+('Modelo AHP'!$U$59*aux!AD28)</f>
        <v>2.8389015648222268E-3</v>
      </c>
      <c r="AJ28" s="29">
        <f>('Modelo AHP'!$U$23*aux!AE28)+('Modelo AHP'!$U$24*aux!AF28)+('Modelo AHP'!$U$25*aux!AG28)+('Modelo AHP'!$U$26*aux!AH28)+('Modelo AHP'!$U$27*aux!AI28)</f>
        <v>6.0127132178874314E-3</v>
      </c>
    </row>
    <row r="29" spans="1:36">
      <c r="A29" s="1">
        <f>_xlfn.RANK.EQ(AJ29,AJ$5:AJ$135)</f>
        <v>119</v>
      </c>
      <c r="B29" s="16" t="s">
        <v>34</v>
      </c>
      <c r="C29" s="17" t="s">
        <v>40</v>
      </c>
      <c r="D29" s="143">
        <v>8.00188835123333E-2</v>
      </c>
      <c r="E29" s="18">
        <v>84.11</v>
      </c>
      <c r="F29" s="143">
        <v>0.16483271375464684</v>
      </c>
      <c r="G29" s="159">
        <v>82811.17901163717</v>
      </c>
      <c r="H29" s="146">
        <v>3.75</v>
      </c>
      <c r="I29" s="146">
        <v>5.68</v>
      </c>
      <c r="J29" s="143">
        <v>2.9046305859304296E-2</v>
      </c>
      <c r="K29" s="161">
        <v>261652.21</v>
      </c>
      <c r="L29" s="143">
        <v>3.7816353965749019E-2</v>
      </c>
      <c r="M29" s="265">
        <v>111</v>
      </c>
      <c r="N29" s="143">
        <v>2.5119655648710288E-2</v>
      </c>
      <c r="O29" s="143">
        <v>2.8817365269461079E-2</v>
      </c>
      <c r="P29" s="23">
        <f>D29/$P$1</f>
        <v>7.3243217734547915E-3</v>
      </c>
      <c r="Q29" s="23">
        <f>1-(E29/Q$1)</f>
        <v>0.99226431024429362</v>
      </c>
      <c r="R29" s="23">
        <f>Q29/R$1</f>
        <v>7.63280238649457E-3</v>
      </c>
      <c r="S29" s="23">
        <f>F29/S$1</f>
        <v>3.3794190761186503E-3</v>
      </c>
      <c r="T29" s="23">
        <f>1-(G29/T$1)</f>
        <v>0.98512066036175094</v>
      </c>
      <c r="U29" s="97">
        <f>T29/U$1</f>
        <v>7.5778512335519304E-3</v>
      </c>
      <c r="V29" s="23">
        <f>H29/V$1</f>
        <v>3.8107819724607487E-3</v>
      </c>
      <c r="W29" s="23">
        <f>I29/W$1</f>
        <v>4.7036610714078688E-3</v>
      </c>
      <c r="X29" s="23">
        <f>J29/X$1</f>
        <v>4.6625968730064074E-3</v>
      </c>
      <c r="Y29" s="23">
        <f>1-(K29/Y$1)</f>
        <v>0.98033221208746413</v>
      </c>
      <c r="Z29" s="97">
        <f>Y29/Z$1</f>
        <v>7.5410170160574164E-3</v>
      </c>
      <c r="AA29" s="23">
        <f>L29/$AA$1</f>
        <v>5.7763215455900801E-3</v>
      </c>
      <c r="AB29" s="23">
        <f>M29/AB$1</f>
        <v>1.0412953338711796E-3</v>
      </c>
      <c r="AC29" s="23">
        <f>N29/AC$1</f>
        <v>3.8119564793510879E-3</v>
      </c>
      <c r="AD29" s="23">
        <f>O29/AD$1</f>
        <v>4.3850074507161179E-3</v>
      </c>
      <c r="AE29" s="27">
        <f>('Modelo AHP'!$U$37*aux!P29)+('Modelo AHP'!$U$38*aux!R29)+('Modelo AHP'!$U$39*aux!S29)</f>
        <v>4.988228216357085E-3</v>
      </c>
      <c r="AF29" s="28">
        <f>aux!U29</f>
        <v>7.5778512335519304E-3</v>
      </c>
      <c r="AG29" s="27">
        <f>('Modelo AHP'!$U$47*aux!V29)+('Modelo AHP'!$U$48*aux!W29)+('Modelo AHP'!$U$49*aux!X29)</f>
        <v>4.5366789601255135E-3</v>
      </c>
      <c r="AH29" s="28">
        <f>Z29</f>
        <v>7.5410170160574164E-3</v>
      </c>
      <c r="AI29" s="27">
        <f>('Modelo AHP'!$U$56*aux!AA29)+('Modelo AHP'!$U$57*aux!AB29)+('Modelo AHP'!$U$58*aux!AC29)+('Modelo AHP'!$U$59*aux!AD29)</f>
        <v>2.8389015648222268E-3</v>
      </c>
      <c r="AJ29" s="29">
        <f>('Modelo AHP'!$U$23*aux!AE29)+('Modelo AHP'!$U$24*aux!AF29)+('Modelo AHP'!$U$25*aux!AG29)+('Modelo AHP'!$U$26*aux!AH29)+('Modelo AHP'!$U$27*aux!AI29)</f>
        <v>5.660012821050742E-3</v>
      </c>
    </row>
    <row r="30" spans="1:36">
      <c r="A30" s="1">
        <f>_xlfn.RANK.EQ(AJ30,AJ$5:AJ$135)</f>
        <v>129</v>
      </c>
      <c r="B30" s="16" t="s">
        <v>41</v>
      </c>
      <c r="C30" s="17" t="s">
        <v>42</v>
      </c>
      <c r="D30" s="143">
        <v>5.774278215223097E-2</v>
      </c>
      <c r="E30" s="18">
        <v>84.73</v>
      </c>
      <c r="F30" s="143">
        <v>0.1626400426796738</v>
      </c>
      <c r="G30" s="159">
        <v>103573.08265600556</v>
      </c>
      <c r="H30" s="146">
        <v>3.41</v>
      </c>
      <c r="I30" s="146">
        <v>4.37</v>
      </c>
      <c r="J30" s="143">
        <v>2.8481565612441029E-2</v>
      </c>
      <c r="K30" s="161">
        <v>315478.28000000003</v>
      </c>
      <c r="L30" s="143">
        <v>2.4314688175813899E-2</v>
      </c>
      <c r="M30" s="265">
        <v>147</v>
      </c>
      <c r="N30" s="143">
        <v>2.2742603835405224E-2</v>
      </c>
      <c r="O30" s="143">
        <v>2.9815369261477046E-2</v>
      </c>
      <c r="P30" s="23">
        <f>D30/$P$1</f>
        <v>5.285336385782693E-3</v>
      </c>
      <c r="Q30" s="23">
        <f>1-(E30/Q$1)</f>
        <v>0.99220728815835213</v>
      </c>
      <c r="R30" s="23">
        <f>Q30/R$1</f>
        <v>7.6323637550642504E-3</v>
      </c>
      <c r="S30" s="23">
        <f>F30/S$1</f>
        <v>3.3344646839374528E-3</v>
      </c>
      <c r="T30" s="23">
        <f>1-(G30/T$1)</f>
        <v>0.98139020489005979</v>
      </c>
      <c r="U30" s="97">
        <f>T30/U$1</f>
        <v>7.5491554222312292E-3</v>
      </c>
      <c r="V30" s="23">
        <f>H30/V$1</f>
        <v>3.4652710736243074E-3</v>
      </c>
      <c r="W30" s="23">
        <f>I30/W$1</f>
        <v>3.6188378313472512E-3</v>
      </c>
      <c r="X30" s="23">
        <f>J30/X$1</f>
        <v>4.5719431381789867E-3</v>
      </c>
      <c r="Y30" s="23">
        <f>1-(K30/Y$1)</f>
        <v>0.97628623162765726</v>
      </c>
      <c r="Z30" s="97">
        <f>Y30/Z$1</f>
        <v>7.5098940894435173E-3</v>
      </c>
      <c r="AA30" s="23">
        <f>L30/$AA$1</f>
        <v>3.7139872688801753E-3</v>
      </c>
      <c r="AB30" s="23">
        <f>M30/AB$1</f>
        <v>1.3790127394510217E-3</v>
      </c>
      <c r="AC30" s="23">
        <f>N30/AC$1</f>
        <v>3.4512342549623664E-3</v>
      </c>
      <c r="AD30" s="23">
        <f>O30/AD$1</f>
        <v>4.5368691806110485E-3</v>
      </c>
      <c r="AE30" s="27">
        <f>('Modelo AHP'!$U$37*aux!P30)+('Modelo AHP'!$U$38*aux!R30)+('Modelo AHP'!$U$39*aux!S30)</f>
        <v>4.3495161016037041E-3</v>
      </c>
      <c r="AF30" s="28">
        <f>aux!U30</f>
        <v>7.5491554222312292E-3</v>
      </c>
      <c r="AG30" s="27">
        <f>('Modelo AHP'!$U$47*aux!V30)+('Modelo AHP'!$U$48*aux!W30)+('Modelo AHP'!$U$49*aux!X30)</f>
        <v>3.9620597221668892E-3</v>
      </c>
      <c r="AH30" s="28">
        <f>Z30</f>
        <v>7.5098940894435173E-3</v>
      </c>
      <c r="AI30" s="27">
        <f>('Modelo AHP'!$U$56*aux!AA30)+('Modelo AHP'!$U$57*aux!AB30)+('Modelo AHP'!$U$58*aux!AC30)+('Modelo AHP'!$U$59*aux!AD30)</f>
        <v>2.607079613280148E-3</v>
      </c>
      <c r="AJ30" s="29">
        <f>('Modelo AHP'!$U$23*aux!AE30)+('Modelo AHP'!$U$24*aux!AF30)+('Modelo AHP'!$U$25*aux!AG30)+('Modelo AHP'!$U$26*aux!AH30)+('Modelo AHP'!$U$27*aux!AI30)</f>
        <v>5.3237595843744923E-3</v>
      </c>
    </row>
    <row r="31" spans="1:36">
      <c r="A31" s="1">
        <f>_xlfn.RANK.EQ(AJ31,AJ$5:AJ$135)</f>
        <v>98</v>
      </c>
      <c r="B31" s="16" t="s">
        <v>41</v>
      </c>
      <c r="C31" s="17" t="s">
        <v>43</v>
      </c>
      <c r="D31" s="143">
        <v>6.1332895241224462E-2</v>
      </c>
      <c r="E31" s="18">
        <v>83.04</v>
      </c>
      <c r="F31" s="143">
        <v>0.22787395774034758</v>
      </c>
      <c r="G31" s="159">
        <v>43701.522001574493</v>
      </c>
      <c r="H31" s="146">
        <v>6.39</v>
      </c>
      <c r="I31" s="146">
        <v>8.5399999999999991</v>
      </c>
      <c r="J31" s="143">
        <v>2.8481565612441029E-2</v>
      </c>
      <c r="K31" s="161">
        <v>101729.75</v>
      </c>
      <c r="L31" s="143">
        <v>2.4314688175813899E-2</v>
      </c>
      <c r="M31" s="265">
        <v>147</v>
      </c>
      <c r="N31" s="143">
        <v>2.2742603835405224E-2</v>
      </c>
      <c r="O31" s="143">
        <v>2.9815369261477046E-2</v>
      </c>
      <c r="P31" s="23">
        <f>D31/$P$1</f>
        <v>5.6139481123238062E-3</v>
      </c>
      <c r="Q31" s="23">
        <f>1-(E31/Q$1)</f>
        <v>0.99236271932809583</v>
      </c>
      <c r="R31" s="23">
        <f>Q31/R$1</f>
        <v>7.6335593794468947E-3</v>
      </c>
      <c r="S31" s="23">
        <f>F31/S$1</f>
        <v>4.6718978423460934E-3</v>
      </c>
      <c r="T31" s="23">
        <f>1-(G31/T$1)</f>
        <v>0.99214780182662943</v>
      </c>
      <c r="U31" s="97">
        <f>T31/U$1</f>
        <v>7.6319061678971492E-3</v>
      </c>
      <c r="V31" s="23">
        <f>H31/V$1</f>
        <v>6.4935724810731158E-3</v>
      </c>
      <c r="W31" s="23">
        <f>I31/W$1</f>
        <v>7.0720537939829575E-3</v>
      </c>
      <c r="X31" s="23">
        <f>J31/X$1</f>
        <v>4.5719431381789867E-3</v>
      </c>
      <c r="Y31" s="23">
        <f>1-(K31/Y$1)</f>
        <v>0.99235321135871435</v>
      </c>
      <c r="Z31" s="97">
        <f>Y31/Z$1</f>
        <v>7.6334862412208793E-3</v>
      </c>
      <c r="AA31" s="23">
        <f>L31/$AA$1</f>
        <v>3.7139872688801753E-3</v>
      </c>
      <c r="AB31" s="23">
        <f>M31/AB$1</f>
        <v>1.3790127394510217E-3</v>
      </c>
      <c r="AC31" s="23">
        <f>N31/AC$1</f>
        <v>3.4512342549623664E-3</v>
      </c>
      <c r="AD31" s="23">
        <f>O31/AD$1</f>
        <v>4.5368691806110485E-3</v>
      </c>
      <c r="AE31" s="27">
        <f>('Modelo AHP'!$U$37*aux!P31)+('Modelo AHP'!$U$38*aux!R31)+('Modelo AHP'!$U$39*aux!S31)</f>
        <v>5.2506790770494877E-3</v>
      </c>
      <c r="AF31" s="28">
        <f>aux!U31</f>
        <v>7.6319061678971492E-3</v>
      </c>
      <c r="AG31" s="27">
        <f>('Modelo AHP'!$U$47*aux!V31)+('Modelo AHP'!$U$48*aux!W31)+('Modelo AHP'!$U$49*aux!X31)</f>
        <v>6.0057044346721548E-3</v>
      </c>
      <c r="AH31" s="28">
        <f>Z31</f>
        <v>7.6334862412208793E-3</v>
      </c>
      <c r="AI31" s="27">
        <f>('Modelo AHP'!$U$56*aux!AA31)+('Modelo AHP'!$U$57*aux!AB31)+('Modelo AHP'!$U$58*aux!AC31)+('Modelo AHP'!$U$59*aux!AD31)</f>
        <v>2.607079613280148E-3</v>
      </c>
      <c r="AJ31" s="29">
        <f>('Modelo AHP'!$U$23*aux!AE31)+('Modelo AHP'!$U$24*aux!AF31)+('Modelo AHP'!$U$25*aux!AG31)+('Modelo AHP'!$U$26*aux!AH31)+('Modelo AHP'!$U$27*aux!AI31)</f>
        <v>6.2085011973208835E-3</v>
      </c>
    </row>
    <row r="32" spans="1:36">
      <c r="A32" s="1">
        <f>_xlfn.RANK.EQ(AJ32,AJ$5:AJ$135)</f>
        <v>97</v>
      </c>
      <c r="B32" s="16" t="s">
        <v>41</v>
      </c>
      <c r="C32" s="17" t="s">
        <v>44</v>
      </c>
      <c r="D32" s="143">
        <v>7.1834261913777245E-2</v>
      </c>
      <c r="E32" s="18">
        <v>83.46</v>
      </c>
      <c r="F32" s="143">
        <v>0.24704697986577182</v>
      </c>
      <c r="G32" s="159">
        <v>43706.982619804076</v>
      </c>
      <c r="H32" s="146">
        <v>6.32</v>
      </c>
      <c r="I32" s="146">
        <v>7.98</v>
      </c>
      <c r="J32" s="143">
        <v>2.8481565612441029E-2</v>
      </c>
      <c r="K32" s="161">
        <v>114722.5</v>
      </c>
      <c r="L32" s="143">
        <v>2.4314688175813899E-2</v>
      </c>
      <c r="M32" s="265">
        <v>147</v>
      </c>
      <c r="N32" s="143">
        <v>2.2742603835405224E-2</v>
      </c>
      <c r="O32" s="143">
        <v>2.9815369261477046E-2</v>
      </c>
      <c r="P32" s="23">
        <f>D32/$P$1</f>
        <v>6.5751635804071106E-3</v>
      </c>
      <c r="Q32" s="23">
        <f>1-(E32/Q$1)</f>
        <v>0.99232409146342582</v>
      </c>
      <c r="R32" s="23">
        <f>Q32/R$1</f>
        <v>7.6332622420263556E-3</v>
      </c>
      <c r="S32" s="23">
        <f>F32/S$1</f>
        <v>5.0649853262659953E-3</v>
      </c>
      <c r="T32" s="23">
        <f>1-(G32/T$1)</f>
        <v>0.99214682067415405</v>
      </c>
      <c r="U32" s="97">
        <f>T32/U$1</f>
        <v>7.631898620570416E-3</v>
      </c>
      <c r="V32" s="23">
        <f>H32/V$1</f>
        <v>6.4224378842538486E-3</v>
      </c>
      <c r="W32" s="23">
        <f>I32/W$1</f>
        <v>6.6083125615906332E-3</v>
      </c>
      <c r="X32" s="23">
        <f>J32/X$1</f>
        <v>4.5719431381789867E-3</v>
      </c>
      <c r="Y32" s="23">
        <f>1-(K32/Y$1)</f>
        <v>0.99137657656781919</v>
      </c>
      <c r="Z32" s="97">
        <f>Y32/Z$1</f>
        <v>7.6259736659063018E-3</v>
      </c>
      <c r="AA32" s="23">
        <f>L32/$AA$1</f>
        <v>3.7139872688801753E-3</v>
      </c>
      <c r="AB32" s="23">
        <f>M32/AB$1</f>
        <v>1.3790127394510217E-3</v>
      </c>
      <c r="AC32" s="23">
        <f>N32/AC$1</f>
        <v>3.4512342549623664E-3</v>
      </c>
      <c r="AD32" s="23">
        <f>O32/AD$1</f>
        <v>4.5368691806110485E-3</v>
      </c>
      <c r="AE32" s="27">
        <f>('Modelo AHP'!$U$37*aux!P32)+('Modelo AHP'!$U$38*aux!R32)+('Modelo AHP'!$U$39*aux!S32)</f>
        <v>5.7748664940843655E-3</v>
      </c>
      <c r="AF32" s="28">
        <f>aux!U32</f>
        <v>7.631898620570416E-3</v>
      </c>
      <c r="AG32" s="27">
        <f>('Modelo AHP'!$U$47*aux!V32)+('Modelo AHP'!$U$48*aux!W32)+('Modelo AHP'!$U$49*aux!X32)</f>
        <v>5.7880321059538709E-3</v>
      </c>
      <c r="AH32" s="28">
        <f>Z32</f>
        <v>7.6259736659063018E-3</v>
      </c>
      <c r="AI32" s="27">
        <f>('Modelo AHP'!$U$56*aux!AA32)+('Modelo AHP'!$U$57*aux!AB32)+('Modelo AHP'!$U$58*aux!AC32)+('Modelo AHP'!$U$59*aux!AD32)</f>
        <v>2.607079613280148E-3</v>
      </c>
      <c r="AJ32" s="29">
        <f>('Modelo AHP'!$U$23*aux!AE32)+('Modelo AHP'!$U$24*aux!AF32)+('Modelo AHP'!$U$25*aux!AG32)+('Modelo AHP'!$U$26*aux!AH32)+('Modelo AHP'!$U$27*aux!AI32)</f>
        <v>6.2210289365961209E-3</v>
      </c>
    </row>
    <row r="33" spans="1:36">
      <c r="A33" s="1">
        <f>_xlfn.RANK.EQ(AJ33,AJ$5:AJ$135)</f>
        <v>121</v>
      </c>
      <c r="B33" s="16" t="s">
        <v>41</v>
      </c>
      <c r="C33" s="17" t="s">
        <v>45</v>
      </c>
      <c r="D33" s="143">
        <v>3.5189494151021579E-2</v>
      </c>
      <c r="E33" s="18">
        <v>84.24</v>
      </c>
      <c r="F33" s="143">
        <v>0.1715201051464246</v>
      </c>
      <c r="G33" s="159">
        <v>62635.35035399715</v>
      </c>
      <c r="H33" s="146">
        <v>4.88</v>
      </c>
      <c r="I33" s="146">
        <v>6.49</v>
      </c>
      <c r="J33" s="143">
        <v>2.8481565612441029E-2</v>
      </c>
      <c r="K33" s="161">
        <v>156270.15</v>
      </c>
      <c r="L33" s="143">
        <v>2.4314688175813899E-2</v>
      </c>
      <c r="M33" s="265">
        <v>147</v>
      </c>
      <c r="N33" s="143">
        <v>2.2742603835405224E-2</v>
      </c>
      <c r="O33" s="143">
        <v>2.9815369261477046E-2</v>
      </c>
      <c r="P33" s="23">
        <f>D33/$P$1</f>
        <v>3.2209794350287588E-3</v>
      </c>
      <c r="Q33" s="23">
        <f>1-(E33/Q$1)</f>
        <v>0.99225235400046718</v>
      </c>
      <c r="R33" s="23">
        <f>Q33/R$1</f>
        <v>7.6327104153882126E-3</v>
      </c>
      <c r="S33" s="23">
        <f>F33/S$1</f>
        <v>3.5165247363001888E-3</v>
      </c>
      <c r="T33" s="23">
        <f>1-(G33/T$1)</f>
        <v>0.98874581110423654</v>
      </c>
      <c r="U33" s="97">
        <f>T33/U$1</f>
        <v>7.6057370084941268E-3</v>
      </c>
      <c r="V33" s="23">
        <f>H33/V$1</f>
        <v>4.9590976068289204E-3</v>
      </c>
      <c r="W33" s="23">
        <f>I33/W$1</f>
        <v>5.3744296396896251E-3</v>
      </c>
      <c r="X33" s="23">
        <f>J33/X$1</f>
        <v>4.5719431381789867E-3</v>
      </c>
      <c r="Y33" s="23">
        <f>1-(K33/Y$1)</f>
        <v>0.98825353637463964</v>
      </c>
      <c r="Z33" s="97">
        <f>Y33/Z$1</f>
        <v>7.6019502798049202E-3</v>
      </c>
      <c r="AA33" s="23">
        <f>L33/$AA$1</f>
        <v>3.7139872688801753E-3</v>
      </c>
      <c r="AB33" s="23">
        <f>M33/AB$1</f>
        <v>1.3790127394510217E-3</v>
      </c>
      <c r="AC33" s="23">
        <f>N33/AC$1</f>
        <v>3.4512342549623664E-3</v>
      </c>
      <c r="AD33" s="23">
        <f>O33/AD$1</f>
        <v>4.5368691806110485E-3</v>
      </c>
      <c r="AE33" s="27">
        <f>('Modelo AHP'!$U$37*aux!P33)+('Modelo AHP'!$U$38*aux!R33)+('Modelo AHP'!$U$39*aux!S33)</f>
        <v>3.839479713827562E-3</v>
      </c>
      <c r="AF33" s="28">
        <f>aux!U33</f>
        <v>7.6057370084941268E-3</v>
      </c>
      <c r="AG33" s="27">
        <f>('Modelo AHP'!$U$47*aux!V33)+('Modelo AHP'!$U$48*aux!W33)+('Modelo AHP'!$U$49*aux!X33)</f>
        <v>4.9932955040675187E-3</v>
      </c>
      <c r="AH33" s="28">
        <f>Z33</f>
        <v>7.6019502798049202E-3</v>
      </c>
      <c r="AI33" s="27">
        <f>('Modelo AHP'!$U$56*aux!AA33)+('Modelo AHP'!$U$57*aux!AB33)+('Modelo AHP'!$U$58*aux!AC33)+('Modelo AHP'!$U$59*aux!AD33)</f>
        <v>2.607079613280148E-3</v>
      </c>
      <c r="AJ33" s="29">
        <f>('Modelo AHP'!$U$23*aux!AE33)+('Modelo AHP'!$U$24*aux!AF33)+('Modelo AHP'!$U$25*aux!AG33)+('Modelo AHP'!$U$26*aux!AH33)+('Modelo AHP'!$U$27*aux!AI33)</f>
        <v>5.6162144462207422E-3</v>
      </c>
    </row>
    <row r="34" spans="1:36">
      <c r="A34" s="1">
        <f>_xlfn.RANK.EQ(AJ34,AJ$5:AJ$135)</f>
        <v>128</v>
      </c>
      <c r="B34" s="16" t="s">
        <v>41</v>
      </c>
      <c r="C34" s="17" t="s">
        <v>46</v>
      </c>
      <c r="D34" s="143">
        <v>4.8824297844546047E-2</v>
      </c>
      <c r="E34" s="18">
        <v>84.79</v>
      </c>
      <c r="F34" s="143">
        <v>0.14127166365972335</v>
      </c>
      <c r="G34" s="159">
        <v>80248.392025596288</v>
      </c>
      <c r="H34" s="146">
        <v>3.75</v>
      </c>
      <c r="I34" s="146">
        <v>5.22</v>
      </c>
      <c r="J34" s="143">
        <v>2.8481565612441029E-2</v>
      </c>
      <c r="K34" s="161">
        <v>201904.31</v>
      </c>
      <c r="L34" s="143">
        <v>2.4314688175813899E-2</v>
      </c>
      <c r="M34" s="265">
        <v>147</v>
      </c>
      <c r="N34" s="143">
        <v>2.2742603835405224E-2</v>
      </c>
      <c r="O34" s="143">
        <v>2.9815369261477046E-2</v>
      </c>
      <c r="P34" s="23">
        <f>D34/$P$1</f>
        <v>4.4690059655897703E-3</v>
      </c>
      <c r="Q34" s="23">
        <f>1-(E34/Q$1)</f>
        <v>0.99220176989197073</v>
      </c>
      <c r="R34" s="23">
        <f>Q34/R$1</f>
        <v>7.6323213068613168E-3</v>
      </c>
      <c r="S34" s="23">
        <f>F34/S$1</f>
        <v>2.8963677428578889E-3</v>
      </c>
      <c r="T34" s="23">
        <f>1-(G34/T$1)</f>
        <v>0.98558113657330726</v>
      </c>
      <c r="U34" s="97">
        <f>T34/U$1</f>
        <v>7.5813933582562099E-3</v>
      </c>
      <c r="V34" s="23">
        <f>H34/V$1</f>
        <v>3.8107819724607487E-3</v>
      </c>
      <c r="W34" s="23">
        <f>I34/W$1</f>
        <v>4.3227307733713161E-3</v>
      </c>
      <c r="X34" s="23">
        <f>J34/X$1</f>
        <v>4.5719431381789867E-3</v>
      </c>
      <c r="Y34" s="23">
        <f>1-(K34/Y$1)</f>
        <v>0.98482332273170214</v>
      </c>
      <c r="Z34" s="97">
        <f>Y34/Z$1</f>
        <v>7.5755640210130931E-3</v>
      </c>
      <c r="AA34" s="23">
        <f>L34/$AA$1</f>
        <v>3.7139872688801753E-3</v>
      </c>
      <c r="AB34" s="23">
        <f>M34/AB$1</f>
        <v>1.3790127394510217E-3</v>
      </c>
      <c r="AC34" s="23">
        <f>N34/AC$1</f>
        <v>3.4512342549623664E-3</v>
      </c>
      <c r="AD34" s="23">
        <f>O34/AD$1</f>
        <v>4.5368691806110485E-3</v>
      </c>
      <c r="AE34" s="27">
        <f>('Modelo AHP'!$U$37*aux!P34)+('Modelo AHP'!$U$38*aux!R34)+('Modelo AHP'!$U$39*aux!S34)</f>
        <v>3.8417545660777959E-3</v>
      </c>
      <c r="AF34" s="28">
        <f>aux!U34</f>
        <v>7.5813933582562099E-3</v>
      </c>
      <c r="AG34" s="27">
        <f>('Modelo AHP'!$U$47*aux!V34)+('Modelo AHP'!$U$48*aux!W34)+('Modelo AHP'!$U$49*aux!X34)</f>
        <v>4.3326467465358131E-3</v>
      </c>
      <c r="AH34" s="28">
        <f>Z34</f>
        <v>7.5755640210130931E-3</v>
      </c>
      <c r="AI34" s="27">
        <f>('Modelo AHP'!$U$56*aux!AA34)+('Modelo AHP'!$U$57*aux!AB34)+('Modelo AHP'!$U$58*aux!AC34)+('Modelo AHP'!$U$59*aux!AD34)</f>
        <v>2.607079613280148E-3</v>
      </c>
      <c r="AJ34" s="29">
        <f>('Modelo AHP'!$U$23*aux!AE34)+('Modelo AHP'!$U$24*aux!AF34)+('Modelo AHP'!$U$25*aux!AG34)+('Modelo AHP'!$U$26*aux!AH34)+('Modelo AHP'!$U$27*aux!AI34)</f>
        <v>5.3809967176532301E-3</v>
      </c>
    </row>
    <row r="35" spans="1:36">
      <c r="A35" s="1">
        <f>_xlfn.RANK.EQ(AJ35,AJ$5:AJ$135)</f>
        <v>115</v>
      </c>
      <c r="B35" s="16" t="s">
        <v>41</v>
      </c>
      <c r="C35" s="17" t="s">
        <v>47</v>
      </c>
      <c r="D35" s="143">
        <v>4.8070653784600799E-2</v>
      </c>
      <c r="E35" s="18">
        <v>85.1</v>
      </c>
      <c r="F35" s="143">
        <v>0.18239041407553466</v>
      </c>
      <c r="G35" s="159">
        <v>54869.965013558787</v>
      </c>
      <c r="H35" s="146">
        <v>5.09</v>
      </c>
      <c r="I35" s="146">
        <v>7.29</v>
      </c>
      <c r="J35" s="143">
        <v>2.8481565612441029E-2</v>
      </c>
      <c r="K35" s="161">
        <v>106610.94</v>
      </c>
      <c r="L35" s="143">
        <v>2.4314688175813899E-2</v>
      </c>
      <c r="M35" s="265">
        <v>147</v>
      </c>
      <c r="N35" s="143">
        <v>2.2742603835405224E-2</v>
      </c>
      <c r="O35" s="143">
        <v>2.9815369261477046E-2</v>
      </c>
      <c r="P35" s="23">
        <f>D35/$P$1</f>
        <v>4.4000231036026866E-3</v>
      </c>
      <c r="Q35" s="23">
        <f>1-(E35/Q$1)</f>
        <v>0.99217325884899998</v>
      </c>
      <c r="R35" s="23">
        <f>Q35/R$1</f>
        <v>7.632101991146157E-3</v>
      </c>
      <c r="S35" s="23">
        <f>F35/S$1</f>
        <v>3.7393890483749018E-3</v>
      </c>
      <c r="T35" s="23">
        <f>1-(G35/T$1)</f>
        <v>0.99014107931900286</v>
      </c>
      <c r="U35" s="97">
        <f>T35/U$1</f>
        <v>7.6164698409154066E-3</v>
      </c>
      <c r="V35" s="23">
        <f>H35/V$1</f>
        <v>5.172501397286723E-3</v>
      </c>
      <c r="W35" s="23">
        <f>I35/W$1</f>
        <v>6.0369171145358037E-3</v>
      </c>
      <c r="X35" s="23">
        <f>J35/X$1</f>
        <v>4.5719431381789867E-3</v>
      </c>
      <c r="Y35" s="23">
        <f>1-(K35/Y$1)</f>
        <v>0.99198630366211671</v>
      </c>
      <c r="Z35" s="97">
        <f>Y35/Z$1</f>
        <v>7.6306638743239745E-3</v>
      </c>
      <c r="AA35" s="23">
        <f>L35/$AA$1</f>
        <v>3.7139872688801753E-3</v>
      </c>
      <c r="AB35" s="23">
        <f>M35/AB$1</f>
        <v>1.3790127394510217E-3</v>
      </c>
      <c r="AC35" s="23">
        <f>N35/AC$1</f>
        <v>3.4512342549623664E-3</v>
      </c>
      <c r="AD35" s="23">
        <f>O35/AD$1</f>
        <v>4.5368691806110485E-3</v>
      </c>
      <c r="AE35" s="27">
        <f>('Modelo AHP'!$U$37*aux!P35)+('Modelo AHP'!$U$38*aux!R35)+('Modelo AHP'!$U$39*aux!S35)</f>
        <v>4.3268505592203629E-3</v>
      </c>
      <c r="AF35" s="28">
        <f>aux!U35</f>
        <v>7.6164698409154066E-3</v>
      </c>
      <c r="AG35" s="27">
        <f>('Modelo AHP'!$U$47*aux!V35)+('Modelo AHP'!$U$48*aux!W35)+('Modelo AHP'!$U$49*aux!X35)</f>
        <v>5.3231696326869627E-3</v>
      </c>
      <c r="AH35" s="28">
        <f>Z35</f>
        <v>7.6306638743239745E-3</v>
      </c>
      <c r="AI35" s="27">
        <f>('Modelo AHP'!$U$56*aux!AA35)+('Modelo AHP'!$U$57*aux!AB35)+('Modelo AHP'!$U$58*aux!AC35)+('Modelo AHP'!$U$59*aux!AD35)</f>
        <v>2.607079613280148E-3</v>
      </c>
      <c r="AJ35" s="29">
        <f>('Modelo AHP'!$U$23*aux!AE35)+('Modelo AHP'!$U$24*aux!AF35)+('Modelo AHP'!$U$25*aux!AG35)+('Modelo AHP'!$U$26*aux!AH35)+('Modelo AHP'!$U$27*aux!AI35)</f>
        <v>5.815896267975902E-3</v>
      </c>
    </row>
    <row r="36" spans="1:36">
      <c r="A36" s="1">
        <f>_xlfn.RANK.EQ(AJ36,AJ$5:AJ$135)</f>
        <v>48</v>
      </c>
      <c r="B36" s="16" t="s">
        <v>48</v>
      </c>
      <c r="C36" s="17" t="s">
        <v>49</v>
      </c>
      <c r="D36" s="143">
        <v>0.1816695652173913</v>
      </c>
      <c r="E36" s="18">
        <v>83.1</v>
      </c>
      <c r="F36" s="143">
        <v>0.426491866532205</v>
      </c>
      <c r="G36" s="159">
        <v>31125.229902695948</v>
      </c>
      <c r="H36" s="146">
        <v>7.27</v>
      </c>
      <c r="I36" s="146">
        <v>9.52</v>
      </c>
      <c r="J36" s="143">
        <v>4.6933916378695373E-2</v>
      </c>
      <c r="K36" s="161">
        <v>78564.539999999994</v>
      </c>
      <c r="L36" s="143">
        <v>3.6296685954760655E-2</v>
      </c>
      <c r="M36" s="265">
        <v>873</v>
      </c>
      <c r="N36" s="143">
        <v>4.5967042497831741E-2</v>
      </c>
      <c r="O36" s="143">
        <v>4.6407185628742513E-2</v>
      </c>
      <c r="P36" s="23">
        <f>D36/$P$1</f>
        <v>1.6628654308713495E-2</v>
      </c>
      <c r="Q36" s="23">
        <f>1-(E36/Q$1)</f>
        <v>0.99235720106171443</v>
      </c>
      <c r="R36" s="23">
        <f>Q36/R$1</f>
        <v>7.6335169312439603E-3</v>
      </c>
      <c r="S36" s="23">
        <f>F36/S$1</f>
        <v>8.7439848361275368E-3</v>
      </c>
      <c r="T36" s="23">
        <f>1-(G36/T$1)</f>
        <v>0.9944074837169542</v>
      </c>
      <c r="U36" s="97">
        <f>T36/U$1</f>
        <v>7.6492883362842632E-3</v>
      </c>
      <c r="V36" s="23">
        <f>H36/V$1</f>
        <v>7.3878359839439044E-3</v>
      </c>
      <c r="W36" s="23">
        <f>I36/W$1</f>
        <v>7.8836009506695268E-3</v>
      </c>
      <c r="X36" s="23">
        <f>J36/X$1</f>
        <v>7.5339677549787617E-3</v>
      </c>
      <c r="Y36" s="23">
        <f>1-(K36/Y$1)</f>
        <v>0.99409448630238617</v>
      </c>
      <c r="Z36" s="97">
        <f>Y36/Z$1</f>
        <v>7.6468806638645094E-3</v>
      </c>
      <c r="AA36" s="23">
        <f>L36/$AA$1</f>
        <v>5.5441973412850695E-3</v>
      </c>
      <c r="AB36" s="23">
        <f>M36/AB$1</f>
        <v>8.1896470853111691E-3</v>
      </c>
      <c r="AC36" s="23">
        <f>N36/AC$1</f>
        <v>6.9755878797332568E-3</v>
      </c>
      <c r="AD36" s="23">
        <f>O36/AD$1</f>
        <v>7.0615704401142676E-3</v>
      </c>
      <c r="AE36" s="27">
        <f>('Modelo AHP'!$U$37*aux!P36)+('Modelo AHP'!$U$38*aux!R36)+('Modelo AHP'!$U$39*aux!S36)</f>
        <v>1.0998338887414966E-2</v>
      </c>
      <c r="AF36" s="28">
        <f>aux!U36</f>
        <v>7.6492883362842632E-3</v>
      </c>
      <c r="AG36" s="27">
        <f>('Modelo AHP'!$U$47*aux!V36)+('Modelo AHP'!$U$48*aux!W36)+('Modelo AHP'!$U$49*aux!X36)</f>
        <v>7.6642798159563836E-3</v>
      </c>
      <c r="AH36" s="28">
        <f>Z36</f>
        <v>7.6468806638645094E-3</v>
      </c>
      <c r="AI36" s="27">
        <f>('Modelo AHP'!$U$56*aux!AA36)+('Modelo AHP'!$U$57*aux!AB36)+('Modelo AHP'!$U$58*aux!AC36)+('Modelo AHP'!$U$59*aux!AD36)</f>
        <v>7.3502016921356455E-3</v>
      </c>
      <c r="AJ36" s="29">
        <f>('Modelo AHP'!$U$23*aux!AE36)+('Modelo AHP'!$U$24*aux!AF36)+('Modelo AHP'!$U$25*aux!AG36)+('Modelo AHP'!$U$26*aux!AH36)+('Modelo AHP'!$U$27*aux!AI36)</f>
        <v>8.1851363910983004E-3</v>
      </c>
    </row>
    <row r="37" spans="1:36">
      <c r="A37" s="1">
        <f>_xlfn.RANK.EQ(AJ37,AJ$5:AJ$135)</f>
        <v>68</v>
      </c>
      <c r="B37" s="16" t="s">
        <v>48</v>
      </c>
      <c r="C37" s="17" t="s">
        <v>50</v>
      </c>
      <c r="D37" s="143">
        <v>0.10445495416593684</v>
      </c>
      <c r="E37" s="18">
        <v>83.5</v>
      </c>
      <c r="F37" s="143">
        <v>0.27366541688984108</v>
      </c>
      <c r="G37" s="159">
        <v>43306.023276175816</v>
      </c>
      <c r="H37" s="146">
        <v>6.14</v>
      </c>
      <c r="I37" s="146">
        <v>8.4</v>
      </c>
      <c r="J37" s="143">
        <v>4.6933916378695373E-2</v>
      </c>
      <c r="K37" s="161">
        <v>119218.39</v>
      </c>
      <c r="L37" s="143">
        <v>3.6296685954760655E-2</v>
      </c>
      <c r="M37" s="265">
        <v>873</v>
      </c>
      <c r="N37" s="143">
        <v>4.5967042497831741E-2</v>
      </c>
      <c r="O37" s="143">
        <v>4.6407185628742513E-2</v>
      </c>
      <c r="P37" s="23">
        <f>D37/$P$1</f>
        <v>9.5610143701252044E-3</v>
      </c>
      <c r="Q37" s="23">
        <f>1-(E37/Q$1)</f>
        <v>0.99232041261917159</v>
      </c>
      <c r="R37" s="23">
        <f>Q37/R$1</f>
        <v>7.6332339432244002E-3</v>
      </c>
      <c r="S37" s="23">
        <f>F37/S$1</f>
        <v>5.6107195546637656E-3</v>
      </c>
      <c r="T37" s="23">
        <f>1-(G37/T$1)</f>
        <v>0.99221886421134531</v>
      </c>
      <c r="U37" s="97">
        <f>T37/U$1</f>
        <v>7.6324528016257333E-3</v>
      </c>
      <c r="V37" s="23">
        <f>H37/V$1</f>
        <v>6.2395203495757322E-3</v>
      </c>
      <c r="W37" s="23">
        <f>I37/W$1</f>
        <v>6.9561184858848773E-3</v>
      </c>
      <c r="X37" s="23">
        <f>J37/X$1</f>
        <v>7.5339677549787617E-3</v>
      </c>
      <c r="Y37" s="23">
        <f>1-(K37/Y$1)</f>
        <v>0.99103863097585154</v>
      </c>
      <c r="Z37" s="97">
        <f>Y37/Z$1</f>
        <v>7.623374084429627E-3</v>
      </c>
      <c r="AA37" s="23">
        <f>L37/$AA$1</f>
        <v>5.5441973412850695E-3</v>
      </c>
      <c r="AB37" s="23">
        <f>M37/AB$1</f>
        <v>8.1896470853111691E-3</v>
      </c>
      <c r="AC37" s="23">
        <f>N37/AC$1</f>
        <v>6.9755878797332568E-3</v>
      </c>
      <c r="AD37" s="23">
        <f>O37/AD$1</f>
        <v>7.0615704401142676E-3</v>
      </c>
      <c r="AE37" s="27">
        <f>('Modelo AHP'!$U$37*aux!P37)+('Modelo AHP'!$U$38*aux!R37)+('Modelo AHP'!$U$39*aux!S37)</f>
        <v>6.9980594381582606E-3</v>
      </c>
      <c r="AF37" s="28">
        <f>aux!U37</f>
        <v>7.6324528016257333E-3</v>
      </c>
      <c r="AG37" s="27">
        <f>('Modelo AHP'!$U$47*aux!V37)+('Modelo AHP'!$U$48*aux!W37)+('Modelo AHP'!$U$49*aux!X37)</f>
        <v>7.0587122273227595E-3</v>
      </c>
      <c r="AH37" s="28">
        <f>Z37</f>
        <v>7.623374084429627E-3</v>
      </c>
      <c r="AI37" s="27">
        <f>('Modelo AHP'!$U$56*aux!AA37)+('Modelo AHP'!$U$57*aux!AB37)+('Modelo AHP'!$U$58*aux!AC37)+('Modelo AHP'!$U$59*aux!AD37)</f>
        <v>7.3502016921356455E-3</v>
      </c>
      <c r="AJ37" s="29">
        <f>('Modelo AHP'!$U$23*aux!AE37)+('Modelo AHP'!$U$24*aux!AF37)+('Modelo AHP'!$U$25*aux!AG37)+('Modelo AHP'!$U$26*aux!AH37)+('Modelo AHP'!$U$27*aux!AI37)</f>
        <v>7.3034139204826154E-3</v>
      </c>
    </row>
    <row r="38" spans="1:36">
      <c r="A38" s="1">
        <f>_xlfn.RANK.EQ(AJ38,AJ$5:AJ$135)</f>
        <v>69</v>
      </c>
      <c r="B38" s="16" t="s">
        <v>48</v>
      </c>
      <c r="C38" s="17" t="s">
        <v>51</v>
      </c>
      <c r="D38" s="143">
        <v>0.10528900456710702</v>
      </c>
      <c r="E38" s="18">
        <v>84.44</v>
      </c>
      <c r="F38" s="143">
        <v>0.26245143058989756</v>
      </c>
      <c r="G38" s="159">
        <v>45025.326885959883</v>
      </c>
      <c r="H38" s="146">
        <v>6</v>
      </c>
      <c r="I38" s="146">
        <v>8.17</v>
      </c>
      <c r="J38" s="143">
        <v>4.6933916378695373E-2</v>
      </c>
      <c r="K38" s="161">
        <v>114667.38</v>
      </c>
      <c r="L38" s="143">
        <v>3.6296685954760655E-2</v>
      </c>
      <c r="M38" s="265">
        <v>873</v>
      </c>
      <c r="N38" s="143">
        <v>4.5967042497831741E-2</v>
      </c>
      <c r="O38" s="143">
        <v>4.6407185628742513E-2</v>
      </c>
      <c r="P38" s="23">
        <f>D38/$P$1</f>
        <v>9.6373570188264691E-3</v>
      </c>
      <c r="Q38" s="23">
        <f>1-(E38/Q$1)</f>
        <v>0.99223395977919582</v>
      </c>
      <c r="R38" s="23">
        <f>Q38/R$1</f>
        <v>7.6325689213784329E-3</v>
      </c>
      <c r="S38" s="23">
        <f>F38/S$1</f>
        <v>5.3808091299784588E-3</v>
      </c>
      <c r="T38" s="23">
        <f>1-(G38/T$1)</f>
        <v>0.99190994333065541</v>
      </c>
      <c r="U38" s="97">
        <f>T38/U$1</f>
        <v>7.6300764871588874E-3</v>
      </c>
      <c r="V38" s="23">
        <f>H38/V$1</f>
        <v>6.0972511559371978E-3</v>
      </c>
      <c r="W38" s="23">
        <f>I38/W$1</f>
        <v>6.7656533368666005E-3</v>
      </c>
      <c r="X38" s="23">
        <f>J38/X$1</f>
        <v>7.5339677549787617E-3</v>
      </c>
      <c r="Y38" s="23">
        <f>1-(K38/Y$1)</f>
        <v>0.99138071980998688</v>
      </c>
      <c r="Z38" s="97">
        <f>Y38/Z$1</f>
        <v>7.6260055369998993E-3</v>
      </c>
      <c r="AA38" s="23">
        <f>L38/$AA$1</f>
        <v>5.5441973412850695E-3</v>
      </c>
      <c r="AB38" s="23">
        <f>M38/AB$1</f>
        <v>8.1896470853111691E-3</v>
      </c>
      <c r="AC38" s="23">
        <f>N38/AC$1</f>
        <v>6.9755878797332568E-3</v>
      </c>
      <c r="AD38" s="23">
        <f>O38/AD$1</f>
        <v>7.0615704401142676E-3</v>
      </c>
      <c r="AE38" s="27">
        <f>('Modelo AHP'!$U$37*aux!P38)+('Modelo AHP'!$U$38*aux!R38)+('Modelo AHP'!$U$39*aux!S38)</f>
        <v>6.8829494757728597E-3</v>
      </c>
      <c r="AF38" s="28">
        <f>aux!U38</f>
        <v>7.6300764871588874E-3</v>
      </c>
      <c r="AG38" s="27">
        <f>('Modelo AHP'!$U$47*aux!V38)+('Modelo AHP'!$U$48*aux!W38)+('Modelo AHP'!$U$49*aux!X38)</f>
        <v>6.9501825053481393E-3</v>
      </c>
      <c r="AH38" s="28">
        <f>Z38</f>
        <v>7.6260055369998993E-3</v>
      </c>
      <c r="AI38" s="27">
        <f>('Modelo AHP'!$U$56*aux!AA38)+('Modelo AHP'!$U$57*aux!AB38)+('Modelo AHP'!$U$58*aux!AC38)+('Modelo AHP'!$U$59*aux!AD38)</f>
        <v>7.3502016921356455E-3</v>
      </c>
      <c r="AJ38" s="29">
        <f>('Modelo AHP'!$U$23*aux!AE38)+('Modelo AHP'!$U$24*aux!AF38)+('Modelo AHP'!$U$25*aux!AG38)+('Modelo AHP'!$U$26*aux!AH38)+('Modelo AHP'!$U$27*aux!AI38)</f>
        <v>7.2465475166660458E-3</v>
      </c>
    </row>
    <row r="39" spans="1:36">
      <c r="A39" s="1">
        <f>_xlfn.RANK.EQ(AJ39,AJ$5:AJ$135)</f>
        <v>36</v>
      </c>
      <c r="B39" s="16" t="s">
        <v>48</v>
      </c>
      <c r="C39" s="17" t="s">
        <v>52</v>
      </c>
      <c r="D39" s="143">
        <v>0.10374202756344499</v>
      </c>
      <c r="E39" s="18">
        <v>82.6</v>
      </c>
      <c r="F39" s="143">
        <v>0.48410192806404329</v>
      </c>
      <c r="G39" s="159">
        <v>28746.703366257949</v>
      </c>
      <c r="H39" s="146">
        <v>10.69</v>
      </c>
      <c r="I39" s="146">
        <v>13.3</v>
      </c>
      <c r="J39" s="143">
        <v>4.6933916378695373E-2</v>
      </c>
      <c r="K39" s="161">
        <v>82364.88</v>
      </c>
      <c r="L39" s="143">
        <v>3.6296685954760655E-2</v>
      </c>
      <c r="M39" s="265">
        <v>873</v>
      </c>
      <c r="N39" s="143">
        <v>4.5967042497831741E-2</v>
      </c>
      <c r="O39" s="143">
        <v>4.6407185628742513E-2</v>
      </c>
      <c r="P39" s="23">
        <f>D39/$P$1</f>
        <v>9.495758475412534E-3</v>
      </c>
      <c r="Q39" s="23">
        <f>1-(E39/Q$1)</f>
        <v>0.99240318661489302</v>
      </c>
      <c r="R39" s="23">
        <f>Q39/R$1</f>
        <v>7.6338706662684112E-3</v>
      </c>
      <c r="S39" s="23">
        <f>F39/S$1</f>
        <v>9.9251128809333573E-3</v>
      </c>
      <c r="T39" s="23">
        <f>1-(G39/T$1)</f>
        <v>0.9948348523958771</v>
      </c>
      <c r="U39" s="97">
        <f>T39/U$1</f>
        <v>7.652575787660593E-3</v>
      </c>
      <c r="V39" s="23">
        <f>H39/V$1</f>
        <v>1.0863269142828107E-2</v>
      </c>
      <c r="W39" s="23">
        <f>I39/W$1</f>
        <v>1.1013854269317723E-2</v>
      </c>
      <c r="X39" s="23">
        <f>J39/X$1</f>
        <v>7.5339677549787617E-3</v>
      </c>
      <c r="Y39" s="23">
        <f>1-(K39/Y$1)</f>
        <v>0.99380882358577649</v>
      </c>
      <c r="Z39" s="97">
        <f>Y39/Z$1</f>
        <v>7.6446832583521272E-3</v>
      </c>
      <c r="AA39" s="23">
        <f>L39/$AA$1</f>
        <v>5.5441973412850695E-3</v>
      </c>
      <c r="AB39" s="23">
        <f>M39/AB$1</f>
        <v>8.1896470853111691E-3</v>
      </c>
      <c r="AC39" s="23">
        <f>N39/AC$1</f>
        <v>6.9755878797332568E-3</v>
      </c>
      <c r="AD39" s="23">
        <f>O39/AD$1</f>
        <v>7.0615704401142676E-3</v>
      </c>
      <c r="AE39" s="27">
        <f>('Modelo AHP'!$U$37*aux!P39)+('Modelo AHP'!$U$38*aux!R39)+('Modelo AHP'!$U$39*aux!S39)</f>
        <v>9.567182337810615E-3</v>
      </c>
      <c r="AF39" s="28">
        <f>aux!U39</f>
        <v>7.652575787660593E-3</v>
      </c>
      <c r="AG39" s="27">
        <f>('Modelo AHP'!$U$47*aux!V39)+('Modelo AHP'!$U$48*aux!W39)+('Modelo AHP'!$U$49*aux!X39)</f>
        <v>9.6403681254142188E-3</v>
      </c>
      <c r="AH39" s="28">
        <f>Z39</f>
        <v>7.6446832583521272E-3</v>
      </c>
      <c r="AI39" s="27">
        <f>('Modelo AHP'!$U$56*aux!AA39)+('Modelo AHP'!$U$57*aux!AB39)+('Modelo AHP'!$U$58*aux!AC39)+('Modelo AHP'!$U$59*aux!AD39)</f>
        <v>7.3502016921356455E-3</v>
      </c>
      <c r="AJ39" s="29">
        <f>('Modelo AHP'!$U$23*aux!AE39)+('Modelo AHP'!$U$24*aux!AF39)+('Modelo AHP'!$U$25*aux!AG39)+('Modelo AHP'!$U$26*aux!AH39)+('Modelo AHP'!$U$27*aux!AI39)</f>
        <v>8.6224735623712453E-3</v>
      </c>
    </row>
    <row r="40" spans="1:36">
      <c r="A40" s="1">
        <f>_xlfn.RANK.EQ(AJ40,AJ$5:AJ$135)</f>
        <v>41</v>
      </c>
      <c r="B40" s="16" t="s">
        <v>48</v>
      </c>
      <c r="C40" s="17" t="s">
        <v>53</v>
      </c>
      <c r="D40" s="143">
        <v>0.16921512651050019</v>
      </c>
      <c r="E40" s="18">
        <v>83.03</v>
      </c>
      <c r="F40" s="143">
        <v>0.47916978496233098</v>
      </c>
      <c r="G40" s="159">
        <v>28242.052362314509</v>
      </c>
      <c r="H40" s="146">
        <v>7.93</v>
      </c>
      <c r="I40" s="146">
        <v>10.57</v>
      </c>
      <c r="J40" s="143">
        <v>4.6933916378695373E-2</v>
      </c>
      <c r="K40" s="161">
        <v>56778.23</v>
      </c>
      <c r="L40" s="143">
        <v>3.6296685954760655E-2</v>
      </c>
      <c r="M40" s="265">
        <v>873</v>
      </c>
      <c r="N40" s="143">
        <v>4.5967042497831741E-2</v>
      </c>
      <c r="O40" s="143">
        <v>4.6407185628742513E-2</v>
      </c>
      <c r="P40" s="23">
        <f>D40/$P$1</f>
        <v>1.5488669437730123E-2</v>
      </c>
      <c r="Q40" s="23">
        <f>1-(E40/Q$1)</f>
        <v>0.99236363903915947</v>
      </c>
      <c r="R40" s="23">
        <f>Q40/R$1</f>
        <v>7.6335664541473842E-3</v>
      </c>
      <c r="S40" s="23">
        <f>F40/S$1</f>
        <v>9.8239935211630429E-3</v>
      </c>
      <c r="T40" s="23">
        <f>1-(G40/T$1)</f>
        <v>0.99492552703396431</v>
      </c>
      <c r="U40" s="97">
        <f>T40/U$1</f>
        <v>7.6532732848766487E-3</v>
      </c>
      <c r="V40" s="23">
        <f>H40/V$1</f>
        <v>8.0585336110969956E-3</v>
      </c>
      <c r="W40" s="23">
        <f>I40/W$1</f>
        <v>8.7531157614051374E-3</v>
      </c>
      <c r="X40" s="23">
        <f>J40/X$1</f>
        <v>7.5339677549787617E-3</v>
      </c>
      <c r="Y40" s="23">
        <f>1-(K40/Y$1)</f>
        <v>0.99573211254095972</v>
      </c>
      <c r="Z40" s="97">
        <f>Y40/Z$1</f>
        <v>7.6594777887766131E-3</v>
      </c>
      <c r="AA40" s="23">
        <f>L40/$AA$1</f>
        <v>5.5441973412850695E-3</v>
      </c>
      <c r="AB40" s="23">
        <f>M40/AB$1</f>
        <v>8.1896470853111691E-3</v>
      </c>
      <c r="AC40" s="23">
        <f>N40/AC$1</f>
        <v>6.9755878797332568E-3</v>
      </c>
      <c r="AD40" s="23">
        <f>O40/AD$1</f>
        <v>7.0615704401142676E-3</v>
      </c>
      <c r="AE40" s="27">
        <f>('Modelo AHP'!$U$37*aux!P40)+('Modelo AHP'!$U$38*aux!R40)+('Modelo AHP'!$U$39*aux!S40)</f>
        <v>1.13043535894316E-2</v>
      </c>
      <c r="AF40" s="28">
        <f>aux!U40</f>
        <v>7.6532732848766487E-3</v>
      </c>
      <c r="AG40" s="27">
        <f>('Modelo AHP'!$U$47*aux!V40)+('Modelo AHP'!$U$48*aux!W40)+('Modelo AHP'!$U$49*aux!X40)</f>
        <v>8.1633299523743222E-3</v>
      </c>
      <c r="AH40" s="28">
        <f>Z40</f>
        <v>7.6594777887766131E-3</v>
      </c>
      <c r="AI40" s="27">
        <f>('Modelo AHP'!$U$56*aux!AA40)+('Modelo AHP'!$U$57*aux!AB40)+('Modelo AHP'!$U$58*aux!AC40)+('Modelo AHP'!$U$59*aux!AD40)</f>
        <v>7.3502016921356455E-3</v>
      </c>
      <c r="AJ40" s="29">
        <f>('Modelo AHP'!$U$23*aux!AE40)+('Modelo AHP'!$U$24*aux!AF40)+('Modelo AHP'!$U$25*aux!AG40)+('Modelo AHP'!$U$26*aux!AH40)+('Modelo AHP'!$U$27*aux!AI40)</f>
        <v>8.4089762210693957E-3</v>
      </c>
    </row>
    <row r="41" spans="1:36">
      <c r="A41" s="1">
        <f>_xlfn.RANK.EQ(AJ41,AJ$5:AJ$135)</f>
        <v>42</v>
      </c>
      <c r="B41" s="16" t="s">
        <v>48</v>
      </c>
      <c r="C41" s="17" t="s">
        <v>54</v>
      </c>
      <c r="D41" s="143">
        <v>0.18786573472041612</v>
      </c>
      <c r="E41" s="18">
        <v>82.77</v>
      </c>
      <c r="F41" s="143">
        <v>0.45024309506568738</v>
      </c>
      <c r="G41" s="159">
        <v>28945.525477272728</v>
      </c>
      <c r="H41" s="146">
        <v>7.36</v>
      </c>
      <c r="I41" s="146">
        <v>10.31</v>
      </c>
      <c r="J41" s="143">
        <v>4.6933916378695373E-2</v>
      </c>
      <c r="K41" s="161">
        <v>70355.899999999994</v>
      </c>
      <c r="L41" s="143">
        <v>3.6296685954760655E-2</v>
      </c>
      <c r="M41" s="265">
        <v>873</v>
      </c>
      <c r="N41" s="143">
        <v>4.5967042497831741E-2</v>
      </c>
      <c r="O41" s="143">
        <v>4.6407185628742513E-2</v>
      </c>
      <c r="P41" s="23">
        <f>D41/$P$1</f>
        <v>1.7195804676364231E-2</v>
      </c>
      <c r="Q41" s="23">
        <f>1-(E41/Q$1)</f>
        <v>0.99238755152681235</v>
      </c>
      <c r="R41" s="23">
        <f>Q41/R$1</f>
        <v>7.6337503963600983E-3</v>
      </c>
      <c r="S41" s="23">
        <f>F41/S$1</f>
        <v>9.230935229401889E-3</v>
      </c>
      <c r="T41" s="23">
        <f>1-(G41/T$1)</f>
        <v>0.99479912845434304</v>
      </c>
      <c r="U41" s="97">
        <f>T41/U$1</f>
        <v>7.6523009881103313E-3</v>
      </c>
      <c r="V41" s="23">
        <f>H41/V$1</f>
        <v>7.479294751282963E-3</v>
      </c>
      <c r="W41" s="23">
        <f>I41/W$1</f>
        <v>8.5378073320801287E-3</v>
      </c>
      <c r="X41" s="23">
        <f>J41/X$1</f>
        <v>7.5339677549787617E-3</v>
      </c>
      <c r="Y41" s="23">
        <f>1-(K41/Y$1)</f>
        <v>0.99471151067443464</v>
      </c>
      <c r="Z41" s="97">
        <f>Y41/Z$1</f>
        <v>7.6516270051879588E-3</v>
      </c>
      <c r="AA41" s="23">
        <f>L41/$AA$1</f>
        <v>5.5441973412850695E-3</v>
      </c>
      <c r="AB41" s="23">
        <f>M41/AB$1</f>
        <v>8.1896470853111691E-3</v>
      </c>
      <c r="AC41" s="23">
        <f>N41/AC$1</f>
        <v>6.9755878797332568E-3</v>
      </c>
      <c r="AD41" s="23">
        <f>O41/AD$1</f>
        <v>7.0615704401142676E-3</v>
      </c>
      <c r="AE41" s="27">
        <f>('Modelo AHP'!$U$37*aux!P41)+('Modelo AHP'!$U$38*aux!R41)+('Modelo AHP'!$U$39*aux!S41)</f>
        <v>1.1460677580186412E-2</v>
      </c>
      <c r="AF41" s="28">
        <f>aux!U41</f>
        <v>7.6523009881103313E-3</v>
      </c>
      <c r="AG41" s="27">
        <f>('Modelo AHP'!$U$47*aux!V41)+('Modelo AHP'!$U$48*aux!W41)+('Modelo AHP'!$U$49*aux!X41)</f>
        <v>7.9698487840799501E-3</v>
      </c>
      <c r="AH41" s="28">
        <f>Z41</f>
        <v>7.6516270051879588E-3</v>
      </c>
      <c r="AI41" s="27">
        <f>('Modelo AHP'!$U$56*aux!AA41)+('Modelo AHP'!$U$57*aux!AB41)+('Modelo AHP'!$U$58*aux!AC41)+('Modelo AHP'!$U$59*aux!AD41)</f>
        <v>7.3502016921356455E-3</v>
      </c>
      <c r="AJ41" s="29">
        <f>('Modelo AHP'!$U$23*aux!AE41)+('Modelo AHP'!$U$24*aux!AF41)+('Modelo AHP'!$U$25*aux!AG41)+('Modelo AHP'!$U$26*aux!AH41)+('Modelo AHP'!$U$27*aux!AI41)</f>
        <v>8.3680431698391466E-3</v>
      </c>
    </row>
    <row r="42" spans="1:36">
      <c r="A42" s="1">
        <f>_xlfn.RANK.EQ(AJ42,AJ$5:AJ$135)</f>
        <v>96</v>
      </c>
      <c r="B42" s="16" t="s">
        <v>55</v>
      </c>
      <c r="C42" s="17" t="s">
        <v>56</v>
      </c>
      <c r="D42" s="143">
        <v>6.1457689932056823E-2</v>
      </c>
      <c r="E42" s="18">
        <v>83.84</v>
      </c>
      <c r="F42" s="143">
        <v>0.22174542723810545</v>
      </c>
      <c r="G42" s="159">
        <v>42607.636540203282</v>
      </c>
      <c r="H42" s="146">
        <v>6.15</v>
      </c>
      <c r="I42" s="146">
        <v>8.02</v>
      </c>
      <c r="J42" s="143">
        <v>3.0146559686627123E-2</v>
      </c>
      <c r="K42" s="161">
        <v>112274.14</v>
      </c>
      <c r="L42" s="143">
        <v>4.1440177684259748E-2</v>
      </c>
      <c r="M42" s="265">
        <v>154</v>
      </c>
      <c r="N42" s="143">
        <v>3.2379300375831165E-2</v>
      </c>
      <c r="O42" s="143">
        <v>3.2559880239520958E-2</v>
      </c>
      <c r="P42" s="23">
        <f>D42/$P$1</f>
        <v>5.6253708719419676E-3</v>
      </c>
      <c r="Q42" s="23">
        <f>1-(E42/Q$1)</f>
        <v>0.99228914244301014</v>
      </c>
      <c r="R42" s="23">
        <f>Q42/R$1</f>
        <v>7.6329934034077736E-3</v>
      </c>
      <c r="S42" s="23">
        <f>F42/S$1</f>
        <v>4.5462500117905633E-3</v>
      </c>
      <c r="T42" s="23">
        <f>1-(G42/T$1)</f>
        <v>0.99234434888101686</v>
      </c>
      <c r="U42" s="97">
        <f>T42/U$1</f>
        <v>7.6334180683155142E-3</v>
      </c>
      <c r="V42" s="23">
        <f>H42/V$1</f>
        <v>6.2496824348356279E-3</v>
      </c>
      <c r="W42" s="23">
        <f>I42/W$1</f>
        <v>6.641436935332941E-3</v>
      </c>
      <c r="X42" s="23">
        <f>J42/X$1</f>
        <v>4.8392127937929557E-3</v>
      </c>
      <c r="Y42" s="23">
        <f>1-(K42/Y$1)</f>
        <v>0.99156061409310337</v>
      </c>
      <c r="Z42" s="97">
        <f>Y42/Z$1</f>
        <v>7.6273893391777181E-3</v>
      </c>
      <c r="AA42" s="23">
        <f>L42/$AA$1</f>
        <v>6.3298484943174142E-3</v>
      </c>
      <c r="AB42" s="23">
        <f>M42/AB$1</f>
        <v>1.4446800127582132E-3</v>
      </c>
      <c r="AC42" s="23">
        <f>N42/AC$1</f>
        <v>4.9136216511328603E-3</v>
      </c>
      <c r="AD42" s="23">
        <f>O42/AD$1</f>
        <v>4.9544889378221072E-3</v>
      </c>
      <c r="AE42" s="27">
        <f>('Modelo AHP'!$U$37*aux!P42)+('Modelo AHP'!$U$38*aux!R42)+('Modelo AHP'!$U$39*aux!S42)</f>
        <v>5.1786606089977054E-3</v>
      </c>
      <c r="AF42" s="28">
        <f>aux!U42</f>
        <v>7.6334180683155142E-3</v>
      </c>
      <c r="AG42" s="27">
        <f>('Modelo AHP'!$U$47*aux!V42)+('Modelo AHP'!$U$48*aux!W42)+('Modelo AHP'!$U$49*aux!X42)</f>
        <v>5.8770227342289528E-3</v>
      </c>
      <c r="AH42" s="28">
        <f>Z42</f>
        <v>7.6273893391777181E-3</v>
      </c>
      <c r="AI42" s="27">
        <f>('Modelo AHP'!$U$56*aux!AA42)+('Modelo AHP'!$U$57*aux!AB42)+('Modelo AHP'!$U$58*aux!AC42)+('Modelo AHP'!$U$59*aux!AD42)</f>
        <v>3.439020135709488E-3</v>
      </c>
      <c r="AJ42" s="29">
        <f>('Modelo AHP'!$U$23*aux!AE42)+('Modelo AHP'!$U$24*aux!AF42)+('Modelo AHP'!$U$25*aux!AG42)+('Modelo AHP'!$U$26*aux!AH42)+('Modelo AHP'!$U$27*aux!AI42)</f>
        <v>6.2304233289401561E-3</v>
      </c>
    </row>
    <row r="43" spans="1:36">
      <c r="A43" s="1">
        <f>_xlfn.RANK.EQ(AJ43,AJ$5:AJ$135)</f>
        <v>94</v>
      </c>
      <c r="B43" s="16" t="s">
        <v>55</v>
      </c>
      <c r="C43" s="17" t="s">
        <v>57</v>
      </c>
      <c r="D43" s="143">
        <v>5.7941236901582087E-2</v>
      </c>
      <c r="E43" s="18">
        <v>82.97</v>
      </c>
      <c r="F43" s="143">
        <v>0.24013868649816592</v>
      </c>
      <c r="G43" s="159">
        <v>42210.151776515151</v>
      </c>
      <c r="H43" s="146">
        <v>5.96</v>
      </c>
      <c r="I43" s="146">
        <v>8.14</v>
      </c>
      <c r="J43" s="143">
        <v>3.0146559686627123E-2</v>
      </c>
      <c r="K43" s="161">
        <v>120510.75</v>
      </c>
      <c r="L43" s="143">
        <v>4.1440177684259748E-2</v>
      </c>
      <c r="M43" s="265">
        <v>154</v>
      </c>
      <c r="N43" s="143">
        <v>3.2379300375831165E-2</v>
      </c>
      <c r="O43" s="143">
        <v>3.2559880239520958E-2</v>
      </c>
      <c r="P43" s="23">
        <f>D43/$P$1</f>
        <v>5.3035014285565509E-3</v>
      </c>
      <c r="Q43" s="23">
        <f>1-(E43/Q$1)</f>
        <v>0.99236915730554087</v>
      </c>
      <c r="R43" s="23">
        <f>Q43/R$1</f>
        <v>7.6336089023503178E-3</v>
      </c>
      <c r="S43" s="23">
        <f>F43/S$1</f>
        <v>4.9233507086095642E-3</v>
      </c>
      <c r="T43" s="23">
        <f>1-(G43/T$1)</f>
        <v>0.99241576811294341</v>
      </c>
      <c r="U43" s="97">
        <f>T43/U$1</f>
        <v>7.6339674470226413E-3</v>
      </c>
      <c r="V43" s="23">
        <f>H43/V$1</f>
        <v>6.0566028148976167E-3</v>
      </c>
      <c r="W43" s="23">
        <f>I43/W$1</f>
        <v>6.7408100565598686E-3</v>
      </c>
      <c r="X43" s="23">
        <f>J43/X$1</f>
        <v>4.8392127937929557E-3</v>
      </c>
      <c r="Y43" s="23">
        <f>1-(K43/Y$1)</f>
        <v>0.99094148728122489</v>
      </c>
      <c r="Z43" s="97">
        <f>Y43/Z$1</f>
        <v>7.6226268252401917E-3</v>
      </c>
      <c r="AA43" s="23">
        <f>L43/$AA$1</f>
        <v>6.3298484943174142E-3</v>
      </c>
      <c r="AB43" s="23">
        <f>M43/AB$1</f>
        <v>1.4446800127582132E-3</v>
      </c>
      <c r="AC43" s="23">
        <f>N43/AC$1</f>
        <v>4.9136216511328603E-3</v>
      </c>
      <c r="AD43" s="23">
        <f>O43/AD$1</f>
        <v>4.9544889378221072E-3</v>
      </c>
      <c r="AE43" s="27">
        <f>('Modelo AHP'!$U$37*aux!P43)+('Modelo AHP'!$U$38*aux!R43)+('Modelo AHP'!$U$39*aux!S43)</f>
        <v>5.3084217439677353E-3</v>
      </c>
      <c r="AF43" s="28">
        <f>aux!U43</f>
        <v>7.6339674470226413E-3</v>
      </c>
      <c r="AG43" s="27">
        <f>('Modelo AHP'!$U$47*aux!V43)+('Modelo AHP'!$U$48*aux!W43)+('Modelo AHP'!$U$49*aux!X43)</f>
        <v>5.8884186219459629E-3</v>
      </c>
      <c r="AH43" s="28">
        <f>Z43</f>
        <v>7.6226268252401917E-3</v>
      </c>
      <c r="AI43" s="27">
        <f>('Modelo AHP'!$U$56*aux!AA43)+('Modelo AHP'!$U$57*aux!AB43)+('Modelo AHP'!$U$58*aux!AC43)+('Modelo AHP'!$U$59*aux!AD43)</f>
        <v>3.439020135709488E-3</v>
      </c>
      <c r="AJ43" s="29">
        <f>('Modelo AHP'!$U$23*aux!AE43)+('Modelo AHP'!$U$24*aux!AF43)+('Modelo AHP'!$U$25*aux!AG43)+('Modelo AHP'!$U$26*aux!AH43)+('Modelo AHP'!$U$27*aux!AI43)</f>
        <v>6.2557921064863393E-3</v>
      </c>
    </row>
    <row r="44" spans="1:36">
      <c r="A44" s="1">
        <f>_xlfn.RANK.EQ(AJ44,AJ$5:AJ$135)</f>
        <v>100</v>
      </c>
      <c r="B44" s="16" t="s">
        <v>55</v>
      </c>
      <c r="C44" s="17" t="s">
        <v>58</v>
      </c>
      <c r="D44" s="143">
        <v>6.2553521184194438E-2</v>
      </c>
      <c r="E44" s="18">
        <v>83.5</v>
      </c>
      <c r="F44" s="143">
        <v>0.21946527229676402</v>
      </c>
      <c r="G44" s="159">
        <v>41126.219802584354</v>
      </c>
      <c r="H44" s="146">
        <v>5.89</v>
      </c>
      <c r="I44" s="146">
        <v>7.61</v>
      </c>
      <c r="J44" s="143">
        <v>3.0146559686627123E-2</v>
      </c>
      <c r="K44" s="161">
        <v>116258.33</v>
      </c>
      <c r="L44" s="143">
        <v>4.1440177684259748E-2</v>
      </c>
      <c r="M44" s="265">
        <v>154</v>
      </c>
      <c r="N44" s="143">
        <v>3.2379300375831165E-2</v>
      </c>
      <c r="O44" s="143">
        <v>3.2559880239520958E-2</v>
      </c>
      <c r="P44" s="23">
        <f>D44/$P$1</f>
        <v>5.7256749545255073E-3</v>
      </c>
      <c r="Q44" s="23">
        <f>1-(E44/Q$1)</f>
        <v>0.99232041261917159</v>
      </c>
      <c r="R44" s="23">
        <f>Q44/R$1</f>
        <v>7.6332339432244002E-3</v>
      </c>
      <c r="S44" s="23">
        <f>F44/S$1</f>
        <v>4.4995020154143996E-3</v>
      </c>
      <c r="T44" s="23">
        <f>1-(G44/T$1)</f>
        <v>0.99261052674550199</v>
      </c>
      <c r="U44" s="97">
        <f>T44/U$1</f>
        <v>7.6354655903500155E-3</v>
      </c>
      <c r="V44" s="23">
        <f>H44/V$1</f>
        <v>5.9854682180783486E-3</v>
      </c>
      <c r="W44" s="23">
        <f>I44/W$1</f>
        <v>6.3019121044742754E-3</v>
      </c>
      <c r="X44" s="23">
        <f>J44/X$1</f>
        <v>4.8392127937929557E-3</v>
      </c>
      <c r="Y44" s="23">
        <f>1-(K44/Y$1)</f>
        <v>0.99126113179970621</v>
      </c>
      <c r="Z44" s="97">
        <f>Y44/Z$1</f>
        <v>7.6250856292285089E-3</v>
      </c>
      <c r="AA44" s="23">
        <f>L44/$AA$1</f>
        <v>6.3298484943174142E-3</v>
      </c>
      <c r="AB44" s="23">
        <f>M44/AB$1</f>
        <v>1.4446800127582132E-3</v>
      </c>
      <c r="AC44" s="23">
        <f>N44/AC$1</f>
        <v>4.9136216511328603E-3</v>
      </c>
      <c r="AD44" s="23">
        <f>O44/AD$1</f>
        <v>4.9544889378221072E-3</v>
      </c>
      <c r="AE44" s="27">
        <f>('Modelo AHP'!$U$37*aux!P44)+('Modelo AHP'!$U$38*aux!R44)+('Modelo AHP'!$U$39*aux!S44)</f>
        <v>5.1807270899287324E-3</v>
      </c>
      <c r="AF44" s="28">
        <f>aux!U44</f>
        <v>7.6354655903500155E-3</v>
      </c>
      <c r="AG44" s="27">
        <f>('Modelo AHP'!$U$47*aux!V44)+('Modelo AHP'!$U$48*aux!W44)+('Modelo AHP'!$U$49*aux!X44)</f>
        <v>5.6817625270072954E-3</v>
      </c>
      <c r="AH44" s="28">
        <f>Z44</f>
        <v>7.6250856292285089E-3</v>
      </c>
      <c r="AI44" s="27">
        <f>('Modelo AHP'!$U$56*aux!AA44)+('Modelo AHP'!$U$57*aux!AB44)+('Modelo AHP'!$U$58*aux!AC44)+('Modelo AHP'!$U$59*aux!AD44)</f>
        <v>3.439020135709488E-3</v>
      </c>
      <c r="AJ44" s="29">
        <f>('Modelo AHP'!$U$23*aux!AE44)+('Modelo AHP'!$U$24*aux!AF44)+('Modelo AHP'!$U$25*aux!AG44)+('Modelo AHP'!$U$26*aux!AH44)+('Modelo AHP'!$U$27*aux!AI44)</f>
        <v>6.1645302003219523E-3</v>
      </c>
    </row>
    <row r="45" spans="1:36">
      <c r="A45" s="1">
        <f>_xlfn.RANK.EQ(AJ45,AJ$5:AJ$135)</f>
        <v>116</v>
      </c>
      <c r="B45" s="16" t="s">
        <v>55</v>
      </c>
      <c r="C45" s="17" t="s">
        <v>59</v>
      </c>
      <c r="D45" s="143">
        <v>6.8589322693065308E-2</v>
      </c>
      <c r="E45" s="18">
        <v>84.02</v>
      </c>
      <c r="F45" s="143">
        <v>0.19587173336699912</v>
      </c>
      <c r="G45" s="159">
        <v>68786.709213910755</v>
      </c>
      <c r="H45" s="146">
        <v>4.3899999999999997</v>
      </c>
      <c r="I45" s="146">
        <v>5.75</v>
      </c>
      <c r="J45" s="143">
        <v>3.0146559686627123E-2</v>
      </c>
      <c r="K45" s="161">
        <v>183975.01</v>
      </c>
      <c r="L45" s="143">
        <v>4.1440177684259748E-2</v>
      </c>
      <c r="M45" s="265">
        <v>154</v>
      </c>
      <c r="N45" s="143">
        <v>3.2379300375831165E-2</v>
      </c>
      <c r="O45" s="143">
        <v>3.2559880239520958E-2</v>
      </c>
      <c r="P45" s="23">
        <f>D45/$P$1</f>
        <v>6.278146452142197E-3</v>
      </c>
      <c r="Q45" s="23">
        <f>1-(E45/Q$1)</f>
        <v>0.99227258764386583</v>
      </c>
      <c r="R45" s="23">
        <f>Q45/R$1</f>
        <v>7.6328660587989712E-3</v>
      </c>
      <c r="S45" s="23">
        <f>F45/S$1</f>
        <v>4.0157845923603991E-3</v>
      </c>
      <c r="T45" s="23">
        <f>1-(G45/T$1)</f>
        <v>0.98764054779551658</v>
      </c>
      <c r="U45" s="97">
        <f>T45/U$1</f>
        <v>7.5972349830424352E-3</v>
      </c>
      <c r="V45" s="23">
        <f>H45/V$1</f>
        <v>4.4611554290940499E-3</v>
      </c>
      <c r="W45" s="23">
        <f>I45/W$1</f>
        <v>4.7616287254569093E-3</v>
      </c>
      <c r="X45" s="23">
        <f>J45/X$1</f>
        <v>4.8392127937929557E-3</v>
      </c>
      <c r="Y45" s="23">
        <f>1-(K45/Y$1)</f>
        <v>0.98617102650160438</v>
      </c>
      <c r="Z45" s="97">
        <f>Y45/Z$1</f>
        <v>7.5859309730892648E-3</v>
      </c>
      <c r="AA45" s="23">
        <f>L45/$AA$1</f>
        <v>6.3298484943174142E-3</v>
      </c>
      <c r="AB45" s="23">
        <f>M45/AB$1</f>
        <v>1.4446800127582132E-3</v>
      </c>
      <c r="AC45" s="23">
        <f>N45/AC$1</f>
        <v>4.9136216511328603E-3</v>
      </c>
      <c r="AD45" s="23">
        <f>O45/AD$1</f>
        <v>4.9544889378221072E-3</v>
      </c>
      <c r="AE45" s="27">
        <f>('Modelo AHP'!$U$37*aux!P45)+('Modelo AHP'!$U$38*aux!R45)+('Modelo AHP'!$U$39*aux!S45)</f>
        <v>5.0562012969387962E-3</v>
      </c>
      <c r="AF45" s="28">
        <f>aux!U45</f>
        <v>7.5972349830424352E-3</v>
      </c>
      <c r="AG45" s="27">
        <f>('Modelo AHP'!$U$47*aux!V45)+('Modelo AHP'!$U$48*aux!W45)+('Modelo AHP'!$U$49*aux!X45)</f>
        <v>4.7408425005543396E-3</v>
      </c>
      <c r="AH45" s="28">
        <f>Z45</f>
        <v>7.5859309730892648E-3</v>
      </c>
      <c r="AI45" s="27">
        <f>('Modelo AHP'!$U$56*aux!AA45)+('Modelo AHP'!$U$57*aux!AB45)+('Modelo AHP'!$U$58*aux!AC45)+('Modelo AHP'!$U$59*aux!AD45)</f>
        <v>3.439020135709488E-3</v>
      </c>
      <c r="AJ45" s="29">
        <f>('Modelo AHP'!$U$23*aux!AE45)+('Modelo AHP'!$U$24*aux!AF45)+('Modelo AHP'!$U$25*aux!AG45)+('Modelo AHP'!$U$26*aux!AH45)+('Modelo AHP'!$U$27*aux!AI45)</f>
        <v>5.8069356892807384E-3</v>
      </c>
    </row>
    <row r="46" spans="1:36">
      <c r="A46" s="1">
        <f>_xlfn.RANK.EQ(AJ46,AJ$5:AJ$135)</f>
        <v>105</v>
      </c>
      <c r="B46" s="16" t="s">
        <v>55</v>
      </c>
      <c r="C46" s="17" t="s">
        <v>60</v>
      </c>
      <c r="D46" s="143">
        <v>5.9040999667270506E-2</v>
      </c>
      <c r="E46" s="18">
        <v>84.44</v>
      </c>
      <c r="F46" s="143">
        <v>0.21772220712150039</v>
      </c>
      <c r="G46" s="159">
        <v>47955.279166739681</v>
      </c>
      <c r="H46" s="146">
        <v>5.31</v>
      </c>
      <c r="I46" s="146">
        <v>7.18</v>
      </c>
      <c r="J46" s="143">
        <v>3.0146559686627123E-2</v>
      </c>
      <c r="K46" s="161">
        <v>121443.52</v>
      </c>
      <c r="L46" s="143">
        <v>4.1440177684259748E-2</v>
      </c>
      <c r="M46" s="265">
        <v>154</v>
      </c>
      <c r="N46" s="143">
        <v>3.2379300375831165E-2</v>
      </c>
      <c r="O46" s="143">
        <v>3.2559880239520958E-2</v>
      </c>
      <c r="P46" s="23">
        <f>D46/$P$1</f>
        <v>5.404165372075896E-3</v>
      </c>
      <c r="Q46" s="23">
        <f>1-(E46/Q$1)</f>
        <v>0.99223395977919582</v>
      </c>
      <c r="R46" s="23">
        <f>Q46/R$1</f>
        <v>7.6325689213784329E-3</v>
      </c>
      <c r="S46" s="23">
        <f>F46/S$1</f>
        <v>4.4637654946108165E-3</v>
      </c>
      <c r="T46" s="23">
        <f>1-(G46/T$1)</f>
        <v>0.99138349562601091</v>
      </c>
      <c r="U46" s="97">
        <f>T46/U$1</f>
        <v>7.6260268894308529E-3</v>
      </c>
      <c r="V46" s="23">
        <f>H46/V$1</f>
        <v>5.3960672730044195E-3</v>
      </c>
      <c r="W46" s="23">
        <f>I46/W$1</f>
        <v>5.9458250867444537E-3</v>
      </c>
      <c r="X46" s="23">
        <f>J46/X$1</f>
        <v>4.8392127937929557E-3</v>
      </c>
      <c r="Y46" s="23">
        <f>1-(K46/Y$1)</f>
        <v>0.99087137313034046</v>
      </c>
      <c r="Z46" s="97">
        <f>Y46/Z$1</f>
        <v>7.6220874856180038E-3</v>
      </c>
      <c r="AA46" s="23">
        <f>L46/$AA$1</f>
        <v>6.3298484943174142E-3</v>
      </c>
      <c r="AB46" s="23">
        <f>M46/AB$1</f>
        <v>1.4446800127582132E-3</v>
      </c>
      <c r="AC46" s="23">
        <f>N46/AC$1</f>
        <v>4.9136216511328603E-3</v>
      </c>
      <c r="AD46" s="23">
        <f>O46/AD$1</f>
        <v>4.9544889378221072E-3</v>
      </c>
      <c r="AE46" s="27">
        <f>('Modelo AHP'!$U$37*aux!P46)+('Modelo AHP'!$U$38*aux!R46)+('Modelo AHP'!$U$39*aux!S46)</f>
        <v>5.0627658005271015E-3</v>
      </c>
      <c r="AF46" s="28">
        <f>aux!U46</f>
        <v>7.6260268894308529E-3</v>
      </c>
      <c r="AG46" s="27">
        <f>('Modelo AHP'!$U$47*aux!V46)+('Modelo AHP'!$U$48*aux!W46)+('Modelo AHP'!$U$49*aux!X46)</f>
        <v>5.4241366104143185E-3</v>
      </c>
      <c r="AH46" s="28">
        <f>Z46</f>
        <v>7.6220874856180038E-3</v>
      </c>
      <c r="AI46" s="27">
        <f>('Modelo AHP'!$U$56*aux!AA46)+('Modelo AHP'!$U$57*aux!AB46)+('Modelo AHP'!$U$58*aux!AC46)+('Modelo AHP'!$U$59*aux!AD46)</f>
        <v>3.439020135709488E-3</v>
      </c>
      <c r="AJ46" s="29">
        <f>('Modelo AHP'!$U$23*aux!AE46)+('Modelo AHP'!$U$24*aux!AF46)+('Modelo AHP'!$U$25*aux!AG46)+('Modelo AHP'!$U$26*aux!AH46)+('Modelo AHP'!$U$27*aux!AI46)</f>
        <v>6.0535364150424101E-3</v>
      </c>
    </row>
    <row r="47" spans="1:36">
      <c r="A47" s="1">
        <f>_xlfn.RANK.EQ(AJ47,AJ$5:AJ$135)</f>
        <v>120</v>
      </c>
      <c r="B47" s="16" t="s">
        <v>55</v>
      </c>
      <c r="C47" s="17" t="s">
        <v>61</v>
      </c>
      <c r="D47" s="143">
        <v>3.5967275266886166E-2</v>
      </c>
      <c r="E47" s="18">
        <v>84.33</v>
      </c>
      <c r="F47" s="143">
        <v>0.17160165667305433</v>
      </c>
      <c r="G47" s="159">
        <v>59458.575400225483</v>
      </c>
      <c r="H47" s="146">
        <v>4.63</v>
      </c>
      <c r="I47" s="146">
        <v>5.92</v>
      </c>
      <c r="J47" s="143">
        <v>3.0146559686627123E-2</v>
      </c>
      <c r="K47" s="161">
        <v>177760.6</v>
      </c>
      <c r="L47" s="143">
        <v>4.1440177684259748E-2</v>
      </c>
      <c r="M47" s="265">
        <v>154</v>
      </c>
      <c r="N47" s="143">
        <v>3.2379300375831165E-2</v>
      </c>
      <c r="O47" s="143">
        <v>3.2559880239520958E-2</v>
      </c>
      <c r="P47" s="23">
        <f>D47/$P$1</f>
        <v>3.2921716200713172E-3</v>
      </c>
      <c r="Q47" s="23">
        <f>1-(E47/Q$1)</f>
        <v>0.99224407660089509</v>
      </c>
      <c r="R47" s="23">
        <f>Q47/R$1</f>
        <v>7.6326467430838114E-3</v>
      </c>
      <c r="S47" s="23">
        <f>F47/S$1</f>
        <v>3.5181967149899851E-3</v>
      </c>
      <c r="T47" s="23">
        <f>1-(G47/T$1)</f>
        <v>0.98931660739110994</v>
      </c>
      <c r="U47" s="97">
        <f>T47/U$1</f>
        <v>7.6101277491623844E-3</v>
      </c>
      <c r="V47" s="23">
        <f>H47/V$1</f>
        <v>4.7050454753315377E-3</v>
      </c>
      <c r="W47" s="23">
        <f>I47/W$1</f>
        <v>4.9024073138617223E-3</v>
      </c>
      <c r="X47" s="23">
        <f>J47/X$1</f>
        <v>4.8392127937929557E-3</v>
      </c>
      <c r="Y47" s="23">
        <f>1-(K47/Y$1)</f>
        <v>0.9866381492439712</v>
      </c>
      <c r="Z47" s="97">
        <f>Y47/Z$1</f>
        <v>7.5895242249536246E-3</v>
      </c>
      <c r="AA47" s="23">
        <f>L47/$AA$1</f>
        <v>6.3298484943174142E-3</v>
      </c>
      <c r="AB47" s="23">
        <f>M47/AB$1</f>
        <v>1.4446800127582132E-3</v>
      </c>
      <c r="AC47" s="23">
        <f>N47/AC$1</f>
        <v>4.9136216511328603E-3</v>
      </c>
      <c r="AD47" s="23">
        <f>O47/AD$1</f>
        <v>4.9544889378221072E-3</v>
      </c>
      <c r="AE47" s="27">
        <f>('Modelo AHP'!$U$37*aux!P47)+('Modelo AHP'!$U$38*aux!R47)+('Modelo AHP'!$U$39*aux!S47)</f>
        <v>3.8618341893237674E-3</v>
      </c>
      <c r="AF47" s="28">
        <f>aux!U47</f>
        <v>7.6101277491623844E-3</v>
      </c>
      <c r="AG47" s="27">
        <f>('Modelo AHP'!$U$47*aux!V47)+('Modelo AHP'!$U$48*aux!W47)+('Modelo AHP'!$U$49*aux!X47)</f>
        <v>4.8445339904441779E-3</v>
      </c>
      <c r="AH47" s="28">
        <f>Z47</f>
        <v>7.5895242249536246E-3</v>
      </c>
      <c r="AI47" s="27">
        <f>('Modelo AHP'!$U$56*aux!AA47)+('Modelo AHP'!$U$57*aux!AB47)+('Modelo AHP'!$U$58*aux!AC47)+('Modelo AHP'!$U$59*aux!AD47)</f>
        <v>3.439020135709488E-3</v>
      </c>
      <c r="AJ47" s="29">
        <f>('Modelo AHP'!$U$23*aux!AE47)+('Modelo AHP'!$U$24*aux!AF47)+('Modelo AHP'!$U$25*aux!AG47)+('Modelo AHP'!$U$26*aux!AH47)+('Modelo AHP'!$U$27*aux!AI47)</f>
        <v>5.6474773353602662E-3</v>
      </c>
    </row>
    <row r="48" spans="1:36">
      <c r="A48" s="1">
        <f>_xlfn.RANK.EQ(AJ48,AJ$5:AJ$135)</f>
        <v>78</v>
      </c>
      <c r="B48" s="16" t="s">
        <v>62</v>
      </c>
      <c r="C48" s="17" t="s">
        <v>63</v>
      </c>
      <c r="D48" s="143">
        <v>2.1122685185185185E-2</v>
      </c>
      <c r="E48" s="18">
        <v>80.209999999999994</v>
      </c>
      <c r="F48" s="143">
        <v>0.48211122918880622</v>
      </c>
      <c r="G48" s="159">
        <v>39061.727086553321</v>
      </c>
      <c r="H48" s="146">
        <v>6.21</v>
      </c>
      <c r="I48" s="146">
        <v>8.1199999999999992</v>
      </c>
      <c r="J48" s="143">
        <v>3.6110834577733529E-2</v>
      </c>
      <c r="K48" s="161">
        <v>94498.3</v>
      </c>
      <c r="L48" s="143">
        <v>5.0324390671576361E-2</v>
      </c>
      <c r="M48" s="265">
        <v>475</v>
      </c>
      <c r="N48" s="143">
        <v>5.4736436349619354E-2</v>
      </c>
      <c r="O48" s="143">
        <v>5.4204091816367268E-2</v>
      </c>
      <c r="P48" s="23">
        <f>D48/$P$1</f>
        <v>1.9334104179526258E-3</v>
      </c>
      <c r="Q48" s="23">
        <f>1-(E48/Q$1)</f>
        <v>0.99262299755908678</v>
      </c>
      <c r="R48" s="23">
        <f>Q48/R$1</f>
        <v>7.635561519685286E-3</v>
      </c>
      <c r="S48" s="23">
        <f>F48/S$1</f>
        <v>9.8842993458010189E-3</v>
      </c>
      <c r="T48" s="23">
        <f>1-(G48/T$1)</f>
        <v>0.99298147048364394</v>
      </c>
      <c r="U48" s="97">
        <f>T48/U$1</f>
        <v>7.6383190037203376E-3</v>
      </c>
      <c r="V48" s="23">
        <f>H48/V$1</f>
        <v>6.3106549463949994E-3</v>
      </c>
      <c r="W48" s="23">
        <f>I48/W$1</f>
        <v>6.7242478696887134E-3</v>
      </c>
      <c r="X48" s="23">
        <f>J48/X$1</f>
        <v>5.7966154181309966E-3</v>
      </c>
      <c r="Y48" s="23">
        <f>1-(K48/Y$1)</f>
        <v>0.99289678263181813</v>
      </c>
      <c r="Z48" s="97">
        <f>Y48/Z$1</f>
        <v>7.6376675587062929E-3</v>
      </c>
      <c r="AA48" s="23">
        <f>L48/$AA$1</f>
        <v>7.6868823041005545E-3</v>
      </c>
      <c r="AB48" s="23">
        <f>M48/AB$1</f>
        <v>4.4559935458451374E-3</v>
      </c>
      <c r="AC48" s="23">
        <f>N48/AC$1</f>
        <v>8.3063604102484069E-3</v>
      </c>
      <c r="AD48" s="23">
        <f>O48/AD$1</f>
        <v>8.2479902049184123E-3</v>
      </c>
      <c r="AE48" s="27">
        <f>('Modelo AHP'!$U$37*aux!P48)+('Modelo AHP'!$U$38*aux!R48)+('Modelo AHP'!$U$39*aux!S48)</f>
        <v>7.2741588848349269E-3</v>
      </c>
      <c r="AF48" s="28">
        <f>aux!U48</f>
        <v>7.6383190037203376E-3</v>
      </c>
      <c r="AG48" s="27">
        <f>('Modelo AHP'!$U$47*aux!V48)+('Modelo AHP'!$U$48*aux!W48)+('Modelo AHP'!$U$49*aux!X48)</f>
        <v>6.2949300779143215E-3</v>
      </c>
      <c r="AH48" s="28">
        <f>Z48</f>
        <v>7.6376675587062929E-3</v>
      </c>
      <c r="AI48" s="27">
        <f>('Modelo AHP'!$U$56*aux!AA48)+('Modelo AHP'!$U$57*aux!AB48)+('Modelo AHP'!$U$58*aux!AC48)+('Modelo AHP'!$U$59*aux!AD48)</f>
        <v>6.2959733126336185E-3</v>
      </c>
      <c r="AJ48" s="29">
        <f>('Modelo AHP'!$U$23*aux!AE48)+('Modelo AHP'!$U$24*aux!AF48)+('Modelo AHP'!$U$25*aux!AG48)+('Modelo AHP'!$U$26*aux!AH48)+('Modelo AHP'!$U$27*aux!AI48)</f>
        <v>6.9927579784292556E-3</v>
      </c>
    </row>
    <row r="49" spans="1:36">
      <c r="A49" s="1">
        <f>_xlfn.RANK.EQ(AJ49,AJ$5:AJ$135)</f>
        <v>113</v>
      </c>
      <c r="B49" s="16" t="s">
        <v>62</v>
      </c>
      <c r="C49" s="17" t="s">
        <v>64</v>
      </c>
      <c r="D49" s="143">
        <v>4.5145330859616577E-2</v>
      </c>
      <c r="E49" s="18">
        <v>84.91</v>
      </c>
      <c r="F49" s="143">
        <v>0.16141396933560476</v>
      </c>
      <c r="G49" s="159">
        <v>98155.792942289496</v>
      </c>
      <c r="H49" s="146">
        <v>3.31</v>
      </c>
      <c r="I49" s="146">
        <v>4.76</v>
      </c>
      <c r="J49" s="143">
        <v>3.6110834577733529E-2</v>
      </c>
      <c r="K49" s="161">
        <v>172607.26</v>
      </c>
      <c r="L49" s="143">
        <v>5.0324390671576361E-2</v>
      </c>
      <c r="M49" s="265">
        <v>475</v>
      </c>
      <c r="N49" s="143">
        <v>5.4736436349619354E-2</v>
      </c>
      <c r="O49" s="143">
        <v>5.4204091816367268E-2</v>
      </c>
      <c r="P49" s="23">
        <f>D49/$P$1</f>
        <v>4.1322612272382655E-3</v>
      </c>
      <c r="Q49" s="23">
        <f>1-(E49/Q$1)</f>
        <v>0.99219073335920782</v>
      </c>
      <c r="R49" s="23">
        <f>Q49/R$1</f>
        <v>7.632236410455448E-3</v>
      </c>
      <c r="S49" s="23">
        <f>F49/S$1</f>
        <v>3.3093275885557982E-3</v>
      </c>
      <c r="T49" s="23">
        <f>1-(G49/T$1)</f>
        <v>0.9823635721881856</v>
      </c>
      <c r="U49" s="97">
        <f>T49/U$1</f>
        <v>7.5566428629860434E-3</v>
      </c>
      <c r="V49" s="23">
        <f>H49/V$1</f>
        <v>3.3636502210253544E-3</v>
      </c>
      <c r="W49" s="23">
        <f>I49/W$1</f>
        <v>3.9418004753347634E-3</v>
      </c>
      <c r="X49" s="23">
        <f>J49/X$1</f>
        <v>5.7966154181309966E-3</v>
      </c>
      <c r="Y49" s="23">
        <f>1-(K49/Y$1)</f>
        <v>0.98702551382293335</v>
      </c>
      <c r="Z49" s="97">
        <f>Y49/Z$1</f>
        <v>7.5925039524841025E-3</v>
      </c>
      <c r="AA49" s="23">
        <f>L49/$AA$1</f>
        <v>7.6868823041005545E-3</v>
      </c>
      <c r="AB49" s="23">
        <f>M49/AB$1</f>
        <v>4.4559935458451374E-3</v>
      </c>
      <c r="AC49" s="23">
        <f>N49/AC$1</f>
        <v>8.3063604102484069E-3</v>
      </c>
      <c r="AD49" s="23">
        <f>O49/AD$1</f>
        <v>8.2479902049184123E-3</v>
      </c>
      <c r="AE49" s="27">
        <f>('Modelo AHP'!$U$37*aux!P49)+('Modelo AHP'!$U$38*aux!R49)+('Modelo AHP'!$U$39*aux!S49)</f>
        <v>3.988498562350503E-3</v>
      </c>
      <c r="AF49" s="28">
        <f>aux!U49</f>
        <v>7.5566428629860434E-3</v>
      </c>
      <c r="AG49" s="27">
        <f>('Modelo AHP'!$U$47*aux!V49)+('Modelo AHP'!$U$48*aux!W49)+('Modelo AHP'!$U$49*aux!X49)</f>
        <v>4.5624790658382553E-3</v>
      </c>
      <c r="AH49" s="28">
        <f>Z49</f>
        <v>7.5925039524841025E-3</v>
      </c>
      <c r="AI49" s="27">
        <f>('Modelo AHP'!$U$56*aux!AA49)+('Modelo AHP'!$U$57*aux!AB49)+('Modelo AHP'!$U$58*aux!AC49)+('Modelo AHP'!$U$59*aux!AD49)</f>
        <v>6.2959733126336185E-3</v>
      </c>
      <c r="AJ49" s="29">
        <f>('Modelo AHP'!$U$23*aux!AE49)+('Modelo AHP'!$U$24*aux!AF49)+('Modelo AHP'!$U$25*aux!AG49)+('Modelo AHP'!$U$26*aux!AH49)+('Modelo AHP'!$U$27*aux!AI49)</f>
        <v>5.8226632619485354E-3</v>
      </c>
    </row>
    <row r="50" spans="1:36">
      <c r="A50" s="1">
        <f>_xlfn.RANK.EQ(AJ50,AJ$5:AJ$135)</f>
        <v>80</v>
      </c>
      <c r="B50" s="16" t="s">
        <v>62</v>
      </c>
      <c r="C50" s="17" t="s">
        <v>65</v>
      </c>
      <c r="D50" s="143">
        <v>4.8995766909844189E-2</v>
      </c>
      <c r="E50" s="18">
        <v>83.13</v>
      </c>
      <c r="F50" s="143">
        <v>0.35507329363261569</v>
      </c>
      <c r="G50" s="159">
        <v>45508.058073087683</v>
      </c>
      <c r="H50" s="146">
        <v>6.82</v>
      </c>
      <c r="I50" s="146">
        <v>8.35</v>
      </c>
      <c r="J50" s="143">
        <v>3.6110834577733529E-2</v>
      </c>
      <c r="K50" s="161">
        <v>100133.82</v>
      </c>
      <c r="L50" s="143">
        <v>5.0324390671576361E-2</v>
      </c>
      <c r="M50" s="265">
        <v>475</v>
      </c>
      <c r="N50" s="143">
        <v>5.4736436349619354E-2</v>
      </c>
      <c r="O50" s="143">
        <v>5.4204091816367268E-2</v>
      </c>
      <c r="P50" s="23">
        <f>D50/$P$1</f>
        <v>4.4847009434913748E-3</v>
      </c>
      <c r="Q50" s="23">
        <f>1-(E50/Q$1)</f>
        <v>0.99235444192852373</v>
      </c>
      <c r="R50" s="23">
        <f>Q50/R$1</f>
        <v>7.6334957071424936E-3</v>
      </c>
      <c r="S50" s="23">
        <f>F50/S$1</f>
        <v>7.2797531181125292E-3</v>
      </c>
      <c r="T50" s="23">
        <f>1-(G50/T$1)</f>
        <v>0.99182320719945938</v>
      </c>
      <c r="U50" s="97">
        <f>T50/U$1</f>
        <v>7.6294092861496875E-3</v>
      </c>
      <c r="V50" s="23">
        <f>H50/V$1</f>
        <v>6.9305421472486148E-3</v>
      </c>
      <c r="W50" s="23">
        <f>I50/W$1</f>
        <v>6.9147130187069902E-3</v>
      </c>
      <c r="X50" s="23">
        <f>J50/X$1</f>
        <v>5.7966154181309966E-3</v>
      </c>
      <c r="Y50" s="23">
        <f>1-(K50/Y$1)</f>
        <v>0.99247317370400945</v>
      </c>
      <c r="Z50" s="97">
        <f>Y50/Z$1</f>
        <v>7.6344090284923803E-3</v>
      </c>
      <c r="AA50" s="23">
        <f>L50/$AA$1</f>
        <v>7.6868823041005545E-3</v>
      </c>
      <c r="AB50" s="23">
        <f>M50/AB$1</f>
        <v>4.4559935458451374E-3</v>
      </c>
      <c r="AC50" s="23">
        <f>N50/AC$1</f>
        <v>8.3063604102484069E-3</v>
      </c>
      <c r="AD50" s="23">
        <f>O50/AD$1</f>
        <v>8.2479902049184123E-3</v>
      </c>
      <c r="AE50" s="27">
        <f>('Modelo AHP'!$U$37*aux!P50)+('Modelo AHP'!$U$38*aux!R50)+('Modelo AHP'!$U$39*aux!S50)</f>
        <v>6.4766117246291798E-3</v>
      </c>
      <c r="AF50" s="28">
        <f>aux!U50</f>
        <v>7.6294092861496875E-3</v>
      </c>
      <c r="AG50" s="27">
        <f>('Modelo AHP'!$U$47*aux!V50)+('Modelo AHP'!$U$48*aux!W50)+('Modelo AHP'!$U$49*aux!X50)</f>
        <v>6.4842727066188582E-3</v>
      </c>
      <c r="AH50" s="28">
        <f>Z50</f>
        <v>7.6344090284923803E-3</v>
      </c>
      <c r="AI50" s="27">
        <f>('Modelo AHP'!$U$56*aux!AA50)+('Modelo AHP'!$U$57*aux!AB50)+('Modelo AHP'!$U$58*aux!AC50)+('Modelo AHP'!$U$59*aux!AD50)</f>
        <v>6.2959733126336185E-3</v>
      </c>
      <c r="AJ50" s="29">
        <f>('Modelo AHP'!$U$23*aux!AE50)+('Modelo AHP'!$U$24*aux!AF50)+('Modelo AHP'!$U$25*aux!AG50)+('Modelo AHP'!$U$26*aux!AH50)+('Modelo AHP'!$U$27*aux!AI50)</f>
        <v>6.9212432802860649E-3</v>
      </c>
    </row>
    <row r="51" spans="1:36">
      <c r="A51" s="1">
        <f>_xlfn.RANK.EQ(AJ51,AJ$5:AJ$135)</f>
        <v>67</v>
      </c>
      <c r="B51" s="16" t="s">
        <v>62</v>
      </c>
      <c r="C51" s="17" t="s">
        <v>321</v>
      </c>
      <c r="D51" s="143">
        <v>7.6560940686423398E-2</v>
      </c>
      <c r="E51" s="18">
        <v>83.61</v>
      </c>
      <c r="F51" s="143">
        <v>0.44160679637107347</v>
      </c>
      <c r="G51" s="159">
        <v>33746.013818845568</v>
      </c>
      <c r="H51" s="146">
        <v>7.08</v>
      </c>
      <c r="I51" s="146">
        <v>9</v>
      </c>
      <c r="J51" s="143">
        <v>3.6110834577733529E-2</v>
      </c>
      <c r="K51" s="161">
        <v>75022.460000000006</v>
      </c>
      <c r="L51" s="143">
        <v>5.0324390671576361E-2</v>
      </c>
      <c r="M51" s="265">
        <v>475</v>
      </c>
      <c r="N51" s="143">
        <v>5.4736436349619354E-2</v>
      </c>
      <c r="O51" s="143">
        <v>5.4204091816367268E-2</v>
      </c>
      <c r="P51" s="23">
        <f>D51/$P$1</f>
        <v>7.0078079104830592E-3</v>
      </c>
      <c r="Q51" s="23">
        <f>1-(E51/Q$1)</f>
        <v>0.99231029579747232</v>
      </c>
      <c r="R51" s="23">
        <f>Q51/R$1</f>
        <v>7.6331561215190209E-3</v>
      </c>
      <c r="S51" s="23">
        <f>F51/S$1</f>
        <v>9.0538728496665187E-3</v>
      </c>
      <c r="T51" s="23">
        <f>1-(G51/T$1)</f>
        <v>0.99393658673816143</v>
      </c>
      <c r="U51" s="97">
        <f>T51/U$1</f>
        <v>7.6456660518320107E-3</v>
      </c>
      <c r="V51" s="23">
        <f>H51/V$1</f>
        <v>7.1947563640058932E-3</v>
      </c>
      <c r="W51" s="23">
        <f>I51/W$1</f>
        <v>7.4529840920195102E-3</v>
      </c>
      <c r="X51" s="23">
        <f>J51/X$1</f>
        <v>5.7966154181309966E-3</v>
      </c>
      <c r="Y51" s="23">
        <f>1-(K51/Y$1)</f>
        <v>0.99436073621561727</v>
      </c>
      <c r="Z51" s="97">
        <f>Y51/Z$1</f>
        <v>7.6489287401201329E-3</v>
      </c>
      <c r="AA51" s="23">
        <f>L51/$AA$1</f>
        <v>7.6868823041005545E-3</v>
      </c>
      <c r="AB51" s="23">
        <f>M51/AB$1</f>
        <v>4.4559935458451374E-3</v>
      </c>
      <c r="AC51" s="23">
        <f>N51/AC$1</f>
        <v>8.3063604102484069E-3</v>
      </c>
      <c r="AD51" s="23">
        <f>O51/AD$1</f>
        <v>8.2479902049184123E-3</v>
      </c>
      <c r="AE51" s="27">
        <f>('Modelo AHP'!$U$37*aux!P51)+('Modelo AHP'!$U$38*aux!R51)+('Modelo AHP'!$U$39*aux!S51)</f>
        <v>8.2979816950967313E-3</v>
      </c>
      <c r="AF51" s="28">
        <f>aux!U51</f>
        <v>7.6456660518320107E-3</v>
      </c>
      <c r="AG51" s="27">
        <f>('Modelo AHP'!$U$47*aux!V51)+('Modelo AHP'!$U$48*aux!W51)+('Modelo AHP'!$U$49*aux!X51)</f>
        <v>6.767662784077446E-3</v>
      </c>
      <c r="AH51" s="28">
        <f>Z51</f>
        <v>7.6489287401201329E-3</v>
      </c>
      <c r="AI51" s="27">
        <f>('Modelo AHP'!$U$56*aux!AA51)+('Modelo AHP'!$U$57*aux!AB51)+('Modelo AHP'!$U$58*aux!AC51)+('Modelo AHP'!$U$59*aux!AD51)</f>
        <v>6.2959733126336185E-3</v>
      </c>
      <c r="AJ51" s="29">
        <f>('Modelo AHP'!$U$23*aux!AE51)+('Modelo AHP'!$U$24*aux!AF51)+('Modelo AHP'!$U$25*aux!AG51)+('Modelo AHP'!$U$26*aux!AH51)+('Modelo AHP'!$U$27*aux!AI51)</f>
        <v>7.3283801133644634E-3</v>
      </c>
    </row>
    <row r="52" spans="1:36">
      <c r="A52" s="1">
        <f>_xlfn.RANK.EQ(AJ52,AJ$5:AJ$135)</f>
        <v>93</v>
      </c>
      <c r="B52" s="16" t="s">
        <v>62</v>
      </c>
      <c r="C52" s="17" t="s">
        <v>66</v>
      </c>
      <c r="D52" s="143">
        <v>2.8179853772607524E-2</v>
      </c>
      <c r="E52" s="18">
        <v>84.4</v>
      </c>
      <c r="F52" s="143">
        <v>0.2352898759734641</v>
      </c>
      <c r="G52" s="159">
        <v>58457.375286918461</v>
      </c>
      <c r="H52" s="146">
        <v>5.32</v>
      </c>
      <c r="I52" s="146">
        <v>6.62</v>
      </c>
      <c r="J52" s="143">
        <v>3.6110834577733529E-2</v>
      </c>
      <c r="K52" s="161">
        <v>96815.18</v>
      </c>
      <c r="L52" s="143">
        <v>5.0324390671576361E-2</v>
      </c>
      <c r="M52" s="265">
        <v>475</v>
      </c>
      <c r="N52" s="143">
        <v>5.4736436349619354E-2</v>
      </c>
      <c r="O52" s="143">
        <v>5.4204091816367268E-2</v>
      </c>
      <c r="P52" s="23">
        <f>D52/$P$1</f>
        <v>2.5793701124018969E-3</v>
      </c>
      <c r="Q52" s="23">
        <f>1-(E52/Q$1)</f>
        <v>0.99223763862345005</v>
      </c>
      <c r="R52" s="23">
        <f>Q52/R$1</f>
        <v>7.6325972201803883E-3</v>
      </c>
      <c r="S52" s="23">
        <f>F52/S$1</f>
        <v>4.8239398428268597E-3</v>
      </c>
      <c r="T52" s="23">
        <f>1-(G52/T$1)</f>
        <v>0.98949650093579256</v>
      </c>
      <c r="U52" s="97">
        <f>T52/U$1</f>
        <v>7.6115115456599431E-3</v>
      </c>
      <c r="V52" s="23">
        <f>H52/V$1</f>
        <v>5.406229358264316E-3</v>
      </c>
      <c r="W52" s="23">
        <f>I52/W$1</f>
        <v>5.4820838543521294E-3</v>
      </c>
      <c r="X52" s="23">
        <f>J52/X$1</f>
        <v>5.7966154181309966E-3</v>
      </c>
      <c r="Y52" s="23">
        <f>1-(K52/Y$1)</f>
        <v>0.99272262815225609</v>
      </c>
      <c r="Z52" s="97">
        <f>Y52/Z$1</f>
        <v>7.6363279088635088E-3</v>
      </c>
      <c r="AA52" s="23">
        <f>L52/$AA$1</f>
        <v>7.6868823041005545E-3</v>
      </c>
      <c r="AB52" s="23">
        <f>M52/AB$1</f>
        <v>4.4559935458451374E-3</v>
      </c>
      <c r="AC52" s="23">
        <f>N52/AC$1</f>
        <v>8.3063604102484069E-3</v>
      </c>
      <c r="AD52" s="23">
        <f>O52/AD$1</f>
        <v>8.2479902049184123E-3</v>
      </c>
      <c r="AE52" s="27">
        <f>('Modelo AHP'!$U$37*aux!P52)+('Modelo AHP'!$U$38*aux!R52)+('Modelo AHP'!$U$39*aux!S52)</f>
        <v>4.4314346614347236E-3</v>
      </c>
      <c r="AF52" s="28">
        <f>aux!U52</f>
        <v>7.6115115456599431E-3</v>
      </c>
      <c r="AG52" s="27">
        <f>('Modelo AHP'!$U$47*aux!V52)+('Modelo AHP'!$U$48*aux!W52)+('Modelo AHP'!$U$49*aux!X52)</f>
        <v>5.5910896932109067E-3</v>
      </c>
      <c r="AH52" s="28">
        <f>Z52</f>
        <v>7.6363279088635088E-3</v>
      </c>
      <c r="AI52" s="27">
        <f>('Modelo AHP'!$U$56*aux!AA52)+('Modelo AHP'!$U$57*aux!AB52)+('Modelo AHP'!$U$58*aux!AC52)+('Modelo AHP'!$U$59*aux!AD52)</f>
        <v>6.2959733126336185E-3</v>
      </c>
      <c r="AJ52" s="29">
        <f>('Modelo AHP'!$U$23*aux!AE52)+('Modelo AHP'!$U$24*aux!AF52)+('Modelo AHP'!$U$25*aux!AG52)+('Modelo AHP'!$U$26*aux!AH52)+('Modelo AHP'!$U$27*aux!AI52)</f>
        <v>6.2690804587972925E-3</v>
      </c>
    </row>
    <row r="53" spans="1:36">
      <c r="A53" s="1">
        <f>_xlfn.RANK.EQ(AJ53,AJ$5:AJ$135)</f>
        <v>81</v>
      </c>
      <c r="B53" s="16" t="s">
        <v>62</v>
      </c>
      <c r="C53" s="17" t="s">
        <v>67</v>
      </c>
      <c r="D53" s="143">
        <v>7.2536768860690007E-2</v>
      </c>
      <c r="E53" s="18">
        <v>82.22</v>
      </c>
      <c r="F53" s="143">
        <v>0.30510828625235403</v>
      </c>
      <c r="G53" s="159">
        <v>42537.250096005242</v>
      </c>
      <c r="H53" s="146">
        <v>6.6</v>
      </c>
      <c r="I53" s="146">
        <v>8.36</v>
      </c>
      <c r="J53" s="143">
        <v>3.6110834577733529E-2</v>
      </c>
      <c r="K53" s="161">
        <v>84332.83</v>
      </c>
      <c r="L53" s="143">
        <v>5.0324390671576361E-2</v>
      </c>
      <c r="M53" s="265">
        <v>475</v>
      </c>
      <c r="N53" s="143">
        <v>5.4736436349619354E-2</v>
      </c>
      <c r="O53" s="143">
        <v>5.4204091816367268E-2</v>
      </c>
      <c r="P53" s="23">
        <f>D53/$P$1</f>
        <v>6.6394657388655362E-3</v>
      </c>
      <c r="Q53" s="23">
        <f>1-(E53/Q$1)</f>
        <v>0.9924381356353088</v>
      </c>
      <c r="R53" s="23">
        <f>Q53/R$1</f>
        <v>7.634139504886994E-3</v>
      </c>
      <c r="S53" s="23">
        <f>F53/S$1</f>
        <v>6.255364844492268E-3</v>
      </c>
      <c r="T53" s="23">
        <f>1-(G53/T$1)</f>
        <v>0.99235699577026115</v>
      </c>
      <c r="U53" s="97">
        <f>T53/U$1</f>
        <v>7.6335153520789316E-3</v>
      </c>
      <c r="V53" s="23">
        <f>H53/V$1</f>
        <v>6.7069762715309175E-3</v>
      </c>
      <c r="W53" s="23">
        <f>I53/W$1</f>
        <v>6.922994112142567E-3</v>
      </c>
      <c r="X53" s="23">
        <f>J53/X$1</f>
        <v>5.7966154181309966E-3</v>
      </c>
      <c r="Y53" s="23">
        <f>1-(K53/Y$1)</f>
        <v>0.99366089736255647</v>
      </c>
      <c r="Z53" s="97">
        <f>Y53/Z$1</f>
        <v>7.6435453643273572E-3</v>
      </c>
      <c r="AA53" s="23">
        <f>L53/$AA$1</f>
        <v>7.6868823041005545E-3</v>
      </c>
      <c r="AB53" s="23">
        <f>M53/AB$1</f>
        <v>4.4559935458451374E-3</v>
      </c>
      <c r="AC53" s="23">
        <f>N53/AC$1</f>
        <v>8.3063604102484069E-3</v>
      </c>
      <c r="AD53" s="23">
        <f>O53/AD$1</f>
        <v>8.2479902049184123E-3</v>
      </c>
      <c r="AE53" s="27">
        <f>('Modelo AHP'!$U$37*aux!P53)+('Modelo AHP'!$U$38*aux!R53)+('Modelo AHP'!$U$39*aux!S53)</f>
        <v>6.5084725788437207E-3</v>
      </c>
      <c r="AF53" s="28">
        <f>aux!U53</f>
        <v>7.6335153520789316E-3</v>
      </c>
      <c r="AG53" s="27">
        <f>('Modelo AHP'!$U$47*aux!V53)+('Modelo AHP'!$U$48*aux!W53)+('Modelo AHP'!$U$49*aux!X53)</f>
        <v>6.4501174665016064E-3</v>
      </c>
      <c r="AH53" s="28">
        <f>Z53</f>
        <v>7.6435453643273572E-3</v>
      </c>
      <c r="AI53" s="27">
        <f>('Modelo AHP'!$U$56*aux!AA53)+('Modelo AHP'!$U$57*aux!AB53)+('Modelo AHP'!$U$58*aux!AC53)+('Modelo AHP'!$U$59*aux!AD53)</f>
        <v>6.2959733126336185E-3</v>
      </c>
      <c r="AJ53" s="29">
        <f>('Modelo AHP'!$U$23*aux!AE53)+('Modelo AHP'!$U$24*aux!AF53)+('Modelo AHP'!$U$25*aux!AG53)+('Modelo AHP'!$U$26*aux!AH53)+('Modelo AHP'!$U$27*aux!AI53)</f>
        <v>6.9168999586100262E-3</v>
      </c>
    </row>
    <row r="54" spans="1:36">
      <c r="A54" s="1">
        <f>_xlfn.RANK.EQ(AJ54,AJ$5:AJ$135)</f>
        <v>111</v>
      </c>
      <c r="B54" s="16" t="s">
        <v>62</v>
      </c>
      <c r="C54" s="17" t="s">
        <v>68</v>
      </c>
      <c r="D54" s="143">
        <v>2.0431717512009482E-2</v>
      </c>
      <c r="E54" s="18">
        <v>82.79</v>
      </c>
      <c r="F54" s="143">
        <v>0.15631551973163119</v>
      </c>
      <c r="G54" s="159">
        <v>78328.100556215562</v>
      </c>
      <c r="H54" s="146">
        <v>4.1399999999999997</v>
      </c>
      <c r="I54" s="146">
        <v>5.62</v>
      </c>
      <c r="J54" s="143">
        <v>3.6110834577733529E-2</v>
      </c>
      <c r="K54" s="161">
        <v>137514.56</v>
      </c>
      <c r="L54" s="143">
        <v>5.0324390671576361E-2</v>
      </c>
      <c r="M54" s="265">
        <v>475</v>
      </c>
      <c r="N54" s="143">
        <v>5.4736436349619354E-2</v>
      </c>
      <c r="O54" s="143">
        <v>5.4204091816367268E-2</v>
      </c>
      <c r="P54" s="23">
        <f>D54/$P$1</f>
        <v>1.8701644771039988E-3</v>
      </c>
      <c r="Q54" s="23">
        <f>1-(E54/Q$1)</f>
        <v>0.99238571210468518</v>
      </c>
      <c r="R54" s="23">
        <f>Q54/R$1</f>
        <v>7.6337362469591202E-3</v>
      </c>
      <c r="S54" s="23">
        <f>F54/S$1</f>
        <v>3.2047985939294985E-3</v>
      </c>
      <c r="T54" s="23">
        <f>1-(G54/T$1)</f>
        <v>0.98592617053271181</v>
      </c>
      <c r="U54" s="97">
        <f>T54/U$1</f>
        <v>7.5840474656362449E-3</v>
      </c>
      <c r="V54" s="23">
        <f>H54/V$1</f>
        <v>4.2071032975966663E-3</v>
      </c>
      <c r="W54" s="23">
        <f>I54/W$1</f>
        <v>4.6539745107944059E-3</v>
      </c>
      <c r="X54" s="23">
        <f>J54/X$1</f>
        <v>5.7966154181309966E-3</v>
      </c>
      <c r="Y54" s="23">
        <f>1-(K54/Y$1)</f>
        <v>0.98966335044154341</v>
      </c>
      <c r="Z54" s="97">
        <f>Y54/Z$1</f>
        <v>7.6127950033964874E-3</v>
      </c>
      <c r="AA54" s="23">
        <f>L54/$AA$1</f>
        <v>7.6868823041005545E-3</v>
      </c>
      <c r="AB54" s="23">
        <f>M54/AB$1</f>
        <v>4.4559935458451374E-3</v>
      </c>
      <c r="AC54" s="23">
        <f>N54/AC$1</f>
        <v>8.3063604102484069E-3</v>
      </c>
      <c r="AD54" s="23">
        <f>O54/AD$1</f>
        <v>8.2479902049184123E-3</v>
      </c>
      <c r="AE54" s="27">
        <f>('Modelo AHP'!$U$37*aux!P54)+('Modelo AHP'!$U$38*aux!R54)+('Modelo AHP'!$U$39*aux!S54)</f>
        <v>3.247302124184811E-3</v>
      </c>
      <c r="AF54" s="28">
        <f>aux!U54</f>
        <v>7.5840474656362449E-3</v>
      </c>
      <c r="AG54" s="27">
        <f>('Modelo AHP'!$U$47*aux!V54)+('Modelo AHP'!$U$48*aux!W54)+('Modelo AHP'!$U$49*aux!X54)</f>
        <v>5.0209899219585226E-3</v>
      </c>
      <c r="AH54" s="28">
        <f>Z54</f>
        <v>7.6127950033964874E-3</v>
      </c>
      <c r="AI54" s="27">
        <f>('Modelo AHP'!$U$56*aux!AA54)+('Modelo AHP'!$U$57*aux!AB54)+('Modelo AHP'!$U$58*aux!AC54)+('Modelo AHP'!$U$59*aux!AD54)</f>
        <v>6.2959733126336185E-3</v>
      </c>
      <c r="AJ54" s="29">
        <f>('Modelo AHP'!$U$23*aux!AE54)+('Modelo AHP'!$U$24*aux!AF54)+('Modelo AHP'!$U$25*aux!AG54)+('Modelo AHP'!$U$26*aux!AH54)+('Modelo AHP'!$U$27*aux!AI54)</f>
        <v>5.8660198363318736E-3</v>
      </c>
    </row>
    <row r="55" spans="1:36">
      <c r="A55" s="1">
        <f>_xlfn.RANK.EQ(AJ55,AJ$5:AJ$135)</f>
        <v>114</v>
      </c>
      <c r="B55" s="16" t="s">
        <v>62</v>
      </c>
      <c r="C55" s="17" t="s">
        <v>69</v>
      </c>
      <c r="D55" s="143">
        <v>2.1281337047353757E-2</v>
      </c>
      <c r="E55" s="18">
        <v>88.66</v>
      </c>
      <c r="F55" s="143">
        <v>0.15826750204304005</v>
      </c>
      <c r="G55" s="159">
        <v>57441.344233021082</v>
      </c>
      <c r="H55" s="146">
        <v>3.73</v>
      </c>
      <c r="I55" s="146">
        <v>5.3</v>
      </c>
      <c r="J55" s="143">
        <v>3.6110834577733529E-2</v>
      </c>
      <c r="K55" s="161">
        <v>81519.53</v>
      </c>
      <c r="L55" s="143">
        <v>5.0324390671576361E-2</v>
      </c>
      <c r="M55" s="265">
        <v>475</v>
      </c>
      <c r="N55" s="143">
        <v>5.4736436349619354E-2</v>
      </c>
      <c r="O55" s="143">
        <v>5.4204091816367268E-2</v>
      </c>
      <c r="P55" s="23">
        <f>D55/$P$1</f>
        <v>1.9479322062790189E-3</v>
      </c>
      <c r="Q55" s="23">
        <f>1-(E55/Q$1)</f>
        <v>0.99184584171036827</v>
      </c>
      <c r="R55" s="23">
        <f>Q55/R$1</f>
        <v>7.6295833977720667E-3</v>
      </c>
      <c r="S55" s="23">
        <f>F55/S$1</f>
        <v>3.2448183576594112E-3</v>
      </c>
      <c r="T55" s="23">
        <f>1-(G55/T$1)</f>
        <v>0.98967905927289612</v>
      </c>
      <c r="U55" s="97">
        <f>T55/U$1</f>
        <v>7.6129158405607395E-3</v>
      </c>
      <c r="V55" s="23">
        <f>H55/V$1</f>
        <v>3.7904578019409582E-3</v>
      </c>
      <c r="W55" s="23">
        <f>I55/W$1</f>
        <v>4.3889795208559342E-3</v>
      </c>
      <c r="X55" s="23">
        <f>J55/X$1</f>
        <v>5.7966154181309966E-3</v>
      </c>
      <c r="Y55" s="23">
        <f>1-(K55/Y$1)</f>
        <v>0.99387236657863653</v>
      </c>
      <c r="Z55" s="97">
        <f>Y55/Z$1</f>
        <v>7.6451720506048966E-3</v>
      </c>
      <c r="AA55" s="23">
        <f>L55/$AA$1</f>
        <v>7.6868823041005545E-3</v>
      </c>
      <c r="AB55" s="23">
        <f>M55/AB$1</f>
        <v>4.4559935458451374E-3</v>
      </c>
      <c r="AC55" s="23">
        <f>N55/AC$1</f>
        <v>8.3063604102484069E-3</v>
      </c>
      <c r="AD55" s="23">
        <f>O55/AD$1</f>
        <v>8.2479902049184123E-3</v>
      </c>
      <c r="AE55" s="27">
        <f>('Modelo AHP'!$U$37*aux!P55)+('Modelo AHP'!$U$38*aux!R55)+('Modelo AHP'!$U$39*aux!S55)</f>
        <v>3.2942290162565587E-3</v>
      </c>
      <c r="AF55" s="28">
        <f>aux!U55</f>
        <v>7.6129158405607395E-3</v>
      </c>
      <c r="AG55" s="27">
        <f>('Modelo AHP'!$U$47*aux!V55)+('Modelo AHP'!$U$48*aux!W55)+('Modelo AHP'!$U$49*aux!X55)</f>
        <v>4.8329870628640373E-3</v>
      </c>
      <c r="AH55" s="28">
        <f>Z55</f>
        <v>7.6451720506048966E-3</v>
      </c>
      <c r="AI55" s="27">
        <f>('Modelo AHP'!$U$56*aux!AA55)+('Modelo AHP'!$U$57*aux!AB55)+('Modelo AHP'!$U$58*aux!AC55)+('Modelo AHP'!$U$59*aux!AD55)</f>
        <v>6.2959733126336185E-3</v>
      </c>
      <c r="AJ55" s="29">
        <f>('Modelo AHP'!$U$23*aux!AE55)+('Modelo AHP'!$U$24*aux!AF55)+('Modelo AHP'!$U$25*aux!AG55)+('Modelo AHP'!$U$26*aux!AH55)+('Modelo AHP'!$U$27*aux!AI55)</f>
        <v>5.8213524894769253E-3</v>
      </c>
    </row>
    <row r="56" spans="1:36">
      <c r="A56" s="1">
        <f>_xlfn.RANK.EQ(AJ56,AJ$5:AJ$135)</f>
        <v>87</v>
      </c>
      <c r="B56" s="16" t="s">
        <v>70</v>
      </c>
      <c r="C56" s="17" t="s">
        <v>71</v>
      </c>
      <c r="D56" s="143">
        <v>4.2713178294573641E-2</v>
      </c>
      <c r="E56" s="18">
        <v>82.74</v>
      </c>
      <c r="F56" s="143">
        <v>0.28358350750522515</v>
      </c>
      <c r="G56" s="159">
        <v>41436.083852990181</v>
      </c>
      <c r="H56" s="146">
        <v>7.57</v>
      </c>
      <c r="I56" s="146">
        <v>9.5299999999999994</v>
      </c>
      <c r="J56" s="143">
        <v>3.2221233886064016E-2</v>
      </c>
      <c r="K56" s="161">
        <v>98568.69</v>
      </c>
      <c r="L56" s="143">
        <v>2.4548483254427496E-2</v>
      </c>
      <c r="M56" s="265">
        <v>242</v>
      </c>
      <c r="N56" s="143">
        <v>2.4766310108894671E-2</v>
      </c>
      <c r="O56" s="143">
        <v>2.3858532934131736E-2</v>
      </c>
      <c r="P56" s="23">
        <f>D56/$P$1</f>
        <v>3.909640425665069E-3</v>
      </c>
      <c r="Q56" s="23">
        <f>1-(E56/Q$1)</f>
        <v>0.99239031066000305</v>
      </c>
      <c r="R56" s="23">
        <f>Q56/R$1</f>
        <v>7.6337716204615651E-3</v>
      </c>
      <c r="S56" s="23">
        <f>F56/S$1</f>
        <v>5.814061378388107E-3</v>
      </c>
      <c r="T56" s="23">
        <f>1-(G56/T$1)</f>
        <v>0.99255485102028351</v>
      </c>
      <c r="U56" s="97">
        <f>T56/U$1</f>
        <v>7.6350373155406421E-3</v>
      </c>
      <c r="V56" s="23">
        <f>H56/V$1</f>
        <v>7.6926985417407646E-3</v>
      </c>
      <c r="W56" s="23">
        <f>I56/W$1</f>
        <v>7.8918820441051044E-3</v>
      </c>
      <c r="X56" s="23">
        <f>J56/X$1</f>
        <v>5.1722454858556845E-3</v>
      </c>
      <c r="Y56" s="23">
        <f>1-(K56/Y$1)</f>
        <v>0.99259082088495831</v>
      </c>
      <c r="Z56" s="97">
        <f>Y56/Z$1</f>
        <v>7.6353140068073713E-3</v>
      </c>
      <c r="AA56" s="23">
        <f>L56/$AA$1</f>
        <v>3.7496986849271004E-3</v>
      </c>
      <c r="AB56" s="23">
        <f>M56/AB$1</f>
        <v>2.2702114486200494E-3</v>
      </c>
      <c r="AC56" s="23">
        <f>N56/AC$1</f>
        <v>3.7583356081581699E-3</v>
      </c>
      <c r="AD56" s="23">
        <f>O56/AD$1</f>
        <v>3.6304444803006816E-3</v>
      </c>
      <c r="AE56" s="27">
        <f>('Modelo AHP'!$U$37*aux!P56)+('Modelo AHP'!$U$38*aux!R56)+('Modelo AHP'!$U$39*aux!S56)</f>
        <v>5.4247061167785413E-3</v>
      </c>
      <c r="AF56" s="28">
        <f>aux!U56</f>
        <v>7.6350373155406421E-3</v>
      </c>
      <c r="AG56" s="27">
        <f>('Modelo AHP'!$U$47*aux!V56)+('Modelo AHP'!$U$48*aux!W56)+('Modelo AHP'!$U$49*aux!X56)</f>
        <v>6.8046718557065716E-3</v>
      </c>
      <c r="AH56" s="28">
        <f>Z56</f>
        <v>7.6353140068073713E-3</v>
      </c>
      <c r="AI56" s="27">
        <f>('Modelo AHP'!$U$56*aux!AA56)+('Modelo AHP'!$U$57*aux!AB56)+('Modelo AHP'!$U$58*aux!AC56)+('Modelo AHP'!$U$59*aux!AD56)</f>
        <v>3.0061543099865126E-3</v>
      </c>
      <c r="AJ56" s="29">
        <f>('Modelo AHP'!$U$23*aux!AE56)+('Modelo AHP'!$U$24*aux!AF56)+('Modelo AHP'!$U$25*aux!AG56)+('Modelo AHP'!$U$26*aux!AH56)+('Modelo AHP'!$U$27*aux!AI56)</f>
        <v>6.549079795682919E-3</v>
      </c>
    </row>
    <row r="57" spans="1:36">
      <c r="A57" s="1">
        <f>_xlfn.RANK.EQ(AJ57,AJ$5:AJ$135)</f>
        <v>101</v>
      </c>
      <c r="B57" s="16" t="s">
        <v>70</v>
      </c>
      <c r="C57" s="17" t="s">
        <v>72</v>
      </c>
      <c r="D57" s="143">
        <v>6.7189063021007009E-2</v>
      </c>
      <c r="E57" s="18">
        <v>82.88</v>
      </c>
      <c r="F57" s="143">
        <v>0.20794190829228659</v>
      </c>
      <c r="G57" s="159">
        <v>53460.643562335827</v>
      </c>
      <c r="H57" s="146">
        <v>5.81</v>
      </c>
      <c r="I57" s="146">
        <v>7.51</v>
      </c>
      <c r="J57" s="143">
        <v>3.2221233886064016E-2</v>
      </c>
      <c r="K57" s="161">
        <v>202053.54</v>
      </c>
      <c r="L57" s="143">
        <v>2.4548483254427496E-2</v>
      </c>
      <c r="M57" s="265">
        <v>242</v>
      </c>
      <c r="N57" s="143">
        <v>2.4766310108894671E-2</v>
      </c>
      <c r="O57" s="143">
        <v>2.3858532934131736E-2</v>
      </c>
      <c r="P57" s="23">
        <f>D57/$P$1</f>
        <v>6.1499773006322726E-3</v>
      </c>
      <c r="Q57" s="23">
        <f>1-(E57/Q$1)</f>
        <v>0.99237743470511308</v>
      </c>
      <c r="R57" s="23">
        <f>Q57/R$1</f>
        <v>7.633672574654719E-3</v>
      </c>
      <c r="S57" s="23">
        <f>F57/S$1</f>
        <v>4.2632486937845956E-3</v>
      </c>
      <c r="T57" s="23">
        <f>1-(G57/T$1)</f>
        <v>0.99039430325304767</v>
      </c>
      <c r="U57" s="97">
        <f>T57/U$1</f>
        <v>7.6184177173311361E-3</v>
      </c>
      <c r="V57" s="23">
        <f>H57/V$1</f>
        <v>5.9041715359991866E-3</v>
      </c>
      <c r="W57" s="23">
        <f>I57/W$1</f>
        <v>6.2191011701185029E-3</v>
      </c>
      <c r="X57" s="23">
        <f>J57/X$1</f>
        <v>5.1722454858556845E-3</v>
      </c>
      <c r="Y57" s="23">
        <f>1-(K57/Y$1)</f>
        <v>0.98481210545977393</v>
      </c>
      <c r="Z57" s="97">
        <f>Y57/Z$1</f>
        <v>7.5754777343059534E-3</v>
      </c>
      <c r="AA57" s="23">
        <f>L57/$AA$1</f>
        <v>3.7496986849271004E-3</v>
      </c>
      <c r="AB57" s="23">
        <f>M57/AB$1</f>
        <v>2.2702114486200494E-3</v>
      </c>
      <c r="AC57" s="23">
        <f>N57/AC$1</f>
        <v>3.7583356081581699E-3</v>
      </c>
      <c r="AD57" s="23">
        <f>O57/AD$1</f>
        <v>3.6304444803006816E-3</v>
      </c>
      <c r="AE57" s="27">
        <f>('Modelo AHP'!$U$37*aux!P57)+('Modelo AHP'!$U$38*aux!R57)+('Modelo AHP'!$U$39*aux!S57)</f>
        <v>5.1663096639259116E-3</v>
      </c>
      <c r="AF57" s="28">
        <f>aux!U57</f>
        <v>7.6184177173311361E-3</v>
      </c>
      <c r="AG57" s="27">
        <f>('Modelo AHP'!$U$47*aux!V57)+('Modelo AHP'!$U$48*aux!W57)+('Modelo AHP'!$U$49*aux!X57)</f>
        <v>5.7602935701954253E-3</v>
      </c>
      <c r="AH57" s="28">
        <f>Z57</f>
        <v>7.5754777343059534E-3</v>
      </c>
      <c r="AI57" s="27">
        <f>('Modelo AHP'!$U$56*aux!AA57)+('Modelo AHP'!$U$57*aux!AB57)+('Modelo AHP'!$U$58*aux!AC57)+('Modelo AHP'!$U$59*aux!AD57)</f>
        <v>3.0061543099865126E-3</v>
      </c>
      <c r="AJ57" s="29">
        <f>('Modelo AHP'!$U$23*aux!AE57)+('Modelo AHP'!$U$24*aux!AF57)+('Modelo AHP'!$U$25*aux!AG57)+('Modelo AHP'!$U$26*aux!AH57)+('Modelo AHP'!$U$27*aux!AI57)</f>
        <v>6.1392078029350282E-3</v>
      </c>
    </row>
    <row r="58" spans="1:36">
      <c r="A58" s="1">
        <f>_xlfn.RANK.EQ(AJ58,AJ$5:AJ$135)</f>
        <v>110</v>
      </c>
      <c r="B58" s="16" t="s">
        <v>70</v>
      </c>
      <c r="C58" s="17" t="s">
        <v>73</v>
      </c>
      <c r="D58" s="143">
        <v>6.3241597813257125E-2</v>
      </c>
      <c r="E58" s="18">
        <v>83.16</v>
      </c>
      <c r="F58" s="143">
        <v>0.18347450855042352</v>
      </c>
      <c r="G58" s="159">
        <v>67390.492096167014</v>
      </c>
      <c r="H58" s="146">
        <v>4.8600000000000003</v>
      </c>
      <c r="I58" s="146">
        <v>6.66</v>
      </c>
      <c r="J58" s="143">
        <v>3.2221233886064016E-2</v>
      </c>
      <c r="K58" s="161">
        <v>154344.74</v>
      </c>
      <c r="L58" s="143">
        <v>2.4548483254427496E-2</v>
      </c>
      <c r="M58" s="265">
        <v>242</v>
      </c>
      <c r="N58" s="143">
        <v>2.4766310108894671E-2</v>
      </c>
      <c r="O58" s="143">
        <v>2.3858532934131736E-2</v>
      </c>
      <c r="P58" s="23">
        <f>D58/$P$1</f>
        <v>5.7886562711202639E-3</v>
      </c>
      <c r="Q58" s="23">
        <f>1-(E58/Q$1)</f>
        <v>0.99235168279533303</v>
      </c>
      <c r="R58" s="23">
        <f>Q58/R$1</f>
        <v>7.6334744830410268E-3</v>
      </c>
      <c r="S58" s="23">
        <f>F58/S$1</f>
        <v>3.7616152768055488E-3</v>
      </c>
      <c r="T58" s="23">
        <f>1-(G58/T$1)</f>
        <v>0.98789141717029894</v>
      </c>
      <c r="U58" s="97">
        <f>T58/U$1</f>
        <v>7.5991647474638376E-3</v>
      </c>
      <c r="V58" s="23">
        <f>H58/V$1</f>
        <v>4.9387734363091308E-3</v>
      </c>
      <c r="W58" s="23">
        <f>I58/W$1</f>
        <v>5.515208228094438E-3</v>
      </c>
      <c r="X58" s="23">
        <f>J58/X$1</f>
        <v>5.1722454858556845E-3</v>
      </c>
      <c r="Y58" s="23">
        <f>1-(K58/Y$1)</f>
        <v>0.98839826496502559</v>
      </c>
      <c r="Z58" s="97">
        <f>Y58/Z$1</f>
        <v>7.6030635766540433E-3</v>
      </c>
      <c r="AA58" s="23">
        <f>L58/$AA$1</f>
        <v>3.7496986849271004E-3</v>
      </c>
      <c r="AB58" s="23">
        <f>M58/AB$1</f>
        <v>2.2702114486200494E-3</v>
      </c>
      <c r="AC58" s="23">
        <f>N58/AC$1</f>
        <v>3.7583356081581699E-3</v>
      </c>
      <c r="AD58" s="23">
        <f>O58/AD$1</f>
        <v>3.6304444803006816E-3</v>
      </c>
      <c r="AE58" s="27">
        <f>('Modelo AHP'!$U$37*aux!P58)+('Modelo AHP'!$U$38*aux!R58)+('Modelo AHP'!$U$39*aux!S58)</f>
        <v>4.7569134957235106E-3</v>
      </c>
      <c r="AF58" s="28">
        <f>aux!U58</f>
        <v>7.5991647474638376E-3</v>
      </c>
      <c r="AG58" s="27">
        <f>('Modelo AHP'!$U$47*aux!V58)+('Modelo AHP'!$U$48*aux!W58)+('Modelo AHP'!$U$49*aux!X58)</f>
        <v>5.2848217094323569E-3</v>
      </c>
      <c r="AH58" s="28">
        <f>Z58</f>
        <v>7.6030635766540433E-3</v>
      </c>
      <c r="AI58" s="27">
        <f>('Modelo AHP'!$U$56*aux!AA58)+('Modelo AHP'!$U$57*aux!AB58)+('Modelo AHP'!$U$58*aux!AC58)+('Modelo AHP'!$U$59*aux!AD58)</f>
        <v>3.0061543099865126E-3</v>
      </c>
      <c r="AJ58" s="29">
        <f>('Modelo AHP'!$U$23*aux!AE58)+('Modelo AHP'!$U$24*aux!AF58)+('Modelo AHP'!$U$25*aux!AG58)+('Modelo AHP'!$U$26*aux!AH58)+('Modelo AHP'!$U$27*aux!AI58)</f>
        <v>5.9042665276142995E-3</v>
      </c>
    </row>
    <row r="59" spans="1:36">
      <c r="A59" s="1">
        <f>_xlfn.RANK.EQ(AJ59,AJ$5:AJ$135)</f>
        <v>82</v>
      </c>
      <c r="B59" s="16" t="s">
        <v>70</v>
      </c>
      <c r="C59" s="17" t="s">
        <v>74</v>
      </c>
      <c r="D59" s="143">
        <v>7.7299612482153779E-2</v>
      </c>
      <c r="E59" s="18">
        <v>83.7</v>
      </c>
      <c r="F59" s="143">
        <v>0.40012051822838202</v>
      </c>
      <c r="G59" s="159">
        <v>34996.93079768688</v>
      </c>
      <c r="H59" s="146">
        <v>7.36</v>
      </c>
      <c r="I59" s="146">
        <v>8.85</v>
      </c>
      <c r="J59" s="143">
        <v>3.2221233886064016E-2</v>
      </c>
      <c r="K59" s="161">
        <v>81625.61</v>
      </c>
      <c r="L59" s="143">
        <v>2.4548483254427496E-2</v>
      </c>
      <c r="M59" s="265">
        <v>242</v>
      </c>
      <c r="N59" s="143">
        <v>2.4766310108894671E-2</v>
      </c>
      <c r="O59" s="143">
        <v>2.3858532934131736E-2</v>
      </c>
      <c r="P59" s="23">
        <f>D59/$P$1</f>
        <v>7.0754203249460907E-3</v>
      </c>
      <c r="Q59" s="23">
        <f>1-(E59/Q$1)</f>
        <v>0.99230201839790011</v>
      </c>
      <c r="R59" s="23">
        <f>Q59/R$1</f>
        <v>7.6330924492146197E-3</v>
      </c>
      <c r="S59" s="23">
        <f>F59/S$1</f>
        <v>8.2033164488220702E-3</v>
      </c>
      <c r="T59" s="23">
        <f>1-(G59/T$1)</f>
        <v>0.99371182458878038</v>
      </c>
      <c r="U59" s="97">
        <f>T59/U$1</f>
        <v>7.6439371122213875E-3</v>
      </c>
      <c r="V59" s="23">
        <f>H59/V$1</f>
        <v>7.479294751282963E-3</v>
      </c>
      <c r="W59" s="23">
        <f>I59/W$1</f>
        <v>7.3287676904858516E-3</v>
      </c>
      <c r="X59" s="23">
        <f>J59/X$1</f>
        <v>5.1722454858556845E-3</v>
      </c>
      <c r="Y59" s="23">
        <f>1-(K59/Y$1)</f>
        <v>0.99386439279182326</v>
      </c>
      <c r="Z59" s="97">
        <f>Y59/Z$1</f>
        <v>7.6451107137832557E-3</v>
      </c>
      <c r="AA59" s="23">
        <f>L59/$AA$1</f>
        <v>3.7496986849271004E-3</v>
      </c>
      <c r="AB59" s="23">
        <f>M59/AB$1</f>
        <v>2.2702114486200494E-3</v>
      </c>
      <c r="AC59" s="23">
        <f>N59/AC$1</f>
        <v>3.7583356081581699E-3</v>
      </c>
      <c r="AD59" s="23">
        <f>O59/AD$1</f>
        <v>3.6304444803006816E-3</v>
      </c>
      <c r="AE59" s="27">
        <f>('Modelo AHP'!$U$37*aux!P59)+('Modelo AHP'!$U$38*aux!R59)+('Modelo AHP'!$U$39*aux!S59)</f>
        <v>7.8079252116985314E-3</v>
      </c>
      <c r="AF59" s="28">
        <f>aux!U59</f>
        <v>7.6439371122213875E-3</v>
      </c>
      <c r="AG59" s="27">
        <f>('Modelo AHP'!$U$47*aux!V59)+('Modelo AHP'!$U$48*aux!W59)+('Modelo AHP'!$U$49*aux!X59)</f>
        <v>6.518862662205591E-3</v>
      </c>
      <c r="AH59" s="28">
        <f>Z59</f>
        <v>7.6451107137832557E-3</v>
      </c>
      <c r="AI59" s="27">
        <f>('Modelo AHP'!$U$56*aux!AA59)+('Modelo AHP'!$U$57*aux!AB59)+('Modelo AHP'!$U$58*aux!AC59)+('Modelo AHP'!$U$59*aux!AD59)</f>
        <v>3.0061543099865126E-3</v>
      </c>
      <c r="AJ59" s="29">
        <f>('Modelo AHP'!$U$23*aux!AE59)+('Modelo AHP'!$U$24*aux!AF59)+('Modelo AHP'!$U$25*aux!AG59)+('Modelo AHP'!$U$26*aux!AH59)+('Modelo AHP'!$U$27*aux!AI59)</f>
        <v>6.8527423201551682E-3</v>
      </c>
    </row>
    <row r="60" spans="1:36">
      <c r="A60" s="1">
        <f>_xlfn.RANK.EQ(AJ60,AJ$5:AJ$135)</f>
        <v>127</v>
      </c>
      <c r="B60" s="16" t="s">
        <v>70</v>
      </c>
      <c r="C60" s="17" t="s">
        <v>75</v>
      </c>
      <c r="D60" s="143">
        <v>5.7926829268292686E-2</v>
      </c>
      <c r="E60" s="18">
        <v>81.2</v>
      </c>
      <c r="F60" s="143">
        <v>0.14602314700812608</v>
      </c>
      <c r="G60" s="159">
        <v>112320.74809387521</v>
      </c>
      <c r="H60" s="146">
        <v>3.4</v>
      </c>
      <c r="I60" s="146">
        <v>4.38</v>
      </c>
      <c r="J60" s="143">
        <v>3.2221233886064016E-2</v>
      </c>
      <c r="K60" s="161">
        <v>200754.89</v>
      </c>
      <c r="L60" s="143">
        <v>2.4548483254427496E-2</v>
      </c>
      <c r="M60" s="265">
        <v>242</v>
      </c>
      <c r="N60" s="143">
        <v>2.4766310108894671E-2</v>
      </c>
      <c r="O60" s="143">
        <v>2.3858532934131736E-2</v>
      </c>
      <c r="P60" s="23">
        <f>D60/$P$1</f>
        <v>5.3021826630655373E-3</v>
      </c>
      <c r="Q60" s="23">
        <f>1-(E60/Q$1)</f>
        <v>0.99253194616379314</v>
      </c>
      <c r="R60" s="23">
        <f>Q60/R$1</f>
        <v>7.6348611243368739E-3</v>
      </c>
      <c r="S60" s="23">
        <f>F60/S$1</f>
        <v>2.9937831957840204E-3</v>
      </c>
      <c r="T60" s="23">
        <f>1-(G60/T$1)</f>
        <v>0.97981844263953632</v>
      </c>
      <c r="U60" s="97">
        <f>T60/U$1</f>
        <v>7.5370649433810491E-3</v>
      </c>
      <c r="V60" s="23">
        <f>H60/V$1</f>
        <v>3.4551089883644122E-3</v>
      </c>
      <c r="W60" s="23">
        <f>I60/W$1</f>
        <v>3.6271189247828284E-3</v>
      </c>
      <c r="X60" s="23">
        <f>J60/X$1</f>
        <v>5.1722454858556845E-3</v>
      </c>
      <c r="Y60" s="23">
        <f>1-(K60/Y$1)</f>
        <v>0.98490972195906745</v>
      </c>
      <c r="Z60" s="97">
        <f>Y60/Z$1</f>
        <v>7.5762286304543649E-3</v>
      </c>
      <c r="AA60" s="23">
        <f>L60/$AA$1</f>
        <v>3.7496986849271004E-3</v>
      </c>
      <c r="AB60" s="23">
        <f>M60/AB$1</f>
        <v>2.2702114486200494E-3</v>
      </c>
      <c r="AC60" s="23">
        <f>N60/AC$1</f>
        <v>3.7583356081581699E-3</v>
      </c>
      <c r="AD60" s="23">
        <f>O60/AD$1</f>
        <v>3.6304444803006816E-3</v>
      </c>
      <c r="AE60" s="27">
        <f>('Modelo AHP'!$U$37*aux!P60)+('Modelo AHP'!$U$38*aux!R60)+('Modelo AHP'!$U$39*aux!S60)</f>
        <v>4.1504108288237607E-3</v>
      </c>
      <c r="AF60" s="28">
        <f>aux!U60</f>
        <v>7.5370649433810491E-3</v>
      </c>
      <c r="AG60" s="27">
        <f>('Modelo AHP'!$U$47*aux!V60)+('Modelo AHP'!$U$48*aux!W60)+('Modelo AHP'!$U$49*aux!X60)</f>
        <v>4.1965521042545539E-3</v>
      </c>
      <c r="AH60" s="28">
        <f>Z60</f>
        <v>7.5762286304543649E-3</v>
      </c>
      <c r="AI60" s="27">
        <f>('Modelo AHP'!$U$56*aux!AA60)+('Modelo AHP'!$U$57*aux!AB60)+('Modelo AHP'!$U$58*aux!AC60)+('Modelo AHP'!$U$59*aux!AD60)</f>
        <v>3.0061543099865126E-3</v>
      </c>
      <c r="AJ60" s="29">
        <f>('Modelo AHP'!$U$23*aux!AE60)+('Modelo AHP'!$U$24*aux!AF60)+('Modelo AHP'!$U$25*aux!AG60)+('Modelo AHP'!$U$26*aux!AH60)+('Modelo AHP'!$U$27*aux!AI60)</f>
        <v>5.4091093801441285E-3</v>
      </c>
    </row>
    <row r="61" spans="1:36">
      <c r="A61" s="1">
        <f>_xlfn.RANK.EQ(AJ61,AJ$5:AJ$135)</f>
        <v>131</v>
      </c>
      <c r="B61" s="16" t="s">
        <v>70</v>
      </c>
      <c r="C61" s="17" t="s">
        <v>76</v>
      </c>
      <c r="D61" s="143">
        <v>4.6691176470588236E-2</v>
      </c>
      <c r="E61" s="18">
        <v>79.150000000000006</v>
      </c>
      <c r="F61" s="143">
        <v>0.16675324675324676</v>
      </c>
      <c r="G61" s="159">
        <v>101419.17171036206</v>
      </c>
      <c r="H61" s="146">
        <v>2.94</v>
      </c>
      <c r="I61" s="146">
        <v>3.7</v>
      </c>
      <c r="J61" s="143">
        <v>3.2221233886064016E-2</v>
      </c>
      <c r="K61" s="161">
        <v>386518.19</v>
      </c>
      <c r="L61" s="143">
        <v>2.4548483254427496E-2</v>
      </c>
      <c r="M61" s="265">
        <v>242</v>
      </c>
      <c r="N61" s="143">
        <v>2.4766310108894671E-2</v>
      </c>
      <c r="O61" s="143">
        <v>2.3858532934131736E-2</v>
      </c>
      <c r="P61" s="23">
        <f>D61/$P$1</f>
        <v>4.2737562115452406E-3</v>
      </c>
      <c r="Q61" s="23">
        <f>1-(E61/Q$1)</f>
        <v>0.99272048693182546</v>
      </c>
      <c r="R61" s="23">
        <f>Q61/R$1</f>
        <v>7.6363114379371221E-3</v>
      </c>
      <c r="S61" s="23">
        <f>F61/S$1</f>
        <v>3.4187940624544615E-3</v>
      </c>
      <c r="T61" s="23">
        <f>1-(G61/T$1)</f>
        <v>0.98177721510888871</v>
      </c>
      <c r="U61" s="97">
        <f>T61/U$1</f>
        <v>7.5521324239145289E-3</v>
      </c>
      <c r="V61" s="23">
        <f>H61/V$1</f>
        <v>2.9876530664092269E-3</v>
      </c>
      <c r="W61" s="23">
        <f>I61/W$1</f>
        <v>3.0640045711635769E-3</v>
      </c>
      <c r="X61" s="23">
        <f>J61/X$1</f>
        <v>5.1722454858556845E-3</v>
      </c>
      <c r="Y61" s="23">
        <f>1-(K61/Y$1)</f>
        <v>0.97094632686168703</v>
      </c>
      <c r="Z61" s="97">
        <f>Y61/Z$1</f>
        <v>7.4688178989360541E-3</v>
      </c>
      <c r="AA61" s="23">
        <f>L61/$AA$1</f>
        <v>3.7496986849271004E-3</v>
      </c>
      <c r="AB61" s="23">
        <f>M61/AB$1</f>
        <v>2.2702114486200494E-3</v>
      </c>
      <c r="AC61" s="23">
        <f>N61/AC$1</f>
        <v>3.7583356081581699E-3</v>
      </c>
      <c r="AD61" s="23">
        <f>O61/AD$1</f>
        <v>3.6304444803006816E-3</v>
      </c>
      <c r="AE61" s="27">
        <f>('Modelo AHP'!$U$37*aux!P61)+('Modelo AHP'!$U$38*aux!R61)+('Modelo AHP'!$U$39*aux!S61)</f>
        <v>4.0970344447299606E-3</v>
      </c>
      <c r="AF61" s="28">
        <f>aux!U61</f>
        <v>7.5521324239145289E-3</v>
      </c>
      <c r="AG61" s="27">
        <f>('Modelo AHP'!$U$47*aux!V61)+('Modelo AHP'!$U$48*aux!W61)+('Modelo AHP'!$U$49*aux!X61)</f>
        <v>3.8677573220674494E-3</v>
      </c>
      <c r="AH61" s="28">
        <f>Z61</f>
        <v>7.4688178989360541E-3</v>
      </c>
      <c r="AI61" s="27">
        <f>('Modelo AHP'!$U$56*aux!AA61)+('Modelo AHP'!$U$57*aux!AB61)+('Modelo AHP'!$U$58*aux!AC61)+('Modelo AHP'!$U$59*aux!AD61)</f>
        <v>3.0061543099865126E-3</v>
      </c>
      <c r="AJ61" s="29">
        <f>('Modelo AHP'!$U$23*aux!AE61)+('Modelo AHP'!$U$24*aux!AF61)+('Modelo AHP'!$U$25*aux!AG61)+('Modelo AHP'!$U$26*aux!AH61)+('Modelo AHP'!$U$27*aux!AI61)</f>
        <v>5.28463299454697E-3</v>
      </c>
    </row>
    <row r="62" spans="1:36">
      <c r="A62" s="1">
        <f>_xlfn.RANK.EQ(AJ62,AJ$5:AJ$135)</f>
        <v>123</v>
      </c>
      <c r="B62" s="16" t="s">
        <v>70</v>
      </c>
      <c r="C62" s="17" t="s">
        <v>77</v>
      </c>
      <c r="D62" s="143">
        <v>4.5816123604099736E-2</v>
      </c>
      <c r="E62" s="18">
        <v>81.98</v>
      </c>
      <c r="F62" s="143">
        <v>0.18678867600800686</v>
      </c>
      <c r="G62" s="159">
        <v>77060.755639745345</v>
      </c>
      <c r="H62" s="146">
        <v>3.93</v>
      </c>
      <c r="I62" s="146">
        <v>5.17</v>
      </c>
      <c r="J62" s="143">
        <v>3.2221233886064016E-2</v>
      </c>
      <c r="K62" s="161">
        <v>147611.65</v>
      </c>
      <c r="L62" s="143">
        <v>2.4548483254427496E-2</v>
      </c>
      <c r="M62" s="265">
        <v>242</v>
      </c>
      <c r="N62" s="143">
        <v>2.4766310108894671E-2</v>
      </c>
      <c r="O62" s="143">
        <v>2.3858532934131736E-2</v>
      </c>
      <c r="P62" s="23">
        <f>D62/$P$1</f>
        <v>4.193660508110964E-3</v>
      </c>
      <c r="Q62" s="23">
        <f>1-(E62/Q$1)</f>
        <v>0.99246020870083451</v>
      </c>
      <c r="R62" s="23">
        <f>Q62/R$1</f>
        <v>7.63430929769873E-3</v>
      </c>
      <c r="S62" s="23">
        <f>F62/S$1</f>
        <v>3.8295627155905455E-3</v>
      </c>
      <c r="T62" s="23">
        <f>1-(G62/T$1)</f>
        <v>0.98615388441960528</v>
      </c>
      <c r="U62" s="97">
        <f>T62/U$1</f>
        <v>7.5857991109200404E-3</v>
      </c>
      <c r="V62" s="23">
        <f>H62/V$1</f>
        <v>3.9936995071388646E-3</v>
      </c>
      <c r="W62" s="23">
        <f>I62/W$1</f>
        <v>4.2813253061934299E-3</v>
      </c>
      <c r="X62" s="23">
        <f>J62/X$1</f>
        <v>5.1722454858556845E-3</v>
      </c>
      <c r="Y62" s="23">
        <f>1-(K62/Y$1)</f>
        <v>0.98890437567632439</v>
      </c>
      <c r="Z62" s="97">
        <f>Y62/Z$1</f>
        <v>7.6069567359717261E-3</v>
      </c>
      <c r="AA62" s="23">
        <f>L62/$AA$1</f>
        <v>3.7496986849271004E-3</v>
      </c>
      <c r="AB62" s="23">
        <f>M62/AB$1</f>
        <v>2.2702114486200494E-3</v>
      </c>
      <c r="AC62" s="23">
        <f>N62/AC$1</f>
        <v>3.7583356081581699E-3</v>
      </c>
      <c r="AD62" s="23">
        <f>O62/AD$1</f>
        <v>3.6304444803006816E-3</v>
      </c>
      <c r="AE62" s="27">
        <f>('Modelo AHP'!$U$37*aux!P62)+('Modelo AHP'!$U$38*aux!R62)+('Modelo AHP'!$U$39*aux!S62)</f>
        <v>4.3192667115574887E-3</v>
      </c>
      <c r="AF62" s="28">
        <f>aux!U62</f>
        <v>7.5857991109200404E-3</v>
      </c>
      <c r="AG62" s="27">
        <f>('Modelo AHP'!$U$47*aux!V62)+('Modelo AHP'!$U$48*aux!W62)+('Modelo AHP'!$U$49*aux!X62)</f>
        <v>4.5777757084656994E-3</v>
      </c>
      <c r="AH62" s="28">
        <f>Z62</f>
        <v>7.6069567359717261E-3</v>
      </c>
      <c r="AI62" s="27">
        <f>('Modelo AHP'!$U$56*aux!AA62)+('Modelo AHP'!$U$57*aux!AB62)+('Modelo AHP'!$U$58*aux!AC62)+('Modelo AHP'!$U$59*aux!AD62)</f>
        <v>3.0061543099865126E-3</v>
      </c>
      <c r="AJ62" s="29">
        <f>('Modelo AHP'!$U$23*aux!AE62)+('Modelo AHP'!$U$24*aux!AF62)+('Modelo AHP'!$U$25*aux!AG62)+('Modelo AHP'!$U$26*aux!AH62)+('Modelo AHP'!$U$27*aux!AI62)</f>
        <v>5.5855946313857303E-3</v>
      </c>
    </row>
    <row r="63" spans="1:36">
      <c r="A63" s="1">
        <f>_xlfn.RANK.EQ(AJ63,AJ$5:AJ$135)</f>
        <v>27</v>
      </c>
      <c r="B63" s="16" t="s">
        <v>78</v>
      </c>
      <c r="C63" s="17" t="s">
        <v>322</v>
      </c>
      <c r="D63" s="143">
        <v>0.10004653327128897</v>
      </c>
      <c r="E63" s="18">
        <v>82.44</v>
      </c>
      <c r="F63" s="143">
        <v>0.51445446067764999</v>
      </c>
      <c r="G63" s="159">
        <v>29540.957694128785</v>
      </c>
      <c r="H63" s="146">
        <v>11.07</v>
      </c>
      <c r="I63" s="146">
        <v>12.1</v>
      </c>
      <c r="J63" s="143">
        <v>5.4923401794240677E-2</v>
      </c>
      <c r="K63" s="161">
        <v>64231.31</v>
      </c>
      <c r="L63" s="143">
        <v>0.10567537553334502</v>
      </c>
      <c r="M63" s="265">
        <v>1230</v>
      </c>
      <c r="N63" s="143">
        <v>9.9868298480614182E-2</v>
      </c>
      <c r="O63" s="143">
        <v>8.3052644710578841E-2</v>
      </c>
      <c r="P63" s="23">
        <f>D63/$P$1</f>
        <v>9.157500952692358E-3</v>
      </c>
      <c r="Q63" s="23">
        <f>1-(E63/Q$1)</f>
        <v>0.99241790199191027</v>
      </c>
      <c r="R63" s="23">
        <f>Q63/R$1</f>
        <v>7.6339838614762363E-3</v>
      </c>
      <c r="S63" s="23">
        <f>F63/S$1</f>
        <v>1.0547403962518152E-2</v>
      </c>
      <c r="T63" s="23">
        <f>1-(G63/T$1)</f>
        <v>0.99469214243757698</v>
      </c>
      <c r="U63" s="97">
        <f>T63/U$1</f>
        <v>7.651478018750592E-3</v>
      </c>
      <c r="V63" s="23">
        <f>H63/V$1</f>
        <v>1.1249428382704131E-2</v>
      </c>
      <c r="W63" s="23">
        <f>I63/W$1</f>
        <v>1.0020123057048453E-2</v>
      </c>
      <c r="X63" s="23">
        <f>J63/X$1</f>
        <v>8.8164630194675891E-3</v>
      </c>
      <c r="Y63" s="23">
        <f>1-(K63/Y$1)</f>
        <v>0.99517188185636063</v>
      </c>
      <c r="Z63" s="97">
        <f>Y63/Z$1</f>
        <v>7.655168321972005E-3</v>
      </c>
      <c r="AA63" s="23">
        <f>L63/$AA$1</f>
        <v>1.6141560053209991E-2</v>
      </c>
      <c r="AB63" s="23">
        <f>M63/AB$1</f>
        <v>1.1538678023977936E-2</v>
      </c>
      <c r="AC63" s="23">
        <f>N63/AC$1</f>
        <v>1.5155208048980221E-2</v>
      </c>
      <c r="AD63" s="23">
        <f>O63/AD$1</f>
        <v>1.2637743334693747E-2</v>
      </c>
      <c r="AE63" s="27">
        <f>('Modelo AHP'!$U$37*aux!P63)+('Modelo AHP'!$U$38*aux!R63)+('Modelo AHP'!$U$39*aux!S63)</f>
        <v>9.8390910494662222E-3</v>
      </c>
      <c r="AF63" s="28">
        <f>aux!U63</f>
        <v>7.651478018750592E-3</v>
      </c>
      <c r="AG63" s="27">
        <f>('Modelo AHP'!$U$47*aux!V63)+('Modelo AHP'!$U$48*aux!W63)+('Modelo AHP'!$U$49*aux!X63)</f>
        <v>9.7618583570592762E-3</v>
      </c>
      <c r="AH63" s="28">
        <f>Z63</f>
        <v>7.655168321972005E-3</v>
      </c>
      <c r="AI63" s="27">
        <f>('Modelo AHP'!$U$56*aux!AA63)+('Modelo AHP'!$U$57*aux!AB63)+('Modelo AHP'!$U$58*aux!AC63)+('Modelo AHP'!$U$59*aux!AD63)</f>
        <v>1.3217045998815756E-2</v>
      </c>
      <c r="AJ63" s="29">
        <f>('Modelo AHP'!$U$23*aux!AE63)+('Modelo AHP'!$U$24*aux!AF63)+('Modelo AHP'!$U$25*aux!AG63)+('Modelo AHP'!$U$26*aux!AH63)+('Modelo AHP'!$U$27*aux!AI63)</f>
        <v>9.2590475936676318E-3</v>
      </c>
    </row>
    <row r="64" spans="1:36">
      <c r="A64" s="1">
        <f>_xlfn.RANK.EQ(AJ64,AJ$5:AJ$135)</f>
        <v>28</v>
      </c>
      <c r="B64" s="16" t="s">
        <v>78</v>
      </c>
      <c r="C64" s="17" t="s">
        <v>323</v>
      </c>
      <c r="D64" s="143">
        <v>0.13923714278812474</v>
      </c>
      <c r="E64" s="18">
        <v>83.16</v>
      </c>
      <c r="F64" s="143">
        <v>0.48511670203091845</v>
      </c>
      <c r="G64" s="159">
        <v>27913.633911254252</v>
      </c>
      <c r="H64" s="146">
        <v>9.61</v>
      </c>
      <c r="I64" s="146">
        <v>11.76</v>
      </c>
      <c r="J64" s="143">
        <v>5.4923401794240677E-2</v>
      </c>
      <c r="K64" s="161">
        <v>69655.86</v>
      </c>
      <c r="L64" s="143">
        <v>0.10567537553334502</v>
      </c>
      <c r="M64" s="265">
        <v>1230</v>
      </c>
      <c r="N64" s="143">
        <v>9.9868298480614182E-2</v>
      </c>
      <c r="O64" s="143">
        <v>8.3052644710578841E-2</v>
      </c>
      <c r="P64" s="23">
        <f>D64/$P$1</f>
        <v>1.2744712145846318E-2</v>
      </c>
      <c r="Q64" s="23">
        <f>1-(E64/Q$1)</f>
        <v>0.99235168279533303</v>
      </c>
      <c r="R64" s="23">
        <f>Q64/R$1</f>
        <v>7.6334744830410268E-3</v>
      </c>
      <c r="S64" s="23">
        <f>F64/S$1</f>
        <v>9.9459178924113049E-3</v>
      </c>
      <c r="T64" s="23">
        <f>1-(G64/T$1)</f>
        <v>0.9949845365751292</v>
      </c>
      <c r="U64" s="97">
        <f>T64/U$1</f>
        <v>7.6537272044240705E-3</v>
      </c>
      <c r="V64" s="23">
        <f>H64/V$1</f>
        <v>9.7657639347594107E-3</v>
      </c>
      <c r="W64" s="23">
        <f>I64/W$1</f>
        <v>9.7385658802388274E-3</v>
      </c>
      <c r="X64" s="23">
        <f>J64/X$1</f>
        <v>8.8164630194675891E-3</v>
      </c>
      <c r="Y64" s="23">
        <f>1-(K64/Y$1)</f>
        <v>0.99476413105264705</v>
      </c>
      <c r="Z64" s="97">
        <f>Y64/Z$1</f>
        <v>7.6520317773280545E-3</v>
      </c>
      <c r="AA64" s="23">
        <f>L64/$AA$1</f>
        <v>1.6141560053209991E-2</v>
      </c>
      <c r="AB64" s="23">
        <f>M64/AB$1</f>
        <v>1.1538678023977936E-2</v>
      </c>
      <c r="AC64" s="23">
        <f>N64/AC$1</f>
        <v>1.5155208048980221E-2</v>
      </c>
      <c r="AD64" s="23">
        <f>O64/AD$1</f>
        <v>1.2637743334693747E-2</v>
      </c>
      <c r="AE64" s="27">
        <f>('Modelo AHP'!$U$37*aux!P64)+('Modelo AHP'!$U$38*aux!R64)+('Modelo AHP'!$U$39*aux!S64)</f>
        <v>1.055431182750478E-2</v>
      </c>
      <c r="AF64" s="28">
        <f>aux!U64</f>
        <v>7.6537272044240705E-3</v>
      </c>
      <c r="AG64" s="27">
        <f>('Modelo AHP'!$U$47*aux!V64)+('Modelo AHP'!$U$48*aux!W64)+('Modelo AHP'!$U$49*aux!X64)</f>
        <v>9.3859718696299894E-3</v>
      </c>
      <c r="AH64" s="28">
        <f>Z64</f>
        <v>7.6520317773280545E-3</v>
      </c>
      <c r="AI64" s="27">
        <f>('Modelo AHP'!$U$56*aux!AA64)+('Modelo AHP'!$U$57*aux!AB64)+('Modelo AHP'!$U$58*aux!AC64)+('Modelo AHP'!$U$59*aux!AD64)</f>
        <v>1.3217045998815756E-2</v>
      </c>
      <c r="AJ64" s="29">
        <f>('Modelo AHP'!$U$23*aux!AE64)+('Modelo AHP'!$U$24*aux!AF64)+('Modelo AHP'!$U$25*aux!AG64)+('Modelo AHP'!$U$26*aux!AH64)+('Modelo AHP'!$U$27*aux!AI64)</f>
        <v>9.2504470088020374E-3</v>
      </c>
    </row>
    <row r="65" spans="1:36">
      <c r="A65" s="1">
        <f>_xlfn.RANK.EQ(AJ65,AJ$5:AJ$135)</f>
        <v>30</v>
      </c>
      <c r="B65" s="16" t="s">
        <v>78</v>
      </c>
      <c r="C65" s="17" t="s">
        <v>79</v>
      </c>
      <c r="D65" s="143">
        <v>0.1198996844003607</v>
      </c>
      <c r="E65" s="18">
        <v>84.02</v>
      </c>
      <c r="F65" s="143">
        <v>0.50749023013460703</v>
      </c>
      <c r="G65" s="159">
        <v>30075.705553614327</v>
      </c>
      <c r="H65" s="146">
        <v>9.6300000000000008</v>
      </c>
      <c r="I65" s="146">
        <v>11.24</v>
      </c>
      <c r="J65" s="143">
        <v>5.4923401794240677E-2</v>
      </c>
      <c r="K65" s="161">
        <v>63152.23</v>
      </c>
      <c r="L65" s="143">
        <v>0.10567537553334502</v>
      </c>
      <c r="M65" s="265">
        <v>1230</v>
      </c>
      <c r="N65" s="143">
        <v>9.9868298480614182E-2</v>
      </c>
      <c r="O65" s="143">
        <v>8.3052644710578841E-2</v>
      </c>
      <c r="P65" s="23">
        <f>D65/$P$1</f>
        <v>1.0974707850660841E-2</v>
      </c>
      <c r="Q65" s="23">
        <f>1-(E65/Q$1)</f>
        <v>0.99227258764386583</v>
      </c>
      <c r="R65" s="23">
        <f>Q65/R$1</f>
        <v>7.6328660587989712E-3</v>
      </c>
      <c r="S65" s="23">
        <f>F65/S$1</f>
        <v>1.0404622514518215E-2</v>
      </c>
      <c r="T65" s="23">
        <f>1-(G65/T$1)</f>
        <v>0.9945960600593633</v>
      </c>
      <c r="U65" s="97">
        <f>T65/U$1</f>
        <v>7.6507389235335637E-3</v>
      </c>
      <c r="V65" s="23">
        <f>H65/V$1</f>
        <v>9.7860881052792038E-3</v>
      </c>
      <c r="W65" s="23">
        <f>I65/W$1</f>
        <v>9.3079490215888117E-3</v>
      </c>
      <c r="X65" s="23">
        <f>J65/X$1</f>
        <v>8.8164630194675891E-3</v>
      </c>
      <c r="Y65" s="23">
        <f>1-(K65/Y$1)</f>
        <v>0.99525299378956633</v>
      </c>
      <c r="Z65" s="97">
        <f>Y65/Z$1</f>
        <v>7.6557922599197409E-3</v>
      </c>
      <c r="AA65" s="23">
        <f>L65/$AA$1</f>
        <v>1.6141560053209991E-2</v>
      </c>
      <c r="AB65" s="23">
        <f>M65/AB$1</f>
        <v>1.1538678023977936E-2</v>
      </c>
      <c r="AC65" s="23">
        <f>N65/AC$1</f>
        <v>1.5155208048980221E-2</v>
      </c>
      <c r="AD65" s="23">
        <f>O65/AD$1</f>
        <v>1.2637743334693747E-2</v>
      </c>
      <c r="AE65" s="27">
        <f>('Modelo AHP'!$U$37*aux!P65)+('Modelo AHP'!$U$38*aux!R65)+('Modelo AHP'!$U$39*aux!S65)</f>
        <v>1.0298472469789079E-2</v>
      </c>
      <c r="AF65" s="28">
        <f>aux!U65</f>
        <v>7.6507389235335637E-3</v>
      </c>
      <c r="AG65" s="27">
        <f>('Modelo AHP'!$U$47*aux!V65)+('Modelo AHP'!$U$48*aux!W65)+('Modelo AHP'!$U$49*aux!X65)</f>
        <v>9.1984626645448646E-3</v>
      </c>
      <c r="AH65" s="28">
        <f>Z65</f>
        <v>7.6557922599197409E-3</v>
      </c>
      <c r="AI65" s="27">
        <f>('Modelo AHP'!$U$56*aux!AA65)+('Modelo AHP'!$U$57*aux!AB65)+('Modelo AHP'!$U$58*aux!AC65)+('Modelo AHP'!$U$59*aux!AD65)</f>
        <v>1.3217045998815756E-2</v>
      </c>
      <c r="AJ65" s="29">
        <f>('Modelo AHP'!$U$23*aux!AE65)+('Modelo AHP'!$U$24*aux!AF65)+('Modelo AHP'!$U$25*aux!AG65)+('Modelo AHP'!$U$26*aux!AH65)+('Modelo AHP'!$U$27*aux!AI65)</f>
        <v>9.1429930827794867E-3</v>
      </c>
    </row>
    <row r="66" spans="1:36">
      <c r="A66" s="1">
        <f>_xlfn.RANK.EQ(AJ66,AJ$5:AJ$135)</f>
        <v>33</v>
      </c>
      <c r="B66" s="16" t="s">
        <v>78</v>
      </c>
      <c r="C66" s="17" t="s">
        <v>80</v>
      </c>
      <c r="D66" s="143">
        <v>0.10428889798517306</v>
      </c>
      <c r="E66" s="18">
        <v>84.05</v>
      </c>
      <c r="F66" s="143">
        <v>0.51608198070162314</v>
      </c>
      <c r="G66" s="159">
        <v>31116.507119747333</v>
      </c>
      <c r="H66" s="146">
        <v>8.3800000000000008</v>
      </c>
      <c r="I66" s="146">
        <v>9.69</v>
      </c>
      <c r="J66" s="143">
        <v>5.4923401794240677E-2</v>
      </c>
      <c r="K66" s="161">
        <v>58979.22</v>
      </c>
      <c r="L66" s="143">
        <v>0.10567537553334502</v>
      </c>
      <c r="M66" s="265">
        <v>1230</v>
      </c>
      <c r="N66" s="143">
        <v>9.9868298480614182E-2</v>
      </c>
      <c r="O66" s="143">
        <v>8.3052644710578841E-2</v>
      </c>
      <c r="P66" s="23">
        <f>D66/$P$1</f>
        <v>9.5458148466252609E-3</v>
      </c>
      <c r="Q66" s="23">
        <f>1-(E66/Q$1)</f>
        <v>0.99226982851067513</v>
      </c>
      <c r="R66" s="23">
        <f>Q66/R$1</f>
        <v>7.6328448346975044E-3</v>
      </c>
      <c r="S66" s="23">
        <f>F66/S$1</f>
        <v>1.0580771563466389E-2</v>
      </c>
      <c r="T66" s="23">
        <f>1-(G66/T$1)</f>
        <v>0.99440905100837107</v>
      </c>
      <c r="U66" s="97">
        <f>T66/U$1</f>
        <v>7.6493003923720848E-3</v>
      </c>
      <c r="V66" s="23">
        <f>H66/V$1</f>
        <v>8.5158274477922877E-3</v>
      </c>
      <c r="W66" s="23">
        <f>I66/W$1</f>
        <v>8.0243795390743389E-3</v>
      </c>
      <c r="X66" s="23">
        <f>J66/X$1</f>
        <v>8.8164630194675891E-3</v>
      </c>
      <c r="Y66" s="23">
        <f>1-(K66/Y$1)</f>
        <v>0.99556666924308879</v>
      </c>
      <c r="Z66" s="97">
        <f>Y66/Z$1</f>
        <v>7.6582051480237603E-3</v>
      </c>
      <c r="AA66" s="23">
        <f>L66/$AA$1</f>
        <v>1.6141560053209991E-2</v>
      </c>
      <c r="AB66" s="23">
        <f>M66/AB$1</f>
        <v>1.1538678023977936E-2</v>
      </c>
      <c r="AC66" s="23">
        <f>N66/AC$1</f>
        <v>1.5155208048980221E-2</v>
      </c>
      <c r="AD66" s="23">
        <f>O66/AD$1</f>
        <v>1.2637743334693747E-2</v>
      </c>
      <c r="AE66" s="27">
        <f>('Modelo AHP'!$U$37*aux!P66)+('Modelo AHP'!$U$38*aux!R66)+('Modelo AHP'!$U$39*aux!S66)</f>
        <v>9.9754918755371631E-3</v>
      </c>
      <c r="AF66" s="28">
        <f>aux!U66</f>
        <v>7.6493003923720848E-3</v>
      </c>
      <c r="AG66" s="27">
        <f>('Modelo AHP'!$U$47*aux!V66)+('Modelo AHP'!$U$48*aux!W66)+('Modelo AHP'!$U$49*aux!X66)</f>
        <v>8.4143626425007348E-3</v>
      </c>
      <c r="AH66" s="28">
        <f>Z66</f>
        <v>7.6582051480237603E-3</v>
      </c>
      <c r="AI66" s="27">
        <f>('Modelo AHP'!$U$56*aux!AA66)+('Modelo AHP'!$U$57*aux!AB66)+('Modelo AHP'!$U$58*aux!AC66)+('Modelo AHP'!$U$59*aux!AD66)</f>
        <v>1.3217045998815756E-2</v>
      </c>
      <c r="AJ66" s="29">
        <f>('Modelo AHP'!$U$23*aux!AE66)+('Modelo AHP'!$U$24*aux!AF66)+('Modelo AHP'!$U$25*aux!AG66)+('Modelo AHP'!$U$26*aux!AH66)+('Modelo AHP'!$U$27*aux!AI66)</f>
        <v>8.8208625726500112E-3</v>
      </c>
    </row>
    <row r="67" spans="1:36">
      <c r="A67" s="1">
        <f>_xlfn.RANK.EQ(AJ67,AJ$5:AJ$135)</f>
        <v>35</v>
      </c>
      <c r="B67" s="16" t="s">
        <v>78</v>
      </c>
      <c r="C67" s="17" t="s">
        <v>81</v>
      </c>
      <c r="D67" s="143">
        <v>0.11989674972343677</v>
      </c>
      <c r="E67" s="18">
        <v>82.55</v>
      </c>
      <c r="F67" s="143">
        <v>0.47814262023217247</v>
      </c>
      <c r="G67" s="159">
        <v>31913.206846745976</v>
      </c>
      <c r="H67" s="146">
        <v>7.33</v>
      </c>
      <c r="I67" s="146">
        <v>8.7200000000000006</v>
      </c>
      <c r="J67" s="143">
        <v>5.4923401794240677E-2</v>
      </c>
      <c r="K67" s="161">
        <v>63522.080000000002</v>
      </c>
      <c r="L67" s="143">
        <v>0.10567537553334502</v>
      </c>
      <c r="M67" s="265">
        <v>1230</v>
      </c>
      <c r="N67" s="143">
        <v>9.9868298480614182E-2</v>
      </c>
      <c r="O67" s="143">
        <v>8.3052644710578841E-2</v>
      </c>
      <c r="P67" s="23">
        <f>D67/$P$1</f>
        <v>1.0974439232590349E-2</v>
      </c>
      <c r="Q67" s="23">
        <f>1-(E67/Q$1)</f>
        <v>0.99240778517021089</v>
      </c>
      <c r="R67" s="23">
        <f>Q67/R$1</f>
        <v>7.6339060397708561E-3</v>
      </c>
      <c r="S67" s="23">
        <f>F67/S$1</f>
        <v>9.8029344728446308E-3</v>
      </c>
      <c r="T67" s="23">
        <f>1-(G67/T$1)</f>
        <v>0.99426590166586448</v>
      </c>
      <c r="U67" s="97">
        <f>T67/U$1</f>
        <v>7.6481992435835731E-3</v>
      </c>
      <c r="V67" s="23">
        <f>H67/V$1</f>
        <v>7.4488084955032768E-3</v>
      </c>
      <c r="W67" s="23">
        <f>I67/W$1</f>
        <v>7.221113475823349E-3</v>
      </c>
      <c r="X67" s="23">
        <f>J67/X$1</f>
        <v>8.8164630194675891E-3</v>
      </c>
      <c r="Y67" s="23">
        <f>1-(K67/Y$1)</f>
        <v>0.99522519302549317</v>
      </c>
      <c r="Z67" s="97">
        <f>Y67/Z$1</f>
        <v>7.6555784078884094E-3</v>
      </c>
      <c r="AA67" s="23">
        <f>L67/$AA$1</f>
        <v>1.6141560053209991E-2</v>
      </c>
      <c r="AB67" s="23">
        <f>M67/AB$1</f>
        <v>1.1538678023977936E-2</v>
      </c>
      <c r="AC67" s="23">
        <f>N67/AC$1</f>
        <v>1.5155208048980221E-2</v>
      </c>
      <c r="AD67" s="23">
        <f>O67/AD$1</f>
        <v>1.2637743334693747E-2</v>
      </c>
      <c r="AE67" s="27">
        <f>('Modelo AHP'!$U$37*aux!P67)+('Modelo AHP'!$U$38*aux!R67)+('Modelo AHP'!$U$39*aux!S67)</f>
        <v>9.9374830574609687E-3</v>
      </c>
      <c r="AF67" s="28">
        <f>aux!U67</f>
        <v>7.6481992435835731E-3</v>
      </c>
      <c r="AG67" s="27">
        <f>('Modelo AHP'!$U$47*aux!V67)+('Modelo AHP'!$U$48*aux!W67)+('Modelo AHP'!$U$49*aux!X67)</f>
        <v>7.8776316111447524E-3</v>
      </c>
      <c r="AH67" s="28">
        <f>Z67</f>
        <v>7.6555784078884094E-3</v>
      </c>
      <c r="AI67" s="27">
        <f>('Modelo AHP'!$U$56*aux!AA67)+('Modelo AHP'!$U$57*aux!AB67)+('Modelo AHP'!$U$58*aux!AC67)+('Modelo AHP'!$U$59*aux!AD67)</f>
        <v>1.3217045998815756E-2</v>
      </c>
      <c r="AJ67" s="29">
        <f>('Modelo AHP'!$U$23*aux!AE67)+('Modelo AHP'!$U$24*aux!AF67)+('Modelo AHP'!$U$25*aux!AG67)+('Modelo AHP'!$U$26*aux!AH67)+('Modelo AHP'!$U$27*aux!AI67)</f>
        <v>8.6305520190121526E-3</v>
      </c>
    </row>
    <row r="68" spans="1:36">
      <c r="A68" s="1">
        <f>_xlfn.RANK.EQ(AJ68,AJ$5:AJ$135)</f>
        <v>49</v>
      </c>
      <c r="B68" s="16" t="s">
        <v>78</v>
      </c>
      <c r="C68" s="17" t="s">
        <v>82</v>
      </c>
      <c r="D68" s="143">
        <v>3.7619215824796888E-2</v>
      </c>
      <c r="E68" s="18">
        <v>80.59</v>
      </c>
      <c r="F68" s="143">
        <v>0.30088719898605831</v>
      </c>
      <c r="G68" s="159">
        <v>35197.134509999996</v>
      </c>
      <c r="H68" s="146">
        <v>7.68</v>
      </c>
      <c r="I68" s="146">
        <v>9.81</v>
      </c>
      <c r="J68" s="143">
        <v>5.4923401794240677E-2</v>
      </c>
      <c r="K68" s="161">
        <v>60658.68</v>
      </c>
      <c r="L68" s="143">
        <v>0.10567537553334502</v>
      </c>
      <c r="M68" s="265">
        <v>1230</v>
      </c>
      <c r="N68" s="143">
        <v>9.9868298480614182E-2</v>
      </c>
      <c r="O68" s="143">
        <v>8.3052644710578841E-2</v>
      </c>
      <c r="P68" s="23">
        <f>D68/$P$1</f>
        <v>3.4433777312499829E-3</v>
      </c>
      <c r="Q68" s="23">
        <f>1-(E68/Q$1)</f>
        <v>0.99258804853867111</v>
      </c>
      <c r="R68" s="23">
        <f>Q68/R$1</f>
        <v>7.635292681066704E-3</v>
      </c>
      <c r="S68" s="23">
        <f>F68/S$1</f>
        <v>6.1688236324673636E-3</v>
      </c>
      <c r="T68" s="23">
        <f>1-(G68/T$1)</f>
        <v>0.99367585240401135</v>
      </c>
      <c r="U68" s="97">
        <f>T68/U$1</f>
        <v>7.6436604031077798E-3</v>
      </c>
      <c r="V68" s="23">
        <f>H68/V$1</f>
        <v>7.8044814795996129E-3</v>
      </c>
      <c r="W68" s="23">
        <f>I68/W$1</f>
        <v>8.1237526603012665E-3</v>
      </c>
      <c r="X68" s="23">
        <f>J68/X$1</f>
        <v>8.8164630194675891E-3</v>
      </c>
      <c r="Y68" s="23">
        <f>1-(K68/Y$1)</f>
        <v>0.99544042814201961</v>
      </c>
      <c r="Z68" s="97">
        <f>Y68/Z$1</f>
        <v>7.6572340626309202E-3</v>
      </c>
      <c r="AA68" s="23">
        <f>L68/$AA$1</f>
        <v>1.6141560053209991E-2</v>
      </c>
      <c r="AB68" s="23">
        <f>M68/AB$1</f>
        <v>1.1538678023977936E-2</v>
      </c>
      <c r="AC68" s="23">
        <f>N68/AC$1</f>
        <v>1.5155208048980221E-2</v>
      </c>
      <c r="AD68" s="23">
        <f>O68/AD$1</f>
        <v>1.2637743334693747E-2</v>
      </c>
      <c r="AE68" s="27">
        <f>('Modelo AHP'!$U$37*aux!P68)+('Modelo AHP'!$U$38*aux!R68)+('Modelo AHP'!$U$39*aux!S68)</f>
        <v>5.4978367669620831E-3</v>
      </c>
      <c r="AF68" s="28">
        <f>aux!U68</f>
        <v>7.6436604031077798E-3</v>
      </c>
      <c r="AG68" s="27">
        <f>('Modelo AHP'!$U$47*aux!V68)+('Modelo AHP'!$U$48*aux!W68)+('Modelo AHP'!$U$49*aux!X68)</f>
        <v>8.3380679292980493E-3</v>
      </c>
      <c r="AH68" s="28">
        <f>Z68</f>
        <v>7.6572340626309202E-3</v>
      </c>
      <c r="AI68" s="27">
        <f>('Modelo AHP'!$U$56*aux!AA68)+('Modelo AHP'!$U$57*aux!AB68)+('Modelo AHP'!$U$58*aux!AC68)+('Modelo AHP'!$U$59*aux!AD68)</f>
        <v>1.3217045998815756E-2</v>
      </c>
      <c r="AJ68" s="29">
        <f>('Modelo AHP'!$U$23*aux!AE68)+('Modelo AHP'!$U$24*aux!AF68)+('Modelo AHP'!$U$25*aux!AG68)+('Modelo AHP'!$U$26*aux!AH68)+('Modelo AHP'!$U$27*aux!AI68)</f>
        <v>8.0456449194669915E-3</v>
      </c>
    </row>
    <row r="69" spans="1:36">
      <c r="A69" s="1">
        <f>_xlfn.RANK.EQ(AJ69,AJ$5:AJ$135)</f>
        <v>34</v>
      </c>
      <c r="B69" s="16" t="s">
        <v>78</v>
      </c>
      <c r="C69" s="17" t="s">
        <v>83</v>
      </c>
      <c r="D69" s="143">
        <v>7.0055966498375796E-2</v>
      </c>
      <c r="E69" s="18">
        <v>83.19</v>
      </c>
      <c r="F69" s="143">
        <v>0.53803552259197818</v>
      </c>
      <c r="G69" s="159">
        <v>29910.454936174392</v>
      </c>
      <c r="H69" s="146">
        <v>8.41</v>
      </c>
      <c r="I69" s="146">
        <v>9.77</v>
      </c>
      <c r="J69" s="143">
        <v>5.4923401794240677E-2</v>
      </c>
      <c r="K69" s="161">
        <v>55535.46</v>
      </c>
      <c r="L69" s="143">
        <v>0.10567537553334502</v>
      </c>
      <c r="M69" s="265">
        <v>1230</v>
      </c>
      <c r="N69" s="143">
        <v>9.9868298480614182E-2</v>
      </c>
      <c r="O69" s="143">
        <v>8.3052644710578841E-2</v>
      </c>
      <c r="P69" s="23">
        <f>D69/$P$1</f>
        <v>6.4123919037859019E-3</v>
      </c>
      <c r="Q69" s="23">
        <f>1-(E69/Q$1)</f>
        <v>0.99234892366214233</v>
      </c>
      <c r="R69" s="23">
        <f>Q69/R$1</f>
        <v>7.63345325893956E-3</v>
      </c>
      <c r="S69" s="23">
        <f>F69/S$1</f>
        <v>1.1030865580380213E-2</v>
      </c>
      <c r="T69" s="23">
        <f>1-(G69/T$1)</f>
        <v>0.99462575194506841</v>
      </c>
      <c r="U69" s="97">
        <f>T69/U$1</f>
        <v>7.6509673226543727E-3</v>
      </c>
      <c r="V69" s="23">
        <f>H69/V$1</f>
        <v>8.5463137035719731E-3</v>
      </c>
      <c r="W69" s="23">
        <f>I69/W$1</f>
        <v>8.0906282865589579E-3</v>
      </c>
      <c r="X69" s="23">
        <f>J69/X$1</f>
        <v>8.8164630194675891E-3</v>
      </c>
      <c r="Y69" s="23">
        <f>1-(K69/Y$1)</f>
        <v>0.99582552867065366</v>
      </c>
      <c r="Z69" s="97">
        <f>Y69/Z$1</f>
        <v>7.6601963743896436E-3</v>
      </c>
      <c r="AA69" s="23">
        <f>L69/$AA$1</f>
        <v>1.6141560053209991E-2</v>
      </c>
      <c r="AB69" s="23">
        <f>M69/AB$1</f>
        <v>1.1538678023977936E-2</v>
      </c>
      <c r="AC69" s="23">
        <f>N69/AC$1</f>
        <v>1.5155208048980221E-2</v>
      </c>
      <c r="AD69" s="23">
        <f>O69/AD$1</f>
        <v>1.2637743334693747E-2</v>
      </c>
      <c r="AE69" s="27">
        <f>('Modelo AHP'!$U$37*aux!P69)+('Modelo AHP'!$U$38*aux!R69)+('Modelo AHP'!$U$39*aux!S69)</f>
        <v>9.3055822452578537E-3</v>
      </c>
      <c r="AF69" s="28">
        <f>aux!U69</f>
        <v>7.6509673226543727E-3</v>
      </c>
      <c r="AG69" s="27">
        <f>('Modelo AHP'!$U$47*aux!V69)+('Modelo AHP'!$U$48*aux!W69)+('Modelo AHP'!$U$49*aux!X69)</f>
        <v>8.4488975365553803E-3</v>
      </c>
      <c r="AH69" s="28">
        <f>Z69</f>
        <v>7.6601963743896436E-3</v>
      </c>
      <c r="AI69" s="27">
        <f>('Modelo AHP'!$U$56*aux!AA69)+('Modelo AHP'!$U$57*aux!AB69)+('Modelo AHP'!$U$58*aux!AC69)+('Modelo AHP'!$U$59*aux!AD69)</f>
        <v>1.3217045998815756E-2</v>
      </c>
      <c r="AJ69" s="29">
        <f>('Modelo AHP'!$U$23*aux!AE69)+('Modelo AHP'!$U$24*aux!AF69)+('Modelo AHP'!$U$25*aux!AG69)+('Modelo AHP'!$U$26*aux!AH69)+('Modelo AHP'!$U$27*aux!AI69)</f>
        <v>8.7215536275136955E-3</v>
      </c>
    </row>
    <row r="70" spans="1:36">
      <c r="A70" s="1">
        <f>_xlfn.RANK.EQ(AJ70,AJ$5:AJ$135)</f>
        <v>23</v>
      </c>
      <c r="B70" s="16" t="s">
        <v>84</v>
      </c>
      <c r="C70" s="17" t="s">
        <v>85</v>
      </c>
      <c r="D70" s="143">
        <v>0.1224829198130169</v>
      </c>
      <c r="E70" s="18">
        <v>83.3</v>
      </c>
      <c r="F70" s="143">
        <v>0.49764451587873415</v>
      </c>
      <c r="G70" s="159">
        <v>27579.227944311508</v>
      </c>
      <c r="H70" s="146">
        <v>9.36</v>
      </c>
      <c r="I70" s="146">
        <v>11.61</v>
      </c>
      <c r="J70" s="143">
        <v>6.2259957969999273E-2</v>
      </c>
      <c r="K70" s="161">
        <v>58639.77</v>
      </c>
      <c r="L70" s="143">
        <v>9.4044070372318669E-2</v>
      </c>
      <c r="M70" s="265">
        <v>1964</v>
      </c>
      <c r="N70" s="143">
        <v>0.10198837171950789</v>
      </c>
      <c r="O70" s="143">
        <v>9.4560878243512975E-2</v>
      </c>
      <c r="P70" s="23">
        <f>D70/$P$1</f>
        <v>1.1211157630367667E-2</v>
      </c>
      <c r="Q70" s="23">
        <f>1-(E70/Q$1)</f>
        <v>0.99233880684044296</v>
      </c>
      <c r="R70" s="23">
        <f>Q70/R$1</f>
        <v>7.6333754372341798E-3</v>
      </c>
      <c r="S70" s="23">
        <f>F70/S$1</f>
        <v>1.0202764559162117E-2</v>
      </c>
      <c r="T70" s="23">
        <f>1-(G70/T$1)</f>
        <v>0.99504462194063881</v>
      </c>
      <c r="U70" s="97">
        <f>T70/U$1</f>
        <v>7.6541893995433754E-3</v>
      </c>
      <c r="V70" s="23">
        <f>H70/V$1</f>
        <v>9.5117118032620289E-3</v>
      </c>
      <c r="W70" s="23">
        <f>I70/W$1</f>
        <v>9.6143494787051687E-3</v>
      </c>
      <c r="X70" s="23">
        <f>J70/X$1</f>
        <v>9.9941481973839525E-3</v>
      </c>
      <c r="Y70" s="23">
        <f>1-(K70/Y$1)</f>
        <v>0.99559218490988521</v>
      </c>
      <c r="Z70" s="97">
        <f>Y70/Z$1</f>
        <v>7.6584014223837326E-3</v>
      </c>
      <c r="AA70" s="23">
        <f>L70/$AA$1</f>
        <v>1.4364917104875486E-2</v>
      </c>
      <c r="AB70" s="23">
        <f>M70/AB$1</f>
        <v>1.842436068218916E-2</v>
      </c>
      <c r="AC70" s="23">
        <f>N70/AC$1</f>
        <v>1.5476933276137731E-2</v>
      </c>
      <c r="AD70" s="23">
        <f>O70/AD$1</f>
        <v>1.4388898907544663E-2</v>
      </c>
      <c r="AE70" s="27">
        <f>('Modelo AHP'!$U$37*aux!P70)+('Modelo AHP'!$U$38*aux!R70)+('Modelo AHP'!$U$39*aux!S70)</f>
        <v>1.0248343568330988E-2</v>
      </c>
      <c r="AF70" s="28">
        <f>aux!U70</f>
        <v>7.6541893995433754E-3</v>
      </c>
      <c r="AG70" s="27">
        <f>('Modelo AHP'!$U$47*aux!V70)+('Modelo AHP'!$U$48*aux!W70)+('Modelo AHP'!$U$49*aux!X70)</f>
        <v>9.7441062108070721E-3</v>
      </c>
      <c r="AH70" s="28">
        <f>Z70</f>
        <v>7.6584014223837326E-3</v>
      </c>
      <c r="AI70" s="27">
        <f>('Modelo AHP'!$U$56*aux!AA70)+('Modelo AHP'!$U$57*aux!AB70)+('Modelo AHP'!$U$58*aux!AC70)+('Modelo AHP'!$U$59*aux!AD70)</f>
        <v>1.6613148106322858E-2</v>
      </c>
      <c r="AJ70" s="29">
        <f>('Modelo AHP'!$U$23*aux!AE70)+('Modelo AHP'!$U$24*aux!AF70)+('Modelo AHP'!$U$25*aux!AG70)+('Modelo AHP'!$U$26*aux!AH70)+('Modelo AHP'!$U$27*aux!AI70)</f>
        <v>9.6403357389724421E-3</v>
      </c>
    </row>
    <row r="71" spans="1:36">
      <c r="A71" s="1">
        <f>_xlfn.RANK.EQ(AJ71,AJ$5:AJ$135)</f>
        <v>21</v>
      </c>
      <c r="B71" s="16" t="s">
        <v>84</v>
      </c>
      <c r="C71" s="17" t="s">
        <v>86</v>
      </c>
      <c r="D71" s="143">
        <v>0.1557921950018466</v>
      </c>
      <c r="E71" s="18">
        <v>82.66</v>
      </c>
      <c r="F71" s="143">
        <v>0.52564002497658446</v>
      </c>
      <c r="G71" s="159">
        <v>28031.479104203292</v>
      </c>
      <c r="H71" s="146">
        <v>8.6199999999999992</v>
      </c>
      <c r="I71" s="146">
        <v>10.41</v>
      </c>
      <c r="J71" s="143">
        <v>6.2259957969999273E-2</v>
      </c>
      <c r="K71" s="161">
        <v>54050.37</v>
      </c>
      <c r="L71" s="143">
        <v>9.4044070372318669E-2</v>
      </c>
      <c r="M71" s="265">
        <v>1964</v>
      </c>
      <c r="N71" s="143">
        <v>0.10198837171950789</v>
      </c>
      <c r="O71" s="143">
        <v>9.4560878243512975E-2</v>
      </c>
      <c r="P71" s="23">
        <f>D71/$P$1</f>
        <v>1.4260036080239315E-2</v>
      </c>
      <c r="Q71" s="23">
        <f>1-(E71/Q$1)</f>
        <v>0.99239766834851162</v>
      </c>
      <c r="R71" s="23">
        <f>Q71/R$1</f>
        <v>7.6338282180654776E-3</v>
      </c>
      <c r="S71" s="23">
        <f>F71/S$1</f>
        <v>1.0776731676100767E-2</v>
      </c>
      <c r="T71" s="23">
        <f>1-(G71/T$1)</f>
        <v>0.99496336239705863</v>
      </c>
      <c r="U71" s="97">
        <f>T71/U$1</f>
        <v>7.65356432613122E-3</v>
      </c>
      <c r="V71" s="23">
        <f>H71/V$1</f>
        <v>8.7597174940297739E-3</v>
      </c>
      <c r="W71" s="23">
        <f>I71/W$1</f>
        <v>8.6206182664359012E-3</v>
      </c>
      <c r="X71" s="23">
        <f>J71/X$1</f>
        <v>9.9941481973839525E-3</v>
      </c>
      <c r="Y71" s="23">
        <f>1-(K71/Y$1)</f>
        <v>0.99593715943100924</v>
      </c>
      <c r="Z71" s="97">
        <f>Y71/Z$1</f>
        <v>7.6610550725462251E-3</v>
      </c>
      <c r="AA71" s="23">
        <f>L71/$AA$1</f>
        <v>1.4364917104875486E-2</v>
      </c>
      <c r="AB71" s="23">
        <f>M71/AB$1</f>
        <v>1.842436068218916E-2</v>
      </c>
      <c r="AC71" s="23">
        <f>N71/AC$1</f>
        <v>1.5476933276137731E-2</v>
      </c>
      <c r="AD71" s="23">
        <f>O71/AD$1</f>
        <v>1.4388898907544663E-2</v>
      </c>
      <c r="AE71" s="27">
        <f>('Modelo AHP'!$U$37*aux!P71)+('Modelo AHP'!$U$38*aux!R71)+('Modelo AHP'!$U$39*aux!S71)</f>
        <v>1.1507432651538804E-2</v>
      </c>
      <c r="AF71" s="28">
        <f>aux!U71</f>
        <v>7.65356432613122E-3</v>
      </c>
      <c r="AG71" s="27">
        <f>('Modelo AHP'!$U$47*aux!V71)+('Modelo AHP'!$U$48*aux!W71)+('Modelo AHP'!$U$49*aux!X71)</f>
        <v>9.1762195171114919E-3</v>
      </c>
      <c r="AH71" s="28">
        <f>Z71</f>
        <v>7.6610550725462251E-3</v>
      </c>
      <c r="AI71" s="27">
        <f>('Modelo AHP'!$U$56*aux!AA71)+('Modelo AHP'!$U$57*aux!AB71)+('Modelo AHP'!$U$58*aux!AC71)+('Modelo AHP'!$U$59*aux!AD71)</f>
        <v>1.6613148106322858E-2</v>
      </c>
      <c r="AJ71" s="29">
        <f>('Modelo AHP'!$U$23*aux!AE71)+('Modelo AHP'!$U$24*aux!AF71)+('Modelo AHP'!$U$25*aux!AG71)+('Modelo AHP'!$U$26*aux!AH71)+('Modelo AHP'!$U$27*aux!AI71)</f>
        <v>9.6563950311806899E-3</v>
      </c>
    </row>
    <row r="72" spans="1:36">
      <c r="A72" s="1">
        <f>_xlfn.RANK.EQ(AJ72,AJ$5:AJ$135)</f>
        <v>9</v>
      </c>
      <c r="B72" s="16" t="s">
        <v>84</v>
      </c>
      <c r="C72" s="17" t="s">
        <v>87</v>
      </c>
      <c r="D72" s="143">
        <v>0.14065985371167714</v>
      </c>
      <c r="E72" s="18">
        <v>82.73</v>
      </c>
      <c r="F72" s="143">
        <v>0.56895682848983709</v>
      </c>
      <c r="G72" s="159">
        <v>26282.724397873222</v>
      </c>
      <c r="H72" s="146">
        <v>11.55</v>
      </c>
      <c r="I72" s="146">
        <v>13.81</v>
      </c>
      <c r="J72" s="143">
        <v>6.2259957969999273E-2</v>
      </c>
      <c r="K72" s="161">
        <v>50492.959999999999</v>
      </c>
      <c r="L72" s="143">
        <v>9.4044070372318669E-2</v>
      </c>
      <c r="M72" s="265">
        <v>1964</v>
      </c>
      <c r="N72" s="143">
        <v>0.10198837171950789</v>
      </c>
      <c r="O72" s="143">
        <v>9.4560878243512975E-2</v>
      </c>
      <c r="P72" s="23">
        <f>D72/$P$1</f>
        <v>1.2874936314658929E-2</v>
      </c>
      <c r="Q72" s="23">
        <f>1-(E72/Q$1)</f>
        <v>0.99239123037106658</v>
      </c>
      <c r="R72" s="23">
        <f>Q72/R$1</f>
        <v>7.6337786951620537E-3</v>
      </c>
      <c r="S72" s="23">
        <f>F72/S$1</f>
        <v>1.1664817716636775E-2</v>
      </c>
      <c r="T72" s="23">
        <f>1-(G72/T$1)</f>
        <v>0.99527757498924763</v>
      </c>
      <c r="U72" s="97">
        <f>T72/U$1</f>
        <v>7.6559813460711354E-3</v>
      </c>
      <c r="V72" s="23">
        <f>H72/V$1</f>
        <v>1.1737208475179107E-2</v>
      </c>
      <c r="W72" s="23">
        <f>I72/W$1</f>
        <v>1.1436190034532161E-2</v>
      </c>
      <c r="X72" s="23">
        <f>J72/X$1</f>
        <v>9.9941481973839525E-3</v>
      </c>
      <c r="Y72" s="23">
        <f>1-(K72/Y$1)</f>
        <v>0.9962045616646763</v>
      </c>
      <c r="Z72" s="97">
        <f>Y72/Z$1</f>
        <v>7.6631120128052019E-3</v>
      </c>
      <c r="AA72" s="23">
        <f>L72/$AA$1</f>
        <v>1.4364917104875486E-2</v>
      </c>
      <c r="AB72" s="23">
        <f>M72/AB$1</f>
        <v>1.842436068218916E-2</v>
      </c>
      <c r="AC72" s="23">
        <f>N72/AC$1</f>
        <v>1.5476933276137731E-2</v>
      </c>
      <c r="AD72" s="23">
        <f>O72/AD$1</f>
        <v>1.4388898907544663E-2</v>
      </c>
      <c r="AE72" s="27">
        <f>('Modelo AHP'!$U$37*aux!P72)+('Modelo AHP'!$U$38*aux!R72)+('Modelo AHP'!$U$39*aux!S72)</f>
        <v>1.1624749393895947E-2</v>
      </c>
      <c r="AF72" s="28">
        <f>aux!U72</f>
        <v>7.6559813460711354E-3</v>
      </c>
      <c r="AG72" s="27">
        <f>('Modelo AHP'!$U$47*aux!V72)+('Modelo AHP'!$U$48*aux!W72)+('Modelo AHP'!$U$49*aux!X72)</f>
        <v>1.092851711153605E-2</v>
      </c>
      <c r="AH72" s="28">
        <f>Z72</f>
        <v>7.6631120128052019E-3</v>
      </c>
      <c r="AI72" s="27">
        <f>('Modelo AHP'!$U$56*aux!AA72)+('Modelo AHP'!$U$57*aux!AB72)+('Modelo AHP'!$U$58*aux!AC72)+('Modelo AHP'!$U$59*aux!AD72)</f>
        <v>1.6613148106322858E-2</v>
      </c>
      <c r="AJ72" s="29">
        <f>('Modelo AHP'!$U$23*aux!AE72)+('Modelo AHP'!$U$24*aux!AF72)+('Modelo AHP'!$U$25*aux!AG72)+('Modelo AHP'!$U$26*aux!AH72)+('Modelo AHP'!$U$27*aux!AI72)</f>
        <v>1.0275712947502737E-2</v>
      </c>
    </row>
    <row r="73" spans="1:36">
      <c r="A73" s="1">
        <f>_xlfn.RANK.EQ(AJ73,AJ$5:AJ$135)</f>
        <v>14</v>
      </c>
      <c r="B73" s="16" t="s">
        <v>84</v>
      </c>
      <c r="C73" s="17" t="s">
        <v>88</v>
      </c>
      <c r="D73" s="143">
        <v>0.16321542836829006</v>
      </c>
      <c r="E73" s="18">
        <v>83.15</v>
      </c>
      <c r="F73" s="143">
        <v>0.56642587053445459</v>
      </c>
      <c r="G73" s="159">
        <v>27788.213282112843</v>
      </c>
      <c r="H73" s="146">
        <v>9.2899999999999991</v>
      </c>
      <c r="I73" s="146">
        <v>11.02</v>
      </c>
      <c r="J73" s="143">
        <v>6.2259957969999273E-2</v>
      </c>
      <c r="K73" s="161">
        <v>53480.84</v>
      </c>
      <c r="L73" s="143">
        <v>9.4044070372318669E-2</v>
      </c>
      <c r="M73" s="265">
        <v>1964</v>
      </c>
      <c r="N73" s="143">
        <v>0.10198837171950789</v>
      </c>
      <c r="O73" s="143">
        <v>9.4560878243512975E-2</v>
      </c>
      <c r="P73" s="23">
        <f>D73/$P$1</f>
        <v>1.4939502568507649E-2</v>
      </c>
      <c r="Q73" s="23">
        <f>1-(E73/Q$1)</f>
        <v>0.99235260250639656</v>
      </c>
      <c r="R73" s="23">
        <f>Q73/R$1</f>
        <v>7.6334815577415154E-3</v>
      </c>
      <c r="S73" s="23">
        <f>F73/S$1</f>
        <v>1.1612927728293773E-2</v>
      </c>
      <c r="T73" s="23">
        <f>1-(G73/T$1)</f>
        <v>0.99500707189174842</v>
      </c>
      <c r="U73" s="97">
        <f>T73/U$1</f>
        <v>7.6539005530134492E-3</v>
      </c>
      <c r="V73" s="23">
        <f>H73/V$1</f>
        <v>9.4405772064427608E-3</v>
      </c>
      <c r="W73" s="23">
        <f>I73/W$1</f>
        <v>9.1257649660061117E-3</v>
      </c>
      <c r="X73" s="23">
        <f>J73/X$1</f>
        <v>9.9941481973839525E-3</v>
      </c>
      <c r="Y73" s="23">
        <f>1-(K73/Y$1)</f>
        <v>0.99597996967614277</v>
      </c>
      <c r="Z73" s="97">
        <f>Y73/Z$1</f>
        <v>7.6613843821241754E-3</v>
      </c>
      <c r="AA73" s="23">
        <f>L73/$AA$1</f>
        <v>1.4364917104875486E-2</v>
      </c>
      <c r="AB73" s="23">
        <f>M73/AB$1</f>
        <v>1.842436068218916E-2</v>
      </c>
      <c r="AC73" s="23">
        <f>N73/AC$1</f>
        <v>1.5476933276137731E-2</v>
      </c>
      <c r="AD73" s="23">
        <f>O73/AD$1</f>
        <v>1.4388898907544663E-2</v>
      </c>
      <c r="AE73" s="27">
        <f>('Modelo AHP'!$U$37*aux!P73)+('Modelo AHP'!$U$38*aux!R73)+('Modelo AHP'!$U$39*aux!S73)</f>
        <v>1.2212955563302711E-2</v>
      </c>
      <c r="AF73" s="28">
        <f>aux!U73</f>
        <v>7.6539005530134492E-3</v>
      </c>
      <c r="AG73" s="27">
        <f>('Modelo AHP'!$U$47*aux!V73)+('Modelo AHP'!$U$48*aux!W73)+('Modelo AHP'!$U$49*aux!X73)</f>
        <v>9.5154176483091702E-3</v>
      </c>
      <c r="AH73" s="28">
        <f>Z73</f>
        <v>7.6613843821241754E-3</v>
      </c>
      <c r="AI73" s="27">
        <f>('Modelo AHP'!$U$56*aux!AA73)+('Modelo AHP'!$U$57*aux!AB73)+('Modelo AHP'!$U$58*aux!AC73)+('Modelo AHP'!$U$59*aux!AD73)</f>
        <v>1.6613148106322858E-2</v>
      </c>
      <c r="AJ73" s="29">
        <f>('Modelo AHP'!$U$23*aux!AE73)+('Modelo AHP'!$U$24*aux!AF73)+('Modelo AHP'!$U$25*aux!AG73)+('Modelo AHP'!$U$26*aux!AH73)+('Modelo AHP'!$U$27*aux!AI73)</f>
        <v>9.8901821330755861E-3</v>
      </c>
    </row>
    <row r="74" spans="1:36">
      <c r="A74" s="1">
        <f>_xlfn.RANK.EQ(AJ74,AJ$5:AJ$135)</f>
        <v>11</v>
      </c>
      <c r="B74" s="16" t="s">
        <v>84</v>
      </c>
      <c r="C74" s="17" t="s">
        <v>89</v>
      </c>
      <c r="D74" s="143">
        <v>0.15898977396634545</v>
      </c>
      <c r="E74" s="18">
        <v>82.06</v>
      </c>
      <c r="F74" s="143">
        <v>0.60070408761979266</v>
      </c>
      <c r="G74" s="159">
        <v>25725.18725548061</v>
      </c>
      <c r="H74" s="146">
        <v>10.58</v>
      </c>
      <c r="I74" s="146">
        <v>12.1</v>
      </c>
      <c r="J74" s="143">
        <v>6.2259957969999273E-2</v>
      </c>
      <c r="K74" s="161">
        <v>50230.98</v>
      </c>
      <c r="L74" s="143">
        <v>9.4044070372318669E-2</v>
      </c>
      <c r="M74" s="265">
        <v>1964</v>
      </c>
      <c r="N74" s="143">
        <v>0.10198837171950789</v>
      </c>
      <c r="O74" s="143">
        <v>9.4560878243512975E-2</v>
      </c>
      <c r="P74" s="23">
        <f>D74/$P$1</f>
        <v>1.4552718209807022E-2</v>
      </c>
      <c r="Q74" s="23">
        <f>1-(E74/Q$1)</f>
        <v>0.99245285101232594</v>
      </c>
      <c r="R74" s="23">
        <f>Q74/R$1</f>
        <v>7.6342527000948183E-3</v>
      </c>
      <c r="S74" s="23">
        <f>F74/S$1</f>
        <v>1.2315703640155275E-2</v>
      </c>
      <c r="T74" s="23">
        <f>1-(G74/T$1)</f>
        <v>0.99537775209820334</v>
      </c>
      <c r="U74" s="97">
        <f>T74/U$1</f>
        <v>7.6567519392169488E-3</v>
      </c>
      <c r="V74" s="23">
        <f>H74/V$1</f>
        <v>1.075148620496926E-2</v>
      </c>
      <c r="W74" s="23">
        <f>I74/W$1</f>
        <v>1.0020123057048453E-2</v>
      </c>
      <c r="X74" s="23">
        <f>J74/X$1</f>
        <v>9.9941481973839525E-3</v>
      </c>
      <c r="Y74" s="23">
        <f>1-(K74/Y$1)</f>
        <v>0.9962242540918006</v>
      </c>
      <c r="Z74" s="97">
        <f>Y74/Z$1</f>
        <v>7.6632634930138511E-3</v>
      </c>
      <c r="AA74" s="23">
        <f>L74/$AA$1</f>
        <v>1.4364917104875486E-2</v>
      </c>
      <c r="AB74" s="23">
        <f>M74/AB$1</f>
        <v>1.842436068218916E-2</v>
      </c>
      <c r="AC74" s="23">
        <f>N74/AC$1</f>
        <v>1.5476933276137731E-2</v>
      </c>
      <c r="AD74" s="23">
        <f>O74/AD$1</f>
        <v>1.4388898907544663E-2</v>
      </c>
      <c r="AE74" s="27">
        <f>('Modelo AHP'!$U$37*aux!P74)+('Modelo AHP'!$U$38*aux!R74)+('Modelo AHP'!$U$39*aux!S74)</f>
        <v>1.2518662917044752E-2</v>
      </c>
      <c r="AF74" s="28">
        <f>aux!U74</f>
        <v>7.6567519392169488E-3</v>
      </c>
      <c r="AG74" s="27">
        <f>('Modelo AHP'!$U$47*aux!V74)+('Modelo AHP'!$U$48*aux!W74)+('Modelo AHP'!$U$49*aux!X74)</f>
        <v>1.013380770199576E-2</v>
      </c>
      <c r="AH74" s="28">
        <f>Z74</f>
        <v>7.6632634930138511E-3</v>
      </c>
      <c r="AI74" s="27">
        <f>('Modelo AHP'!$U$56*aux!AA74)+('Modelo AHP'!$U$57*aux!AB74)+('Modelo AHP'!$U$58*aux!AC74)+('Modelo AHP'!$U$59*aux!AD74)</f>
        <v>1.6613148106322858E-2</v>
      </c>
      <c r="AJ74" s="29">
        <f>('Modelo AHP'!$U$23*aux!AE74)+('Modelo AHP'!$U$24*aux!AF74)+('Modelo AHP'!$U$25*aux!AG74)+('Modelo AHP'!$U$26*aux!AH74)+('Modelo AHP'!$U$27*aux!AI74)</f>
        <v>1.0153581005527773E-2</v>
      </c>
    </row>
    <row r="75" spans="1:36">
      <c r="A75" s="1">
        <f>_xlfn.RANK.EQ(AJ75,AJ$5:AJ$135)</f>
        <v>32</v>
      </c>
      <c r="B75" s="16" t="s">
        <v>84</v>
      </c>
      <c r="C75" s="17" t="s">
        <v>90</v>
      </c>
      <c r="D75" s="143">
        <v>7.9777566210836065E-2</v>
      </c>
      <c r="E75" s="18">
        <v>82.8</v>
      </c>
      <c r="F75" s="143">
        <v>0.45254247646986923</v>
      </c>
      <c r="G75" s="159">
        <v>31280.562009904053</v>
      </c>
      <c r="H75" s="146">
        <v>8.25</v>
      </c>
      <c r="I75" s="146">
        <v>9.2200000000000006</v>
      </c>
      <c r="J75" s="143">
        <v>6.2259957969999273E-2</v>
      </c>
      <c r="K75" s="161">
        <v>53572.15</v>
      </c>
      <c r="L75" s="143">
        <v>9.4044070372318669E-2</v>
      </c>
      <c r="M75" s="265">
        <v>1964</v>
      </c>
      <c r="N75" s="143">
        <v>0.10198837171950789</v>
      </c>
      <c r="O75" s="143">
        <v>9.4560878243512975E-2</v>
      </c>
      <c r="P75" s="23">
        <f>D75/$P$1</f>
        <v>7.3022334177056747E-3</v>
      </c>
      <c r="Q75" s="23">
        <f>1-(E75/Q$1)</f>
        <v>0.99238479239362165</v>
      </c>
      <c r="R75" s="23">
        <f>Q75/R$1</f>
        <v>7.6337291722586315E-3</v>
      </c>
      <c r="S75" s="23">
        <f>F75/S$1</f>
        <v>9.2780774089095998E-3</v>
      </c>
      <c r="T75" s="23">
        <f>1-(G75/T$1)</f>
        <v>0.99437957396844612</v>
      </c>
      <c r="U75" s="97">
        <f>T75/U$1</f>
        <v>7.6490736459111242E-3</v>
      </c>
      <c r="V75" s="23">
        <f>H75/V$1</f>
        <v>8.3837203394136472E-3</v>
      </c>
      <c r="W75" s="23">
        <f>I75/W$1</f>
        <v>7.6351681476022103E-3</v>
      </c>
      <c r="X75" s="23">
        <f>J75/X$1</f>
        <v>9.9941481973839525E-3</v>
      </c>
      <c r="Y75" s="23">
        <f>1-(K75/Y$1)</f>
        <v>0.9959731061158682</v>
      </c>
      <c r="Z75" s="97">
        <f>Y75/Z$1</f>
        <v>7.6613315855066783E-3</v>
      </c>
      <c r="AA75" s="23">
        <f>L75/$AA$1</f>
        <v>1.4364917104875486E-2</v>
      </c>
      <c r="AB75" s="23">
        <f>M75/AB$1</f>
        <v>1.842436068218916E-2</v>
      </c>
      <c r="AC75" s="23">
        <f>N75/AC$1</f>
        <v>1.5476933276137731E-2</v>
      </c>
      <c r="AD75" s="23">
        <f>O75/AD$1</f>
        <v>1.4388898907544663E-2</v>
      </c>
      <c r="AE75" s="27">
        <f>('Modelo AHP'!$U$37*aux!P75)+('Modelo AHP'!$U$38*aux!R75)+('Modelo AHP'!$U$39*aux!S75)</f>
        <v>8.5208893878833264E-3</v>
      </c>
      <c r="AF75" s="28">
        <f>aux!U75</f>
        <v>7.6490736459111242E-3</v>
      </c>
      <c r="AG75" s="27">
        <f>('Modelo AHP'!$U$47*aux!V75)+('Modelo AHP'!$U$48*aux!W75)+('Modelo AHP'!$U$49*aux!X75)</f>
        <v>8.6756235725979174E-3</v>
      </c>
      <c r="AH75" s="28">
        <f>Z75</f>
        <v>7.6613315855066783E-3</v>
      </c>
      <c r="AI75" s="27">
        <f>('Modelo AHP'!$U$56*aux!AA75)+('Modelo AHP'!$U$57*aux!AB75)+('Modelo AHP'!$U$58*aux!AC75)+('Modelo AHP'!$U$59*aux!AD75)</f>
        <v>1.6613148106322858E-2</v>
      </c>
      <c r="AJ75" s="29">
        <f>('Modelo AHP'!$U$23*aux!AE75)+('Modelo AHP'!$U$24*aux!AF75)+('Modelo AHP'!$U$25*aux!AG75)+('Modelo AHP'!$U$26*aux!AH75)+('Modelo AHP'!$U$27*aux!AI75)</f>
        <v>8.9854914048270729E-3</v>
      </c>
    </row>
    <row r="76" spans="1:36">
      <c r="A76" s="1">
        <f>_xlfn.RANK.EQ(AJ76,AJ$5:AJ$135)</f>
        <v>16</v>
      </c>
      <c r="B76" s="16" t="s">
        <v>84</v>
      </c>
      <c r="C76" s="17" t="s">
        <v>91</v>
      </c>
      <c r="D76" s="143">
        <v>0.13873492559373846</v>
      </c>
      <c r="E76" s="18">
        <v>82.56</v>
      </c>
      <c r="F76" s="143">
        <v>0.56429344883595023</v>
      </c>
      <c r="G76" s="159">
        <v>27997.611786321559</v>
      </c>
      <c r="H76" s="146">
        <v>9.7200000000000006</v>
      </c>
      <c r="I76" s="146">
        <v>11.16</v>
      </c>
      <c r="J76" s="143">
        <v>6.2259957969999273E-2</v>
      </c>
      <c r="K76" s="161">
        <v>51026.14</v>
      </c>
      <c r="L76" s="143">
        <v>9.4044070372318669E-2</v>
      </c>
      <c r="M76" s="265">
        <v>1964</v>
      </c>
      <c r="N76" s="143">
        <v>0.10198837171950789</v>
      </c>
      <c r="O76" s="143">
        <v>9.4560878243512975E-2</v>
      </c>
      <c r="P76" s="23">
        <f>D76/$P$1</f>
        <v>1.2698742992436673E-2</v>
      </c>
      <c r="Q76" s="23">
        <f>1-(E76/Q$1)</f>
        <v>0.99240686545914736</v>
      </c>
      <c r="R76" s="23">
        <f>Q76/R$1</f>
        <v>7.6338989650703674E-3</v>
      </c>
      <c r="S76" s="23">
        <f>F76/S$1</f>
        <v>1.1569208575692902E-2</v>
      </c>
      <c r="T76" s="23">
        <f>1-(G76/T$1)</f>
        <v>0.99496944760598105</v>
      </c>
      <c r="U76" s="97">
        <f>T76/U$1</f>
        <v>7.6536111354306236E-3</v>
      </c>
      <c r="V76" s="23">
        <f>H76/V$1</f>
        <v>9.8775468726182616E-3</v>
      </c>
      <c r="W76" s="23">
        <f>I76/W$1</f>
        <v>9.2417002741041927E-3</v>
      </c>
      <c r="X76" s="23">
        <f>J76/X$1</f>
        <v>9.9941481973839525E-3</v>
      </c>
      <c r="Y76" s="23">
        <f>1-(K76/Y$1)</f>
        <v>0.99616448376447742</v>
      </c>
      <c r="Z76" s="97">
        <f>Y76/Z$1</f>
        <v>7.6628037212652109E-3</v>
      </c>
      <c r="AA76" s="23">
        <f>L76/$AA$1</f>
        <v>1.4364917104875486E-2</v>
      </c>
      <c r="AB76" s="23">
        <f>M76/AB$1</f>
        <v>1.842436068218916E-2</v>
      </c>
      <c r="AC76" s="23">
        <f>N76/AC$1</f>
        <v>1.5476933276137731E-2</v>
      </c>
      <c r="AD76" s="23">
        <f>O76/AD$1</f>
        <v>1.4388898907544663E-2</v>
      </c>
      <c r="AE76" s="27">
        <f>('Modelo AHP'!$U$37*aux!P76)+('Modelo AHP'!$U$38*aux!R76)+('Modelo AHP'!$U$39*aux!S76)</f>
        <v>1.151453793965378E-2</v>
      </c>
      <c r="AF76" s="28">
        <f>aux!U76</f>
        <v>7.6536111354306236E-3</v>
      </c>
      <c r="AG76" s="27">
        <f>('Modelo AHP'!$U$47*aux!V76)+('Modelo AHP'!$U$48*aux!W76)+('Modelo AHP'!$U$49*aux!X76)</f>
        <v>9.6407619518208473E-3</v>
      </c>
      <c r="AH76" s="28">
        <f>Z76</f>
        <v>7.6628037212652109E-3</v>
      </c>
      <c r="AI76" s="27">
        <f>('Modelo AHP'!$U$56*aux!AA76)+('Modelo AHP'!$U$57*aux!AB76)+('Modelo AHP'!$U$58*aux!AC76)+('Modelo AHP'!$U$59*aux!AD76)</f>
        <v>1.6613148106322858E-2</v>
      </c>
      <c r="AJ76" s="29">
        <f>('Modelo AHP'!$U$23*aux!AE76)+('Modelo AHP'!$U$24*aux!AF76)+('Modelo AHP'!$U$25*aux!AG76)+('Modelo AHP'!$U$26*aux!AH76)+('Modelo AHP'!$U$27*aux!AI76)</f>
        <v>9.8164734106421722E-3</v>
      </c>
    </row>
    <row r="77" spans="1:36">
      <c r="A77" s="1">
        <f>_xlfn.RANK.EQ(AJ77,AJ$5:AJ$135)</f>
        <v>25</v>
      </c>
      <c r="B77" s="16" t="s">
        <v>92</v>
      </c>
      <c r="C77" s="17" t="s">
        <v>93</v>
      </c>
      <c r="D77" s="143">
        <v>5.0454444690755933E-2</v>
      </c>
      <c r="E77" s="18">
        <v>81.31</v>
      </c>
      <c r="F77" s="143">
        <v>0.62287499249113953</v>
      </c>
      <c r="G77" s="159">
        <v>26857.942552704491</v>
      </c>
      <c r="H77" s="146">
        <v>10.62</v>
      </c>
      <c r="I77" s="146">
        <v>11.82</v>
      </c>
      <c r="J77" s="143">
        <v>6.6126522508987498E-2</v>
      </c>
      <c r="K77" s="161">
        <v>53708.18</v>
      </c>
      <c r="L77" s="143">
        <v>5.7688935647904609E-2</v>
      </c>
      <c r="M77" s="265">
        <v>1540</v>
      </c>
      <c r="N77" s="143">
        <v>6.7392631139378753E-2</v>
      </c>
      <c r="O77" s="143">
        <v>6.4433632734530941E-2</v>
      </c>
      <c r="P77" s="23">
        <f>D77/$P$1</f>
        <v>4.6182172456719706E-3</v>
      </c>
      <c r="Q77" s="23">
        <f>1-(E77/Q$1)</f>
        <v>0.99252182934209388</v>
      </c>
      <c r="R77" s="23">
        <f>Q77/R$1</f>
        <v>7.6347833026314945E-3</v>
      </c>
      <c r="S77" s="23">
        <f>F77/S$1</f>
        <v>1.2770254057668675E-2</v>
      </c>
      <c r="T77" s="23">
        <f>1-(G77/T$1)</f>
        <v>0.99517422099291553</v>
      </c>
      <c r="U77" s="97">
        <f>T77/U$1</f>
        <v>7.6551863153301192E-3</v>
      </c>
      <c r="V77" s="23">
        <f>H77/V$1</f>
        <v>1.0792134546008839E-2</v>
      </c>
      <c r="W77" s="23">
        <f>I77/W$1</f>
        <v>9.7882524408522912E-3</v>
      </c>
      <c r="X77" s="23">
        <f>J77/X$1</f>
        <v>1.0614820299925661E-2</v>
      </c>
      <c r="Y77" s="23">
        <f>1-(K77/Y$1)</f>
        <v>0.9959628810572313</v>
      </c>
      <c r="Z77" s="97">
        <f>Y77/Z$1</f>
        <v>7.6612529312094719E-3</v>
      </c>
      <c r="AA77" s="23">
        <f>L77/$AA$1</f>
        <v>8.8117919095786843E-3</v>
      </c>
      <c r="AB77" s="23">
        <f>M77/AB$1</f>
        <v>1.4446800127582132E-2</v>
      </c>
      <c r="AC77" s="23">
        <f>N77/AC$1</f>
        <v>1.0226962523885655E-2</v>
      </c>
      <c r="AD77" s="23">
        <f>O77/AD$1</f>
        <v>9.8045729363414498E-3</v>
      </c>
      <c r="AE77" s="27">
        <f>('Modelo AHP'!$U$37*aux!P77)+('Modelo AHP'!$U$38*aux!R77)+('Modelo AHP'!$U$39*aux!S77)</f>
        <v>9.811095938565946E-3</v>
      </c>
      <c r="AF77" s="28">
        <f>aux!U77</f>
        <v>7.6551863153301192E-3</v>
      </c>
      <c r="AG77" s="27">
        <f>('Modelo AHP'!$U$47*aux!V77)+('Modelo AHP'!$U$48*aux!W77)+('Modelo AHP'!$U$49*aux!X77)</f>
        <v>1.0278297594499917E-2</v>
      </c>
      <c r="AH77" s="28">
        <f>Z77</f>
        <v>7.6612529312094719E-3</v>
      </c>
      <c r="AI77" s="27">
        <f>('Modelo AHP'!$U$56*aux!AA77)+('Modelo AHP'!$U$57*aux!AB77)+('Modelo AHP'!$U$58*aux!AC77)+('Modelo AHP'!$U$59*aux!AD77)</f>
        <v>1.2024783106608981E-2</v>
      </c>
      <c r="AJ77" s="29">
        <f>('Modelo AHP'!$U$23*aux!AE77)+('Modelo AHP'!$U$24*aux!AF77)+('Modelo AHP'!$U$25*aux!AG77)+('Modelo AHP'!$U$26*aux!AH77)+('Modelo AHP'!$U$27*aux!AI77)</f>
        <v>9.3208917192590546E-3</v>
      </c>
    </row>
    <row r="78" spans="1:36">
      <c r="A78" s="1">
        <f>_xlfn.RANK.EQ(AJ78,AJ$5:AJ$135)</f>
        <v>12</v>
      </c>
      <c r="B78" s="16" t="s">
        <v>92</v>
      </c>
      <c r="C78" s="17" t="s">
        <v>94</v>
      </c>
      <c r="D78" s="143">
        <v>0.1080165045682287</v>
      </c>
      <c r="E78" s="18">
        <v>80.58</v>
      </c>
      <c r="F78" s="143">
        <v>0.66266041963740074</v>
      </c>
      <c r="G78" s="159">
        <v>24995.869450088339</v>
      </c>
      <c r="H78" s="146">
        <v>13.14</v>
      </c>
      <c r="I78" s="146">
        <v>14.04</v>
      </c>
      <c r="J78" s="143">
        <v>6.6126522508987498E-2</v>
      </c>
      <c r="K78" s="161">
        <v>53439.81</v>
      </c>
      <c r="L78" s="143">
        <v>5.7688935647904609E-2</v>
      </c>
      <c r="M78" s="265">
        <v>1540</v>
      </c>
      <c r="N78" s="143">
        <v>6.7392631139378753E-2</v>
      </c>
      <c r="O78" s="143">
        <v>6.4433632734530941E-2</v>
      </c>
      <c r="P78" s="23">
        <f>D78/$P$1</f>
        <v>9.8870116849308059E-3</v>
      </c>
      <c r="Q78" s="23">
        <f>1-(E78/Q$1)</f>
        <v>0.99258896824973464</v>
      </c>
      <c r="R78" s="23">
        <f>Q78/R$1</f>
        <v>7.6352997557671927E-3</v>
      </c>
      <c r="S78" s="23">
        <f>F78/S$1</f>
        <v>1.3585939417613272E-2</v>
      </c>
      <c r="T78" s="23">
        <f>1-(G78/T$1)</f>
        <v>0.99550879439780793</v>
      </c>
      <c r="U78" s="97">
        <f>T78/U$1</f>
        <v>7.657759956906215E-3</v>
      </c>
      <c r="V78" s="23">
        <f>H78/V$1</f>
        <v>1.3352980031502464E-2</v>
      </c>
      <c r="W78" s="23">
        <f>I78/W$1</f>
        <v>1.1626655183550437E-2</v>
      </c>
      <c r="X78" s="23">
        <f>J78/X$1</f>
        <v>1.0614820299925661E-2</v>
      </c>
      <c r="Y78" s="23">
        <f>1-(K78/Y$1)</f>
        <v>0.99598305380578966</v>
      </c>
      <c r="Z78" s="97">
        <f>Y78/Z$1</f>
        <v>7.6614081061983823E-3</v>
      </c>
      <c r="AA78" s="23">
        <f>L78/$AA$1</f>
        <v>8.8117919095786843E-3</v>
      </c>
      <c r="AB78" s="23">
        <f>M78/AB$1</f>
        <v>1.4446800127582132E-2</v>
      </c>
      <c r="AC78" s="23">
        <f>N78/AC$1</f>
        <v>1.0226962523885655E-2</v>
      </c>
      <c r="AD78" s="23">
        <f>O78/AD$1</f>
        <v>9.8045729363414498E-3</v>
      </c>
      <c r="AE78" s="27">
        <f>('Modelo AHP'!$U$37*aux!P78)+('Modelo AHP'!$U$38*aux!R78)+('Modelo AHP'!$U$39*aux!S78)</f>
        <v>1.1881197131623923E-2</v>
      </c>
      <c r="AF78" s="28">
        <f>aux!U78</f>
        <v>7.657759956906215E-3</v>
      </c>
      <c r="AG78" s="27">
        <f>('Modelo AHP'!$U$47*aux!V78)+('Modelo AHP'!$U$48*aux!W78)+('Modelo AHP'!$U$49*aux!X78)</f>
        <v>1.1526793628147656E-2</v>
      </c>
      <c r="AH78" s="28">
        <f>Z78</f>
        <v>7.6614081061983823E-3</v>
      </c>
      <c r="AI78" s="27">
        <f>('Modelo AHP'!$U$56*aux!AA78)+('Modelo AHP'!$U$57*aux!AB78)+('Modelo AHP'!$U$58*aux!AC78)+('Modelo AHP'!$U$59*aux!AD78)</f>
        <v>1.2024783106608981E-2</v>
      </c>
      <c r="AJ78" s="29">
        <f>('Modelo AHP'!$U$23*aux!AE78)+('Modelo AHP'!$U$24*aux!AF78)+('Modelo AHP'!$U$25*aux!AG78)+('Modelo AHP'!$U$26*aux!AH78)+('Modelo AHP'!$U$27*aux!AI78)</f>
        <v>1.0093845624301431E-2</v>
      </c>
    </row>
    <row r="79" spans="1:36">
      <c r="A79" s="1">
        <f>_xlfn.RANK.EQ(AJ79,AJ$5:AJ$135)</f>
        <v>19</v>
      </c>
      <c r="B79" s="16" t="s">
        <v>92</v>
      </c>
      <c r="C79" s="17" t="s">
        <v>95</v>
      </c>
      <c r="D79" s="143">
        <v>0.13964410358050755</v>
      </c>
      <c r="E79" s="18">
        <v>82.12</v>
      </c>
      <c r="F79" s="143">
        <v>0.59479463689862277</v>
      </c>
      <c r="G79" s="159">
        <v>25440.247753376243</v>
      </c>
      <c r="H79" s="146">
        <v>10.86</v>
      </c>
      <c r="I79" s="146">
        <v>12.18</v>
      </c>
      <c r="J79" s="143">
        <v>6.6126522508987498E-2</v>
      </c>
      <c r="K79" s="161">
        <v>50304.3</v>
      </c>
      <c r="L79" s="143">
        <v>5.7688935647904609E-2</v>
      </c>
      <c r="M79" s="265">
        <v>1540</v>
      </c>
      <c r="N79" s="143">
        <v>6.7392631139378753E-2</v>
      </c>
      <c r="O79" s="143">
        <v>6.4433632734530941E-2</v>
      </c>
      <c r="P79" s="23">
        <f>D79/$P$1</f>
        <v>1.2781962250593559E-2</v>
      </c>
      <c r="Q79" s="23">
        <f>1-(E79/Q$1)</f>
        <v>0.99244733274594454</v>
      </c>
      <c r="R79" s="23">
        <f>Q79/R$1</f>
        <v>7.6342102518918847E-3</v>
      </c>
      <c r="S79" s="23">
        <f>F79/S$1</f>
        <v>1.2194547408230156E-2</v>
      </c>
      <c r="T79" s="23">
        <f>1-(G79/T$1)</f>
        <v>0.99542894943265459</v>
      </c>
      <c r="U79" s="97">
        <f>T79/U$1</f>
        <v>7.6571457648665735E-3</v>
      </c>
      <c r="V79" s="23">
        <f>H79/V$1</f>
        <v>1.1036024592246327E-2</v>
      </c>
      <c r="W79" s="23">
        <f>I79/W$1</f>
        <v>1.0086371804533071E-2</v>
      </c>
      <c r="X79" s="23">
        <f>J79/X$1</f>
        <v>1.0614820299925661E-2</v>
      </c>
      <c r="Y79" s="23">
        <f>1-(K79/Y$1)</f>
        <v>0.99621874279797373</v>
      </c>
      <c r="Z79" s="97">
        <f>Y79/Z$1</f>
        <v>7.6632210984459515E-3</v>
      </c>
      <c r="AA79" s="23">
        <f>L79/$AA$1</f>
        <v>8.8117919095786843E-3</v>
      </c>
      <c r="AB79" s="23">
        <f>M79/AB$1</f>
        <v>1.4446800127582132E-2</v>
      </c>
      <c r="AC79" s="23">
        <f>N79/AC$1</f>
        <v>1.0226962523885655E-2</v>
      </c>
      <c r="AD79" s="23">
        <f>O79/AD$1</f>
        <v>9.8045729363414498E-3</v>
      </c>
      <c r="AE79" s="27">
        <f>('Modelo AHP'!$U$37*aux!P79)+('Modelo AHP'!$U$38*aux!R79)+('Modelo AHP'!$U$39*aux!S79)</f>
        <v>1.1914738145305349E-2</v>
      </c>
      <c r="AF79" s="28">
        <f>aux!U79</f>
        <v>7.6571457648665735E-3</v>
      </c>
      <c r="AG79" s="27">
        <f>('Modelo AHP'!$U$47*aux!V79)+('Modelo AHP'!$U$48*aux!W79)+('Modelo AHP'!$U$49*aux!X79)</f>
        <v>1.0451758564993991E-2</v>
      </c>
      <c r="AH79" s="28">
        <f>Z79</f>
        <v>7.6632210984459515E-3</v>
      </c>
      <c r="AI79" s="27">
        <f>('Modelo AHP'!$U$56*aux!AA79)+('Modelo AHP'!$U$57*aux!AB79)+('Modelo AHP'!$U$58*aux!AC79)+('Modelo AHP'!$U$59*aux!AD79)</f>
        <v>1.2024783106608981E-2</v>
      </c>
      <c r="AJ79" s="29">
        <f>('Modelo AHP'!$U$23*aux!AE79)+('Modelo AHP'!$U$24*aux!AF79)+('Modelo AHP'!$U$25*aux!AG79)+('Modelo AHP'!$U$26*aux!AH79)+('Modelo AHP'!$U$27*aux!AI79)</f>
        <v>9.7320140818623266E-3</v>
      </c>
    </row>
    <row r="80" spans="1:36">
      <c r="A80" s="1">
        <f>_xlfn.RANK.EQ(AJ80,AJ$5:AJ$135)</f>
        <v>13</v>
      </c>
      <c r="B80" s="16" t="s">
        <v>92</v>
      </c>
      <c r="C80" s="17" t="s">
        <v>96</v>
      </c>
      <c r="D80" s="143">
        <v>0.23334604021728772</v>
      </c>
      <c r="E80" s="18">
        <v>83.41</v>
      </c>
      <c r="F80" s="143">
        <v>0.61355717453278424</v>
      </c>
      <c r="G80" s="159">
        <v>25506.248844310558</v>
      </c>
      <c r="H80" s="146">
        <v>9.6</v>
      </c>
      <c r="I80" s="146">
        <v>11.08</v>
      </c>
      <c r="J80" s="143">
        <v>6.6126522508987498E-2</v>
      </c>
      <c r="K80" s="161">
        <v>54512.7</v>
      </c>
      <c r="L80" s="143">
        <v>5.7688935647904609E-2</v>
      </c>
      <c r="M80" s="265">
        <v>1540</v>
      </c>
      <c r="N80" s="143">
        <v>6.7392631139378753E-2</v>
      </c>
      <c r="O80" s="143">
        <v>6.4433632734530941E-2</v>
      </c>
      <c r="P80" s="23">
        <f>D80/$P$1</f>
        <v>2.1358726941616404E-2</v>
      </c>
      <c r="Q80" s="23">
        <f>1-(E80/Q$1)</f>
        <v>0.99232869001874369</v>
      </c>
      <c r="R80" s="23">
        <f>Q80/R$1</f>
        <v>7.6332976155288005E-3</v>
      </c>
      <c r="S80" s="23">
        <f>F80/S$1</f>
        <v>1.257921909234536E-2</v>
      </c>
      <c r="T80" s="23">
        <f>1-(G80/T$1)</f>
        <v>0.99541709049452298</v>
      </c>
      <c r="U80" s="97">
        <f>T80/U$1</f>
        <v>7.6570545422655614E-3</v>
      </c>
      <c r="V80" s="23">
        <f>H80/V$1</f>
        <v>9.7556018494995168E-3</v>
      </c>
      <c r="W80" s="23">
        <f>I80/W$1</f>
        <v>9.1754515266195755E-3</v>
      </c>
      <c r="X80" s="23">
        <f>J80/X$1</f>
        <v>1.0614820299925661E-2</v>
      </c>
      <c r="Y80" s="23">
        <f>1-(K80/Y$1)</f>
        <v>0.99590240716048339</v>
      </c>
      <c r="Z80" s="97">
        <f>Y80/Z$1</f>
        <v>7.660787747388334E-3</v>
      </c>
      <c r="AA80" s="23">
        <f>L80/$AA$1</f>
        <v>8.8117919095786843E-3</v>
      </c>
      <c r="AB80" s="23">
        <f>M80/AB$1</f>
        <v>1.4446800127582132E-2</v>
      </c>
      <c r="AC80" s="23">
        <f>N80/AC$1</f>
        <v>1.0226962523885655E-2</v>
      </c>
      <c r="AD80" s="23">
        <f>O80/AD$1</f>
        <v>9.8045729363414498E-3</v>
      </c>
      <c r="AE80" s="27">
        <f>('Modelo AHP'!$U$37*aux!P80)+('Modelo AHP'!$U$38*aux!R80)+('Modelo AHP'!$U$39*aux!S80)</f>
        <v>1.4718479299445017E-2</v>
      </c>
      <c r="AF80" s="28">
        <f>aux!U80</f>
        <v>7.6570545422655614E-3</v>
      </c>
      <c r="AG80" s="27">
        <f>('Modelo AHP'!$U$47*aux!V80)+('Modelo AHP'!$U$48*aux!W80)+('Modelo AHP'!$U$49*aux!X80)</f>
        <v>9.831182626096658E-3</v>
      </c>
      <c r="AH80" s="28">
        <f>Z80</f>
        <v>7.660787747388334E-3</v>
      </c>
      <c r="AI80" s="27">
        <f>('Modelo AHP'!$U$56*aux!AA80)+('Modelo AHP'!$U$57*aux!AB80)+('Modelo AHP'!$U$58*aux!AC80)+('Modelo AHP'!$U$59*aux!AD80)</f>
        <v>1.2024783106608981E-2</v>
      </c>
      <c r="AJ80" s="29">
        <f>('Modelo AHP'!$U$23*aux!AE80)+('Modelo AHP'!$U$24*aux!AF80)+('Modelo AHP'!$U$25*aux!AG80)+('Modelo AHP'!$U$26*aux!AH80)+('Modelo AHP'!$U$27*aux!AI80)</f>
        <v>9.987637218635036E-3</v>
      </c>
    </row>
    <row r="81" spans="1:36">
      <c r="A81" s="1">
        <f>_xlfn.RANK.EQ(AJ81,AJ$5:AJ$135)</f>
        <v>15</v>
      </c>
      <c r="B81" s="16" t="s">
        <v>92</v>
      </c>
      <c r="C81" s="17" t="s">
        <v>97</v>
      </c>
      <c r="D81" s="143">
        <v>0.22245976832776179</v>
      </c>
      <c r="E81" s="18">
        <v>82.16</v>
      </c>
      <c r="F81" s="143">
        <v>0.58201955697465579</v>
      </c>
      <c r="G81" s="159">
        <v>26358.159693388694</v>
      </c>
      <c r="H81" s="146">
        <v>8.84</v>
      </c>
      <c r="I81" s="146">
        <v>11.02</v>
      </c>
      <c r="J81" s="143">
        <v>6.6126522508987498E-2</v>
      </c>
      <c r="K81" s="161">
        <v>51943.63</v>
      </c>
      <c r="L81" s="143">
        <v>5.7688935647904609E-2</v>
      </c>
      <c r="M81" s="265">
        <v>1540</v>
      </c>
      <c r="N81" s="143">
        <v>6.7392631139378753E-2</v>
      </c>
      <c r="O81" s="143">
        <v>6.4433632734530941E-2</v>
      </c>
      <c r="P81" s="23">
        <f>D81/$P$1</f>
        <v>2.0362280168900383E-2</v>
      </c>
      <c r="Q81" s="23">
        <f>1-(E81/Q$1)</f>
        <v>0.9924436539016902</v>
      </c>
      <c r="R81" s="23">
        <f>Q81/R$1</f>
        <v>7.6341819530899276E-3</v>
      </c>
      <c r="S81" s="23">
        <f>F81/S$1</f>
        <v>1.1932631264216072E-2</v>
      </c>
      <c r="T81" s="23">
        <f>1-(G81/T$1)</f>
        <v>0.99526402093294641</v>
      </c>
      <c r="U81" s="97">
        <f>T81/U$1</f>
        <v>7.6558770840995877E-3</v>
      </c>
      <c r="V81" s="23">
        <f>H81/V$1</f>
        <v>8.9832833697474721E-3</v>
      </c>
      <c r="W81" s="23">
        <f>I81/W$1</f>
        <v>9.1257649660061117E-3</v>
      </c>
      <c r="X81" s="23">
        <f>J81/X$1</f>
        <v>1.0614820299925661E-2</v>
      </c>
      <c r="Y81" s="23">
        <f>1-(K81/Y$1)</f>
        <v>0.99609551817564534</v>
      </c>
      <c r="Z81" s="97">
        <f>Y81/Z$1</f>
        <v>7.6622732167357334E-3</v>
      </c>
      <c r="AA81" s="23">
        <f>L81/$AA$1</f>
        <v>8.8117919095786843E-3</v>
      </c>
      <c r="AB81" s="23">
        <f>M81/AB$1</f>
        <v>1.4446800127582132E-2</v>
      </c>
      <c r="AC81" s="23">
        <f>N81/AC$1</f>
        <v>1.0226962523885655E-2</v>
      </c>
      <c r="AD81" s="23">
        <f>O81/AD$1</f>
        <v>9.8045729363414498E-3</v>
      </c>
      <c r="AE81" s="27">
        <f>('Modelo AHP'!$U$37*aux!P81)+('Modelo AHP'!$U$38*aux!R81)+('Modelo AHP'!$U$39*aux!S81)</f>
        <v>1.403168100450875E-2</v>
      </c>
      <c r="AF81" s="28">
        <f>aux!U81</f>
        <v>7.6558770840995877E-3</v>
      </c>
      <c r="AG81" s="27">
        <f>('Modelo AHP'!$U$47*aux!V81)+('Modelo AHP'!$U$48*aux!W81)+('Modelo AHP'!$U$49*aux!X81)</f>
        <v>9.6784739689316068E-3</v>
      </c>
      <c r="AH81" s="28">
        <f>Z81</f>
        <v>7.6622732167357334E-3</v>
      </c>
      <c r="AI81" s="27">
        <f>('Modelo AHP'!$U$56*aux!AA81)+('Modelo AHP'!$U$57*aux!AB81)+('Modelo AHP'!$U$58*aux!AC81)+('Modelo AHP'!$U$59*aux!AD81)</f>
        <v>1.2024783106608981E-2</v>
      </c>
      <c r="AJ81" s="29">
        <f>('Modelo AHP'!$U$23*aux!AE81)+('Modelo AHP'!$U$24*aux!AF81)+('Modelo AHP'!$U$25*aux!AG81)+('Modelo AHP'!$U$26*aux!AH81)+('Modelo AHP'!$U$27*aux!AI81)</f>
        <v>9.8205682098425687E-3</v>
      </c>
    </row>
    <row r="82" spans="1:36">
      <c r="A82" s="1">
        <f>_xlfn.RANK.EQ(AJ82,AJ$5:AJ$135)</f>
        <v>18</v>
      </c>
      <c r="B82" s="16" t="s">
        <v>92</v>
      </c>
      <c r="C82" s="17" t="s">
        <v>324</v>
      </c>
      <c r="D82" s="143">
        <v>0.1794553551872673</v>
      </c>
      <c r="E82" s="18">
        <v>84.25</v>
      </c>
      <c r="F82" s="143">
        <v>0.63773985150901558</v>
      </c>
      <c r="G82" s="159">
        <v>25498.384207889791</v>
      </c>
      <c r="H82" s="146">
        <v>9.24</v>
      </c>
      <c r="I82" s="146">
        <v>11.17</v>
      </c>
      <c r="J82" s="143">
        <v>6.6126522508987498E-2</v>
      </c>
      <c r="K82" s="161">
        <v>42213.74</v>
      </c>
      <c r="L82" s="143">
        <v>5.7688935647904609E-2</v>
      </c>
      <c r="M82" s="265">
        <v>1540</v>
      </c>
      <c r="N82" s="143">
        <v>6.7392631139378753E-2</v>
      </c>
      <c r="O82" s="143">
        <v>6.4433632734530941E-2</v>
      </c>
      <c r="P82" s="23">
        <f>D82/$P$1</f>
        <v>1.6425982314019396E-2</v>
      </c>
      <c r="Q82" s="23">
        <f>1-(E82/Q$1)</f>
        <v>0.99225143428940366</v>
      </c>
      <c r="R82" s="23">
        <f>Q82/R$1</f>
        <v>7.6327033406877239E-3</v>
      </c>
      <c r="S82" s="23">
        <f>F82/S$1</f>
        <v>1.3075015090746118E-2</v>
      </c>
      <c r="T82" s="23">
        <f>1-(G82/T$1)</f>
        <v>0.99541850359596451</v>
      </c>
      <c r="U82" s="97">
        <f>T82/U$1</f>
        <v>7.6570654122766497E-3</v>
      </c>
      <c r="V82" s="23">
        <f>H82/V$1</f>
        <v>9.3897667801432858E-3</v>
      </c>
      <c r="W82" s="23">
        <f>I82/W$1</f>
        <v>9.2499813675397703E-3</v>
      </c>
      <c r="X82" s="23">
        <f>J82/X$1</f>
        <v>1.0614820299925661E-2</v>
      </c>
      <c r="Y82" s="23">
        <f>1-(K82/Y$1)</f>
        <v>0.99682689137112612</v>
      </c>
      <c r="Z82" s="97">
        <f>Y82/Z$1</f>
        <v>7.6678991643932782E-3</v>
      </c>
      <c r="AA82" s="23">
        <f>L82/$AA$1</f>
        <v>8.8117919095786843E-3</v>
      </c>
      <c r="AB82" s="23">
        <f>M82/AB$1</f>
        <v>1.4446800127582132E-2</v>
      </c>
      <c r="AC82" s="23">
        <f>N82/AC$1</f>
        <v>1.0226962523885655E-2</v>
      </c>
      <c r="AD82" s="23">
        <f>O82/AD$1</f>
        <v>9.8045729363414498E-3</v>
      </c>
      <c r="AE82" s="27">
        <f>('Modelo AHP'!$U$37*aux!P82)+('Modelo AHP'!$U$38*aux!R82)+('Modelo AHP'!$U$39*aux!S82)</f>
        <v>1.3536074082722262E-2</v>
      </c>
      <c r="AF82" s="28">
        <f>aux!U82</f>
        <v>7.6570654122766497E-3</v>
      </c>
      <c r="AG82" s="27">
        <f>('Modelo AHP'!$U$47*aux!V82)+('Modelo AHP'!$U$48*aux!W82)+('Modelo AHP'!$U$49*aux!X82)</f>
        <v>9.8023320797274889E-3</v>
      </c>
      <c r="AH82" s="28">
        <f>Z82</f>
        <v>7.6678991643932782E-3</v>
      </c>
      <c r="AI82" s="27">
        <f>('Modelo AHP'!$U$56*aux!AA82)+('Modelo AHP'!$U$57*aux!AB82)+('Modelo AHP'!$U$58*aux!AC82)+('Modelo AHP'!$U$59*aux!AD82)</f>
        <v>1.2024783106608981E-2</v>
      </c>
      <c r="AJ82" s="29">
        <f>('Modelo AHP'!$U$23*aux!AE82)+('Modelo AHP'!$U$24*aux!AF82)+('Modelo AHP'!$U$25*aux!AG82)+('Modelo AHP'!$U$26*aux!AH82)+('Modelo AHP'!$U$27*aux!AI82)</f>
        <v>9.7809905529480812E-3</v>
      </c>
    </row>
    <row r="83" spans="1:36">
      <c r="A83" s="1">
        <f>_xlfn.RANK.EQ(AJ83,AJ$5:AJ$135)</f>
        <v>8</v>
      </c>
      <c r="B83" s="16" t="s">
        <v>92</v>
      </c>
      <c r="C83" s="17" t="s">
        <v>98</v>
      </c>
      <c r="D83" s="143">
        <v>0.29188185458132648</v>
      </c>
      <c r="E83" s="18">
        <v>82.73</v>
      </c>
      <c r="F83" s="143">
        <v>0.69765660897534076</v>
      </c>
      <c r="G83" s="159">
        <v>23173.869977272727</v>
      </c>
      <c r="H83" s="146">
        <v>9.48</v>
      </c>
      <c r="I83" s="146">
        <v>11.76</v>
      </c>
      <c r="J83" s="143">
        <v>6.6126522508987498E-2</v>
      </c>
      <c r="K83" s="161">
        <v>44169.38</v>
      </c>
      <c r="L83" s="143">
        <v>5.7688935647904609E-2</v>
      </c>
      <c r="M83" s="265">
        <v>1540</v>
      </c>
      <c r="N83" s="143">
        <v>6.7392631139378753E-2</v>
      </c>
      <c r="O83" s="143">
        <v>6.4433632734530941E-2</v>
      </c>
      <c r="P83" s="23">
        <f>D83/$P$1</f>
        <v>2.6716651482107598E-2</v>
      </c>
      <c r="Q83" s="23">
        <f>1-(E83/Q$1)</f>
        <v>0.99239123037106658</v>
      </c>
      <c r="R83" s="23">
        <f>Q83/R$1</f>
        <v>7.6337786951620537E-3</v>
      </c>
      <c r="S83" s="23">
        <f>F83/S$1</f>
        <v>1.4303435278393279E-2</v>
      </c>
      <c r="T83" s="23">
        <f>1-(G83/T$1)</f>
        <v>0.99583616745661829</v>
      </c>
      <c r="U83" s="97">
        <f>T83/U$1</f>
        <v>7.6602782112047563E-3</v>
      </c>
      <c r="V83" s="23">
        <f>H83/V$1</f>
        <v>9.6336568263807737E-3</v>
      </c>
      <c r="W83" s="23">
        <f>I83/W$1</f>
        <v>9.7385658802388274E-3</v>
      </c>
      <c r="X83" s="23">
        <f>J83/X$1</f>
        <v>1.0614820299925661E-2</v>
      </c>
      <c r="Y83" s="23">
        <f>1-(K83/Y$1)</f>
        <v>0.99667989046196781</v>
      </c>
      <c r="Z83" s="97">
        <f>Y83/Z$1</f>
        <v>7.6667683881689831E-3</v>
      </c>
      <c r="AA83" s="23">
        <f>L83/$AA$1</f>
        <v>8.8117919095786843E-3</v>
      </c>
      <c r="AB83" s="23">
        <f>M83/AB$1</f>
        <v>1.4446800127582132E-2</v>
      </c>
      <c r="AC83" s="23">
        <f>N83/AC$1</f>
        <v>1.0226962523885655E-2</v>
      </c>
      <c r="AD83" s="23">
        <f>O83/AD$1</f>
        <v>9.8045729363414498E-3</v>
      </c>
      <c r="AE83" s="27">
        <f>('Modelo AHP'!$U$37*aux!P83)+('Modelo AHP'!$U$38*aux!R83)+('Modelo AHP'!$U$39*aux!S83)</f>
        <v>1.7360434481184451E-2</v>
      </c>
      <c r="AF83" s="28">
        <f>aux!U83</f>
        <v>7.6602782112047563E-3</v>
      </c>
      <c r="AG83" s="27">
        <f>('Modelo AHP'!$U$47*aux!V83)+('Modelo AHP'!$U$48*aux!W83)+('Modelo AHP'!$U$49*aux!X83)</f>
        <v>1.0060250842531954E-2</v>
      </c>
      <c r="AH83" s="28">
        <f>Z83</f>
        <v>7.6667683881689831E-3</v>
      </c>
      <c r="AI83" s="27">
        <f>('Modelo AHP'!$U$56*aux!AA83)+('Modelo AHP'!$U$57*aux!AB83)+('Modelo AHP'!$U$58*aux!AC83)+('Modelo AHP'!$U$59*aux!AD83)</f>
        <v>1.2024783106608981E-2</v>
      </c>
      <c r="AJ83" s="29">
        <f>('Modelo AHP'!$U$23*aux!AE83)+('Modelo AHP'!$U$24*aux!AF83)+('Modelo AHP'!$U$25*aux!AG83)+('Modelo AHP'!$U$26*aux!AH83)+('Modelo AHP'!$U$27*aux!AI83)</f>
        <v>1.0508307745538823E-2</v>
      </c>
    </row>
    <row r="84" spans="1:36">
      <c r="A84" s="1">
        <f>_xlfn.RANK.EQ(AJ84,AJ$5:AJ$135)</f>
        <v>2</v>
      </c>
      <c r="B84" s="16" t="s">
        <v>99</v>
      </c>
      <c r="C84" s="17" t="s">
        <v>100</v>
      </c>
      <c r="D84" s="143">
        <v>0.102571647148826</v>
      </c>
      <c r="E84" s="18">
        <v>80.02</v>
      </c>
      <c r="F84" s="143">
        <v>0.72871595330739303</v>
      </c>
      <c r="G84" s="159">
        <v>22055.090994895891</v>
      </c>
      <c r="H84" s="146">
        <v>13.56</v>
      </c>
      <c r="I84" s="146">
        <v>14.68</v>
      </c>
      <c r="J84" s="143">
        <v>7.7258347536776961E-2</v>
      </c>
      <c r="K84" s="161">
        <v>43010.62</v>
      </c>
      <c r="L84" s="143">
        <v>0.10281138582032848</v>
      </c>
      <c r="M84" s="265">
        <v>3327</v>
      </c>
      <c r="N84" s="143">
        <v>0.11904532459606181</v>
      </c>
      <c r="O84" s="143">
        <v>0.1156125249500998</v>
      </c>
      <c r="P84" s="23">
        <f>D84/$P$1</f>
        <v>9.3886307278390792E-3</v>
      </c>
      <c r="Q84" s="23">
        <f>1-(E84/Q$1)</f>
        <v>0.99264047206929473</v>
      </c>
      <c r="R84" s="23">
        <f>Q84/R$1</f>
        <v>7.6356959389945779E-3</v>
      </c>
      <c r="S84" s="23">
        <f>F84/S$1</f>
        <v>1.4940217494353827E-2</v>
      </c>
      <c r="T84" s="23">
        <f>1-(G84/T$1)</f>
        <v>0.9960371873268532</v>
      </c>
      <c r="U84" s="97">
        <f>T84/U$1</f>
        <v>7.6618245178988707E-3</v>
      </c>
      <c r="V84" s="23">
        <f>H84/V$1</f>
        <v>1.3779787612418068E-2</v>
      </c>
      <c r="W84" s="23">
        <f>I84/W$1</f>
        <v>1.215664516342738E-2</v>
      </c>
      <c r="X84" s="23">
        <f>J84/X$1</f>
        <v>1.2401732990883214E-2</v>
      </c>
      <c r="Y84" s="23">
        <f>1-(K84/Y$1)</f>
        <v>0.9967669917554044</v>
      </c>
      <c r="Z84" s="97">
        <f>Y84/Z$1</f>
        <v>7.6674383981184951E-3</v>
      </c>
      <c r="AA84" s="23">
        <f>L84/$AA$1</f>
        <v>1.5704095206635165E-2</v>
      </c>
      <c r="AB84" s="23">
        <f>M84/AB$1</f>
        <v>3.1210716899003732E-2</v>
      </c>
      <c r="AC84" s="23">
        <f>N84/AC$1</f>
        <v>1.8065358967359505E-2</v>
      </c>
      <c r="AD84" s="23">
        <f>O84/AD$1</f>
        <v>1.7592232272515853E-2</v>
      </c>
      <c r="AE84" s="27">
        <f>('Modelo AHP'!$U$37*aux!P84)+('Modelo AHP'!$U$38*aux!R84)+('Modelo AHP'!$U$39*aux!S84)</f>
        <v>1.2544289308863477E-2</v>
      </c>
      <c r="AF84" s="28">
        <f>aux!U84</f>
        <v>7.6618245178988707E-3</v>
      </c>
      <c r="AG84" s="27">
        <f>('Modelo AHP'!$U$47*aux!V84)+('Modelo AHP'!$U$48*aux!W84)+('Modelo AHP'!$U$49*aux!X84)</f>
        <v>1.252622058124497E-2</v>
      </c>
      <c r="AH84" s="28">
        <f>Z84</f>
        <v>7.6674383981184951E-3</v>
      </c>
      <c r="AI84" s="27">
        <f>('Modelo AHP'!$U$56*aux!AA84)+('Modelo AHP'!$U$57*aux!AB84)+('Modelo AHP'!$U$58*aux!AC84)+('Modelo AHP'!$U$59*aux!AD84)</f>
        <v>2.4108126768215218E-2</v>
      </c>
      <c r="AJ84" s="29">
        <f>('Modelo AHP'!$U$23*aux!AE84)+('Modelo AHP'!$U$24*aux!AF84)+('Modelo AHP'!$U$25*aux!AG84)+('Modelo AHP'!$U$26*aux!AH84)+('Modelo AHP'!$U$27*aux!AI84)</f>
        <v>1.1679027199575387E-2</v>
      </c>
    </row>
    <row r="85" spans="1:36">
      <c r="A85" s="1">
        <f>_xlfn.RANK.EQ(AJ85,AJ$5:AJ$135)</f>
        <v>1</v>
      </c>
      <c r="B85" s="16" t="s">
        <v>99</v>
      </c>
      <c r="C85" s="17" t="s">
        <v>101</v>
      </c>
      <c r="D85" s="143">
        <v>0.22000645690019124</v>
      </c>
      <c r="E85" s="18">
        <v>82.14</v>
      </c>
      <c r="F85" s="143">
        <v>0.63150608168243394</v>
      </c>
      <c r="G85" s="159">
        <v>21224.791361267176</v>
      </c>
      <c r="H85" s="146">
        <v>11.16</v>
      </c>
      <c r="I85" s="146">
        <v>14.13</v>
      </c>
      <c r="J85" s="143">
        <v>7.7258347536776961E-2</v>
      </c>
      <c r="K85" s="161">
        <v>45412.27</v>
      </c>
      <c r="L85" s="143">
        <v>0.10281138582032848</v>
      </c>
      <c r="M85" s="265">
        <v>3327</v>
      </c>
      <c r="N85" s="143">
        <v>0.11904532459606181</v>
      </c>
      <c r="O85" s="143">
        <v>0.1156125249500998</v>
      </c>
      <c r="P85" s="23">
        <f>D85/$P$1</f>
        <v>2.013772264550966E-2</v>
      </c>
      <c r="Q85" s="23">
        <f>1-(E85/Q$1)</f>
        <v>0.99244549332381737</v>
      </c>
      <c r="R85" s="23">
        <f>Q85/R$1</f>
        <v>7.6341961024909066E-3</v>
      </c>
      <c r="S85" s="23">
        <f>F85/S$1</f>
        <v>1.2947209631573491E-2</v>
      </c>
      <c r="T85" s="23">
        <f>1-(G85/T$1)</f>
        <v>0.99618637383038722</v>
      </c>
      <c r="U85" s="97">
        <f>T85/U$1</f>
        <v>7.6629721063875937E-3</v>
      </c>
      <c r="V85" s="23">
        <f>H85/V$1</f>
        <v>1.1340887150043189E-2</v>
      </c>
      <c r="W85" s="23">
        <f>I85/W$1</f>
        <v>1.1701185024470633E-2</v>
      </c>
      <c r="X85" s="23">
        <f>J85/X$1</f>
        <v>1.2401732990883214E-2</v>
      </c>
      <c r="Y85" s="23">
        <f>1-(K85/Y$1)</f>
        <v>0.996586465312153</v>
      </c>
      <c r="Z85" s="97">
        <f>Y85/Z$1</f>
        <v>7.6660497331704075E-3</v>
      </c>
      <c r="AA85" s="23">
        <f>L85/$AA$1</f>
        <v>1.5704095206635165E-2</v>
      </c>
      <c r="AB85" s="23">
        <f>M85/AB$1</f>
        <v>3.1210716899003732E-2</v>
      </c>
      <c r="AC85" s="23">
        <f>N85/AC$1</f>
        <v>1.8065358967359505E-2</v>
      </c>
      <c r="AD85" s="23">
        <f>O85/AD$1</f>
        <v>1.7592232272515853E-2</v>
      </c>
      <c r="AE85" s="27">
        <f>('Modelo AHP'!$U$37*aux!P85)+('Modelo AHP'!$U$38*aux!R85)+('Modelo AHP'!$U$39*aux!S85)</f>
        <v>1.4573062182846083E-2</v>
      </c>
      <c r="AF85" s="28">
        <f>aux!U85</f>
        <v>7.6629721063875937E-3</v>
      </c>
      <c r="AG85" s="27">
        <f>('Modelo AHP'!$U$47*aux!V85)+('Modelo AHP'!$U$48*aux!W85)+('Modelo AHP'!$U$49*aux!X85)</f>
        <v>1.1911594643898541E-2</v>
      </c>
      <c r="AH85" s="28">
        <f>Z85</f>
        <v>7.6660497331704075E-3</v>
      </c>
      <c r="AI85" s="27">
        <f>('Modelo AHP'!$U$56*aux!AA85)+('Modelo AHP'!$U$57*aux!AB85)+('Modelo AHP'!$U$58*aux!AC85)+('Modelo AHP'!$U$59*aux!AD85)</f>
        <v>2.4108126768215218E-2</v>
      </c>
      <c r="AJ85" s="29">
        <f>('Modelo AHP'!$U$23*aux!AE85)+('Modelo AHP'!$U$24*aux!AF85)+('Modelo AHP'!$U$25*aux!AG85)+('Modelo AHP'!$U$26*aux!AH85)+('Modelo AHP'!$U$27*aux!AI85)</f>
        <v>1.1807831237438712E-2</v>
      </c>
    </row>
    <row r="86" spans="1:36">
      <c r="A86" s="1">
        <f>_xlfn.RANK.EQ(AJ86,AJ$5:AJ$135)</f>
        <v>7</v>
      </c>
      <c r="B86" s="16" t="s">
        <v>99</v>
      </c>
      <c r="C86" s="17" t="s">
        <v>102</v>
      </c>
      <c r="D86" s="143">
        <v>9.6977488719150975E-2</v>
      </c>
      <c r="E86" s="18">
        <v>82.77</v>
      </c>
      <c r="F86" s="143">
        <v>0.54308800162277293</v>
      </c>
      <c r="G86" s="159">
        <v>28754.311781987919</v>
      </c>
      <c r="H86" s="146">
        <v>9.6999999999999993</v>
      </c>
      <c r="I86" s="146">
        <v>10.66</v>
      </c>
      <c r="J86" s="143">
        <v>7.7258347536776961E-2</v>
      </c>
      <c r="K86" s="161">
        <v>44166.15</v>
      </c>
      <c r="L86" s="143">
        <v>0.10281138582032848</v>
      </c>
      <c r="M86" s="265">
        <v>3327</v>
      </c>
      <c r="N86" s="143">
        <v>0.11904532459606181</v>
      </c>
      <c r="O86" s="143">
        <v>0.1156125249500998</v>
      </c>
      <c r="P86" s="23">
        <f>D86/$P$1</f>
        <v>8.8765838884913503E-3</v>
      </c>
      <c r="Q86" s="23">
        <f>1-(E86/Q$1)</f>
        <v>0.99238755152681235</v>
      </c>
      <c r="R86" s="23">
        <f>Q86/R$1</f>
        <v>7.6337503963600983E-3</v>
      </c>
      <c r="S86" s="23">
        <f>F86/S$1</f>
        <v>1.1134452081077962E-2</v>
      </c>
      <c r="T86" s="23">
        <f>1-(G86/T$1)</f>
        <v>0.99483348533163407</v>
      </c>
      <c r="U86" s="97">
        <f>T86/U$1</f>
        <v>7.6525652717818003E-3</v>
      </c>
      <c r="V86" s="23">
        <f>H86/V$1</f>
        <v>9.8572227020984685E-3</v>
      </c>
      <c r="W86" s="23">
        <f>I86/W$1</f>
        <v>8.8276456023253323E-3</v>
      </c>
      <c r="X86" s="23">
        <f>J86/X$1</f>
        <v>1.2401732990883214E-2</v>
      </c>
      <c r="Y86" s="23">
        <f>1-(K86/Y$1)</f>
        <v>0.99668013325355342</v>
      </c>
      <c r="Z86" s="97">
        <f>Y86/Z$1</f>
        <v>7.6667702557965652E-3</v>
      </c>
      <c r="AA86" s="23">
        <f>L86/$AA$1</f>
        <v>1.5704095206635165E-2</v>
      </c>
      <c r="AB86" s="23">
        <f>M86/AB$1</f>
        <v>3.1210716899003732E-2</v>
      </c>
      <c r="AC86" s="23">
        <f>N86/AC$1</f>
        <v>1.8065358967359505E-2</v>
      </c>
      <c r="AD86" s="23">
        <f>O86/AD$1</f>
        <v>1.7592232272515853E-2</v>
      </c>
      <c r="AE86" s="27">
        <f>('Modelo AHP'!$U$37*aux!P86)+('Modelo AHP'!$U$38*aux!R86)+('Modelo AHP'!$U$39*aux!S86)</f>
        <v>1.0107021454830192E-2</v>
      </c>
      <c r="AF86" s="28">
        <f>aux!U86</f>
        <v>7.6525652717818003E-3</v>
      </c>
      <c r="AG86" s="27">
        <f>('Modelo AHP'!$U$47*aux!V86)+('Modelo AHP'!$U$48*aux!W86)+('Modelo AHP'!$U$49*aux!X86)</f>
        <v>1.0386347765462626E-2</v>
      </c>
      <c r="AH86" s="28">
        <f>Z86</f>
        <v>7.6667702557965652E-3</v>
      </c>
      <c r="AI86" s="27">
        <f>('Modelo AHP'!$U$56*aux!AA86)+('Modelo AHP'!$U$57*aux!AB86)+('Modelo AHP'!$U$58*aux!AC86)+('Modelo AHP'!$U$59*aux!AD86)</f>
        <v>2.4108126768215218E-2</v>
      </c>
      <c r="AJ86" s="29">
        <f>('Modelo AHP'!$U$23*aux!AE86)+('Modelo AHP'!$U$24*aux!AF86)+('Modelo AHP'!$U$25*aux!AG86)+('Modelo AHP'!$U$26*aux!AH86)+('Modelo AHP'!$U$27*aux!AI86)</f>
        <v>1.053799687845235E-2</v>
      </c>
    </row>
    <row r="87" spans="1:36">
      <c r="A87" s="1">
        <f>_xlfn.RANK.EQ(AJ87,AJ$5:AJ$135)</f>
        <v>6</v>
      </c>
      <c r="B87" s="16" t="s">
        <v>99</v>
      </c>
      <c r="C87" s="17" t="s">
        <v>103</v>
      </c>
      <c r="D87" s="143">
        <v>7.4216524216524207E-2</v>
      </c>
      <c r="E87" s="18">
        <v>82.31</v>
      </c>
      <c r="F87" s="143">
        <v>0.62468521685061407</v>
      </c>
      <c r="G87" s="159">
        <v>26632.09036753347</v>
      </c>
      <c r="H87" s="146">
        <v>10.87</v>
      </c>
      <c r="I87" s="146">
        <v>11.93</v>
      </c>
      <c r="J87" s="143">
        <v>7.7258347536776961E-2</v>
      </c>
      <c r="K87" s="161">
        <v>42372.63</v>
      </c>
      <c r="L87" s="143">
        <v>0.10281138582032848</v>
      </c>
      <c r="M87" s="265">
        <v>3327</v>
      </c>
      <c r="N87" s="143">
        <v>0.11904532459606181</v>
      </c>
      <c r="O87" s="143">
        <v>0.1156125249500998</v>
      </c>
      <c r="P87" s="23">
        <f>D87/$P$1</f>
        <v>6.7932178057125764E-3</v>
      </c>
      <c r="Q87" s="23">
        <f>1-(E87/Q$1)</f>
        <v>0.99242985823573671</v>
      </c>
      <c r="R87" s="23">
        <f>Q87/R$1</f>
        <v>7.6340758325825937E-3</v>
      </c>
      <c r="S87" s="23">
        <f>F87/S$1</f>
        <v>1.2807367483718123E-2</v>
      </c>
      <c r="T87" s="23">
        <f>1-(G87/T$1)</f>
        <v>0.99521480164170362</v>
      </c>
      <c r="U87" s="97">
        <f>T87/U$1</f>
        <v>7.6554984741669507E-3</v>
      </c>
      <c r="V87" s="23">
        <f>H87/V$1</f>
        <v>1.1046186677506223E-2</v>
      </c>
      <c r="W87" s="23">
        <f>I87/W$1</f>
        <v>9.8793444686436395E-3</v>
      </c>
      <c r="X87" s="23">
        <f>J87/X$1</f>
        <v>1.2401732990883214E-2</v>
      </c>
      <c r="Y87" s="23">
        <f>1-(K87/Y$1)</f>
        <v>0.99681494797947112</v>
      </c>
      <c r="Z87" s="97">
        <f>Y87/Z$1</f>
        <v>7.6678072921497779E-3</v>
      </c>
      <c r="AA87" s="23">
        <f>L87/$AA$1</f>
        <v>1.5704095206635165E-2</v>
      </c>
      <c r="AB87" s="23">
        <f>M87/AB$1</f>
        <v>3.1210716899003732E-2</v>
      </c>
      <c r="AC87" s="23">
        <f>N87/AC$1</f>
        <v>1.8065358967359505E-2</v>
      </c>
      <c r="AD87" s="23">
        <f>O87/AD$1</f>
        <v>1.7592232272515853E-2</v>
      </c>
      <c r="AE87" s="27">
        <f>('Modelo AHP'!$U$37*aux!P87)+('Modelo AHP'!$U$38*aux!R87)+('Modelo AHP'!$U$39*aux!S87)</f>
        <v>1.0485793415202905E-2</v>
      </c>
      <c r="AF87" s="28">
        <f>aux!U87</f>
        <v>7.6554984741669507E-3</v>
      </c>
      <c r="AG87" s="27">
        <f>('Modelo AHP'!$U$47*aux!V87)+('Modelo AHP'!$U$48*aux!W87)+('Modelo AHP'!$U$49*aux!X87)</f>
        <v>1.1053874217184111E-2</v>
      </c>
      <c r="AH87" s="28">
        <f>Z87</f>
        <v>7.6678072921497779E-3</v>
      </c>
      <c r="AI87" s="27">
        <f>('Modelo AHP'!$U$56*aux!AA87)+('Modelo AHP'!$U$57*aux!AB87)+('Modelo AHP'!$U$58*aux!AC87)+('Modelo AHP'!$U$59*aux!AD87)</f>
        <v>2.4108126768215218E-2</v>
      </c>
      <c r="AJ87" s="29">
        <f>('Modelo AHP'!$U$23*aux!AE87)+('Modelo AHP'!$U$24*aux!AF87)+('Modelo AHP'!$U$25*aux!AG87)+('Modelo AHP'!$U$26*aux!AH87)+('Modelo AHP'!$U$27*aux!AI87)</f>
        <v>1.0830343417225285E-2</v>
      </c>
    </row>
    <row r="88" spans="1:36">
      <c r="A88" s="1">
        <f>_xlfn.RANK.EQ(AJ88,AJ$5:AJ$135)</f>
        <v>4</v>
      </c>
      <c r="B88" s="16" t="s">
        <v>99</v>
      </c>
      <c r="C88" s="17" t="s">
        <v>104</v>
      </c>
      <c r="D88" s="143">
        <v>9.7570589078400452E-2</v>
      </c>
      <c r="E88" s="18">
        <v>81.260000000000005</v>
      </c>
      <c r="F88" s="143">
        <v>0.67186634668635781</v>
      </c>
      <c r="G88" s="159">
        <v>23824.701185007209</v>
      </c>
      <c r="H88" s="146">
        <v>12.19</v>
      </c>
      <c r="I88" s="146">
        <v>13.76</v>
      </c>
      <c r="J88" s="143">
        <v>7.7258347536776961E-2</v>
      </c>
      <c r="K88" s="161">
        <v>39888.36</v>
      </c>
      <c r="L88" s="143">
        <v>0.10281138582032848</v>
      </c>
      <c r="M88" s="265">
        <v>3327</v>
      </c>
      <c r="N88" s="143">
        <v>0.11904532459606181</v>
      </c>
      <c r="O88" s="143">
        <v>0.1156125249500998</v>
      </c>
      <c r="P88" s="23">
        <f>D88/$P$1</f>
        <v>8.930871797600019E-3</v>
      </c>
      <c r="Q88" s="23">
        <f>1-(E88/Q$1)</f>
        <v>0.99252642789741174</v>
      </c>
      <c r="R88" s="23">
        <f>Q88/R$1</f>
        <v>7.6348186761339394E-3</v>
      </c>
      <c r="S88" s="23">
        <f>F88/S$1</f>
        <v>1.3774680382764828E-2</v>
      </c>
      <c r="T88" s="23">
        <f>1-(G88/T$1)</f>
        <v>0.99571922746490904</v>
      </c>
      <c r="U88" s="97">
        <f>T88/U$1</f>
        <v>7.659378672806993E-3</v>
      </c>
      <c r="V88" s="23">
        <f>H88/V$1</f>
        <v>1.2387581931812407E-2</v>
      </c>
      <c r="W88" s="23">
        <f>I88/W$1</f>
        <v>1.1394784567354274E-2</v>
      </c>
      <c r="X88" s="23">
        <f>J88/X$1</f>
        <v>1.2401732990883214E-2</v>
      </c>
      <c r="Y88" s="23">
        <f>1-(K88/Y$1)</f>
        <v>0.99700168477591355</v>
      </c>
      <c r="Z88" s="97">
        <f>Y88/Z$1</f>
        <v>7.669243729045489E-3</v>
      </c>
      <c r="AA88" s="23">
        <f>L88/$AA$1</f>
        <v>1.5704095206635165E-2</v>
      </c>
      <c r="AB88" s="23">
        <f>M88/AB$1</f>
        <v>3.1210716899003732E-2</v>
      </c>
      <c r="AC88" s="23">
        <f>N88/AC$1</f>
        <v>1.8065358967359505E-2</v>
      </c>
      <c r="AD88" s="23">
        <f>O88/AD$1</f>
        <v>1.7592232272515853E-2</v>
      </c>
      <c r="AE88" s="27">
        <f>('Modelo AHP'!$U$37*aux!P88)+('Modelo AHP'!$U$38*aux!R88)+('Modelo AHP'!$U$39*aux!S88)</f>
        <v>1.1707551636552297E-2</v>
      </c>
      <c r="AF88" s="28">
        <f>aux!U88</f>
        <v>7.659378672806993E-3</v>
      </c>
      <c r="AG88" s="27">
        <f>('Modelo AHP'!$U$47*aux!V88)+('Modelo AHP'!$U$48*aux!W88)+('Modelo AHP'!$U$49*aux!X88)</f>
        <v>1.1952828386003443E-2</v>
      </c>
      <c r="AH88" s="28">
        <f>Z88</f>
        <v>7.669243729045489E-3</v>
      </c>
      <c r="AI88" s="27">
        <f>('Modelo AHP'!$U$56*aux!AA88)+('Modelo AHP'!$U$57*aux!AB88)+('Modelo AHP'!$U$58*aux!AC88)+('Modelo AHP'!$U$59*aux!AD88)</f>
        <v>2.4108126768215218E-2</v>
      </c>
      <c r="AJ88" s="29">
        <f>('Modelo AHP'!$U$23*aux!AE88)+('Modelo AHP'!$U$24*aux!AF88)+('Modelo AHP'!$U$25*aux!AG88)+('Modelo AHP'!$U$26*aux!AH88)+('Modelo AHP'!$U$27*aux!AI88)</f>
        <v>1.1342792012593741E-2</v>
      </c>
    </row>
    <row r="89" spans="1:36">
      <c r="A89" s="1">
        <f>_xlfn.RANK.EQ(AJ89,AJ$5:AJ$135)</f>
        <v>5</v>
      </c>
      <c r="B89" s="16" t="s">
        <v>99</v>
      </c>
      <c r="C89" s="17" t="s">
        <v>105</v>
      </c>
      <c r="D89" s="143">
        <v>0.1534015213374017</v>
      </c>
      <c r="E89" s="18">
        <v>82.83</v>
      </c>
      <c r="F89" s="143">
        <v>0.5982979431169263</v>
      </c>
      <c r="G89" s="159">
        <v>24872.53869842914</v>
      </c>
      <c r="H89" s="146">
        <v>11.28</v>
      </c>
      <c r="I89" s="146">
        <v>12.91</v>
      </c>
      <c r="J89" s="143">
        <v>7.7258347536776961E-2</v>
      </c>
      <c r="K89" s="161">
        <v>46440.28</v>
      </c>
      <c r="L89" s="143">
        <v>0.10281138582032848</v>
      </c>
      <c r="M89" s="265">
        <v>3327</v>
      </c>
      <c r="N89" s="143">
        <v>0.11904532459606181</v>
      </c>
      <c r="O89" s="143">
        <v>0.1156125249500998</v>
      </c>
      <c r="P89" s="23">
        <f>D89/$P$1</f>
        <v>1.404121194267159E-2</v>
      </c>
      <c r="Q89" s="23">
        <f>1-(E89/Q$1)</f>
        <v>0.99238203326043095</v>
      </c>
      <c r="R89" s="23">
        <f>Q89/R$1</f>
        <v>7.6337079481571648E-3</v>
      </c>
      <c r="S89" s="23">
        <f>F89/S$1</f>
        <v>1.2266372591435247E-2</v>
      </c>
      <c r="T89" s="23">
        <f>1-(G89/T$1)</f>
        <v>0.99553095420960724</v>
      </c>
      <c r="U89" s="97">
        <f>T89/U$1</f>
        <v>7.6579304169969789E-3</v>
      </c>
      <c r="V89" s="23">
        <f>H89/V$1</f>
        <v>1.1462832173161932E-2</v>
      </c>
      <c r="W89" s="23">
        <f>I89/W$1</f>
        <v>1.0690891625330209E-2</v>
      </c>
      <c r="X89" s="23">
        <f>J89/X$1</f>
        <v>1.2401732990883214E-2</v>
      </c>
      <c r="Y89" s="23">
        <f>1-(K89/Y$1)</f>
        <v>0.99650919219203693</v>
      </c>
      <c r="Z89" s="97">
        <f>Y89/Z$1</f>
        <v>7.6654553245541299E-3</v>
      </c>
      <c r="AA89" s="23">
        <f>L89/$AA$1</f>
        <v>1.5704095206635165E-2</v>
      </c>
      <c r="AB89" s="23">
        <f>M89/AB$1</f>
        <v>3.1210716899003732E-2</v>
      </c>
      <c r="AC89" s="23">
        <f>N89/AC$1</f>
        <v>1.8065358967359505E-2</v>
      </c>
      <c r="AD89" s="23">
        <f>O89/AD$1</f>
        <v>1.7592232272515853E-2</v>
      </c>
      <c r="AE89" s="27">
        <f>('Modelo AHP'!$U$37*aux!P89)+('Modelo AHP'!$U$38*aux!R89)+('Modelo AHP'!$U$39*aux!S89)</f>
        <v>1.2335557932478342E-2</v>
      </c>
      <c r="AF89" s="28">
        <f>aux!U89</f>
        <v>7.6579304169969789E-3</v>
      </c>
      <c r="AG89" s="27">
        <f>('Modelo AHP'!$U$47*aux!V89)+('Modelo AHP'!$U$48*aux!W89)+('Modelo AHP'!$U$49*aux!X89)</f>
        <v>1.1484234219430154E-2</v>
      </c>
      <c r="AH89" s="28">
        <f>Z89</f>
        <v>7.6654553245541299E-3</v>
      </c>
      <c r="AI89" s="27">
        <f>('Modelo AHP'!$U$56*aux!AA89)+('Modelo AHP'!$U$57*aux!AB89)+('Modelo AHP'!$U$58*aux!AC89)+('Modelo AHP'!$U$59*aux!AD89)</f>
        <v>2.4108126768215218E-2</v>
      </c>
      <c r="AJ89" s="29">
        <f>('Modelo AHP'!$U$23*aux!AE89)+('Modelo AHP'!$U$24*aux!AF89)+('Modelo AHP'!$U$25*aux!AG89)+('Modelo AHP'!$U$26*aux!AH89)+('Modelo AHP'!$U$27*aux!AI89)</f>
        <v>1.1286714191742974E-2</v>
      </c>
    </row>
    <row r="90" spans="1:36">
      <c r="A90" s="1">
        <f>_xlfn.RANK.EQ(AJ90,AJ$5:AJ$135)</f>
        <v>51</v>
      </c>
      <c r="B90" s="16" t="s">
        <v>106</v>
      </c>
      <c r="C90" s="17" t="s">
        <v>107</v>
      </c>
      <c r="D90" s="143">
        <v>5.0655214183459973E-2</v>
      </c>
      <c r="E90" s="18">
        <v>81</v>
      </c>
      <c r="F90" s="143">
        <v>0.46670485464699984</v>
      </c>
      <c r="G90" s="159">
        <v>34024.524138897541</v>
      </c>
      <c r="H90" s="146">
        <v>10.24</v>
      </c>
      <c r="I90" s="146">
        <v>10.199999999999999</v>
      </c>
      <c r="J90" s="143">
        <v>5.7107809731497886E-2</v>
      </c>
      <c r="K90" s="161">
        <v>98890.1</v>
      </c>
      <c r="L90" s="143">
        <v>3.9160675667777194E-2</v>
      </c>
      <c r="M90" s="265">
        <v>520</v>
      </c>
      <c r="N90" s="143">
        <v>3.7294015611448399E-2</v>
      </c>
      <c r="O90" s="143">
        <v>4.3444361277445109E-2</v>
      </c>
      <c r="P90" s="23">
        <f>D90/$P$1</f>
        <v>4.6365941624984973E-3</v>
      </c>
      <c r="Q90" s="23">
        <f>1-(E90/Q$1)</f>
        <v>0.99255034038506462</v>
      </c>
      <c r="R90" s="23">
        <f>Q90/R$1</f>
        <v>7.6350026183466544E-3</v>
      </c>
      <c r="S90" s="23">
        <f>F90/S$1</f>
        <v>9.5684360997592942E-3</v>
      </c>
      <c r="T90" s="23">
        <f>1-(G90/T$1)</f>
        <v>0.99388654458570969</v>
      </c>
      <c r="U90" s="97">
        <f>T90/U$1</f>
        <v>7.645281112197767E-3</v>
      </c>
      <c r="V90" s="23">
        <f>H90/V$1</f>
        <v>1.0405975306132818E-2</v>
      </c>
      <c r="W90" s="23">
        <f>I90/W$1</f>
        <v>8.4467153042887787E-3</v>
      </c>
      <c r="X90" s="23">
        <f>J90/X$1</f>
        <v>9.1671104879257267E-3</v>
      </c>
      <c r="Y90" s="23">
        <f>1-(K90/Y$1)</f>
        <v>0.99256666124299331</v>
      </c>
      <c r="Z90" s="97">
        <f>Y90/Z$1</f>
        <v>7.6351281634076404E-3</v>
      </c>
      <c r="AA90" s="23">
        <f>L90/$AA$1</f>
        <v>5.9816621878598973E-3</v>
      </c>
      <c r="AB90" s="23">
        <f>M90/AB$1</f>
        <v>4.8781403028199406E-3</v>
      </c>
      <c r="AC90" s="23">
        <f>N90/AC$1</f>
        <v>5.6594392231798128E-3</v>
      </c>
      <c r="AD90" s="23">
        <f>O90/AD$1</f>
        <v>6.610730929488693E-3</v>
      </c>
      <c r="AE90" s="27">
        <f>('Modelo AHP'!$U$37*aux!P90)+('Modelo AHP'!$U$38*aux!R90)+('Modelo AHP'!$U$39*aux!S90)</f>
        <v>7.8955401704397903E-3</v>
      </c>
      <c r="AF90" s="28">
        <f>aux!U90</f>
        <v>7.645281112197767E-3</v>
      </c>
      <c r="AG90" s="27">
        <f>('Modelo AHP'!$U$47*aux!V90)+('Modelo AHP'!$U$48*aux!W90)+('Modelo AHP'!$U$49*aux!X90)</f>
        <v>9.0572820611641344E-3</v>
      </c>
      <c r="AH90" s="28">
        <f>Z90</f>
        <v>7.6351281634076404E-3</v>
      </c>
      <c r="AI90" s="27">
        <f>('Modelo AHP'!$U$56*aux!AA90)+('Modelo AHP'!$U$57*aux!AB90)+('Modelo AHP'!$U$58*aux!AC90)+('Modelo AHP'!$U$59*aux!AD90)</f>
        <v>5.4456690266312929E-3</v>
      </c>
      <c r="AJ90" s="29">
        <f>('Modelo AHP'!$U$23*aux!AE90)+('Modelo AHP'!$U$24*aux!AF90)+('Modelo AHP'!$U$25*aux!AG90)+('Modelo AHP'!$U$26*aux!AH90)+('Modelo AHP'!$U$27*aux!AI90)</f>
        <v>7.9628747609189823E-3</v>
      </c>
    </row>
    <row r="91" spans="1:36">
      <c r="A91" s="1">
        <f>_xlfn.RANK.EQ(AJ91,AJ$5:AJ$135)</f>
        <v>72</v>
      </c>
      <c r="B91" s="16" t="s">
        <v>106</v>
      </c>
      <c r="C91" s="17" t="s">
        <v>108</v>
      </c>
      <c r="D91" s="143">
        <v>1.9285488460322478E-2</v>
      </c>
      <c r="E91" s="18">
        <v>82.23</v>
      </c>
      <c r="F91" s="143">
        <v>0.29066157153092909</v>
      </c>
      <c r="G91" s="159">
        <v>45040.730192217532</v>
      </c>
      <c r="H91" s="146">
        <v>8.3800000000000008</v>
      </c>
      <c r="I91" s="146">
        <v>9.24</v>
      </c>
      <c r="J91" s="143">
        <v>5.7107809731497886E-2</v>
      </c>
      <c r="K91" s="161">
        <v>96989.93</v>
      </c>
      <c r="L91" s="143">
        <v>3.9160675667777194E-2</v>
      </c>
      <c r="M91" s="265">
        <v>520</v>
      </c>
      <c r="N91" s="143">
        <v>3.7294015611448399E-2</v>
      </c>
      <c r="O91" s="143">
        <v>4.3444361277445109E-2</v>
      </c>
      <c r="P91" s="23">
        <f>D91/$P$1</f>
        <v>1.7652473621414589E-3</v>
      </c>
      <c r="Q91" s="23">
        <f>1-(E91/Q$1)</f>
        <v>0.99243721592424528</v>
      </c>
      <c r="R91" s="23">
        <f>Q91/R$1</f>
        <v>7.6341324301865054E-3</v>
      </c>
      <c r="S91" s="23">
        <f>F91/S$1</f>
        <v>5.9591766534181443E-3</v>
      </c>
      <c r="T91" s="23">
        <f>1-(G91/T$1)</f>
        <v>0.99190717569676712</v>
      </c>
      <c r="U91" s="97">
        <f>T91/U$1</f>
        <v>7.630055197667439E-3</v>
      </c>
      <c r="V91" s="23">
        <f>H91/V$1</f>
        <v>8.5158274477922877E-3</v>
      </c>
      <c r="W91" s="23">
        <f>I91/W$1</f>
        <v>7.6517303344733646E-3</v>
      </c>
      <c r="X91" s="23">
        <f>J91/X$1</f>
        <v>9.1671104879257267E-3</v>
      </c>
      <c r="Y91" s="23">
        <f>1-(K91/Y$1)</f>
        <v>0.99270949260129815</v>
      </c>
      <c r="Z91" s="97">
        <f>Y91/Z$1</f>
        <v>7.6362268661638319E-3</v>
      </c>
      <c r="AA91" s="23">
        <f>L91/$AA$1</f>
        <v>5.9816621878598973E-3</v>
      </c>
      <c r="AB91" s="23">
        <f>M91/AB$1</f>
        <v>4.8781403028199406E-3</v>
      </c>
      <c r="AC91" s="23">
        <f>N91/AC$1</f>
        <v>5.6594392231798128E-3</v>
      </c>
      <c r="AD91" s="23">
        <f>O91/AD$1</f>
        <v>6.610730929488693E-3</v>
      </c>
      <c r="AE91" s="27">
        <f>('Modelo AHP'!$U$37*aux!P91)+('Modelo AHP'!$U$38*aux!R91)+('Modelo AHP'!$U$39*aux!S91)</f>
        <v>4.8684934437119749E-3</v>
      </c>
      <c r="AF91" s="28">
        <f>aux!U91</f>
        <v>7.630055197667439E-3</v>
      </c>
      <c r="AG91" s="27">
        <f>('Modelo AHP'!$U$47*aux!V91)+('Modelo AHP'!$U$48*aux!W91)+('Modelo AHP'!$U$49*aux!X91)</f>
        <v>8.3849498003916462E-3</v>
      </c>
      <c r="AH91" s="28">
        <f>Z91</f>
        <v>7.6362268661638319E-3</v>
      </c>
      <c r="AI91" s="27">
        <f>('Modelo AHP'!$U$56*aux!AA91)+('Modelo AHP'!$U$57*aux!AB91)+('Modelo AHP'!$U$58*aux!AC91)+('Modelo AHP'!$U$59*aux!AD91)</f>
        <v>5.4456690266312929E-3</v>
      </c>
      <c r="AJ91" s="29">
        <f>('Modelo AHP'!$U$23*aux!AE91)+('Modelo AHP'!$U$24*aux!AF91)+('Modelo AHP'!$U$25*aux!AG91)+('Modelo AHP'!$U$26*aux!AH91)+('Modelo AHP'!$U$27*aux!AI91)</f>
        <v>7.2231233982295783E-3</v>
      </c>
    </row>
    <row r="92" spans="1:36">
      <c r="A92" s="1">
        <f>_xlfn.RANK.EQ(AJ92,AJ$5:AJ$135)</f>
        <v>64</v>
      </c>
      <c r="B92" s="16" t="s">
        <v>106</v>
      </c>
      <c r="C92" s="17" t="s">
        <v>109</v>
      </c>
      <c r="D92" s="143">
        <v>3.6562203228869897E-2</v>
      </c>
      <c r="E92" s="18">
        <v>83.47</v>
      </c>
      <c r="F92" s="143">
        <v>0.3832678530159464</v>
      </c>
      <c r="G92" s="159">
        <v>40428.409853051293</v>
      </c>
      <c r="H92" s="146">
        <v>7.71</v>
      </c>
      <c r="I92" s="146">
        <v>8.7899999999999991</v>
      </c>
      <c r="J92" s="143">
        <v>5.7107809731497886E-2</v>
      </c>
      <c r="K92" s="161">
        <v>81953.86</v>
      </c>
      <c r="L92" s="143">
        <v>3.9160675667777194E-2</v>
      </c>
      <c r="M92" s="265">
        <v>520</v>
      </c>
      <c r="N92" s="143">
        <v>3.7294015611448399E-2</v>
      </c>
      <c r="O92" s="143">
        <v>4.3444361277445109E-2</v>
      </c>
      <c r="P92" s="23">
        <f>D92/$P$1</f>
        <v>3.3466268140746542E-3</v>
      </c>
      <c r="Q92" s="23">
        <f>1-(E92/Q$1)</f>
        <v>0.99232317175236229</v>
      </c>
      <c r="R92" s="23">
        <f>Q92/R$1</f>
        <v>7.633255167325867E-3</v>
      </c>
      <c r="S92" s="23">
        <f>F92/S$1</f>
        <v>7.8578011866810883E-3</v>
      </c>
      <c r="T92" s="23">
        <f>1-(G92/T$1)</f>
        <v>0.99273590777939114</v>
      </c>
      <c r="U92" s="97">
        <f>T92/U$1</f>
        <v>7.6364300598414699E-3</v>
      </c>
      <c r="V92" s="23">
        <f>H92/V$1</f>
        <v>7.8349677353792991E-3</v>
      </c>
      <c r="W92" s="23">
        <f>I92/W$1</f>
        <v>7.2790811298723878E-3</v>
      </c>
      <c r="X92" s="23">
        <f>J92/X$1</f>
        <v>9.1671104879257267E-3</v>
      </c>
      <c r="Y92" s="23">
        <f>1-(K92/Y$1)</f>
        <v>0.99383971900297097</v>
      </c>
      <c r="Z92" s="97">
        <f>Y92/Z$1</f>
        <v>7.6449209154074689E-3</v>
      </c>
      <c r="AA92" s="23">
        <f>L92/$AA$1</f>
        <v>5.9816621878598973E-3</v>
      </c>
      <c r="AB92" s="23">
        <f>M92/AB$1</f>
        <v>4.8781403028199406E-3</v>
      </c>
      <c r="AC92" s="23">
        <f>N92/AC$1</f>
        <v>5.6594392231798128E-3</v>
      </c>
      <c r="AD92" s="23">
        <f>O92/AD$1</f>
        <v>6.610730929488693E-3</v>
      </c>
      <c r="AE92" s="27">
        <f>('Modelo AHP'!$U$37*aux!P92)+('Modelo AHP'!$U$38*aux!R92)+('Modelo AHP'!$U$39*aux!S92)</f>
        <v>6.4819942729636357E-3</v>
      </c>
      <c r="AF92" s="28">
        <f>aux!U92</f>
        <v>7.6364300598414699E-3</v>
      </c>
      <c r="AG92" s="27">
        <f>('Modelo AHP'!$U$47*aux!V92)+('Modelo AHP'!$U$48*aux!W92)+('Modelo AHP'!$U$49*aux!X92)</f>
        <v>8.1045049160185876E-3</v>
      </c>
      <c r="AH92" s="28">
        <f>Z92</f>
        <v>7.6449209154074689E-3</v>
      </c>
      <c r="AI92" s="27">
        <f>('Modelo AHP'!$U$56*aux!AA92)+('Modelo AHP'!$U$57*aux!AB92)+('Modelo AHP'!$U$58*aux!AC92)+('Modelo AHP'!$U$59*aux!AD92)</f>
        <v>5.4456690266312929E-3</v>
      </c>
      <c r="AJ92" s="29">
        <f>('Modelo AHP'!$U$23*aux!AE92)+('Modelo AHP'!$U$24*aux!AF92)+('Modelo AHP'!$U$25*aux!AG92)+('Modelo AHP'!$U$26*aux!AH92)+('Modelo AHP'!$U$27*aux!AI92)</f>
        <v>7.3992671938428248E-3</v>
      </c>
    </row>
    <row r="93" spans="1:36">
      <c r="A93" s="1">
        <f>_xlfn.RANK.EQ(AJ93,AJ$5:AJ$135)</f>
        <v>50</v>
      </c>
      <c r="B93" s="16" t="s">
        <v>106</v>
      </c>
      <c r="C93" s="17" t="s">
        <v>110</v>
      </c>
      <c r="D93" s="143">
        <v>5.665371402827054E-2</v>
      </c>
      <c r="E93" s="18">
        <v>83.52</v>
      </c>
      <c r="F93" s="143">
        <v>0.44376234829240757</v>
      </c>
      <c r="G93" s="159">
        <v>35438.871174048836</v>
      </c>
      <c r="H93" s="146">
        <v>9.6199999999999992</v>
      </c>
      <c r="I93" s="146">
        <v>10.73</v>
      </c>
      <c r="J93" s="143">
        <v>5.7107809731497886E-2</v>
      </c>
      <c r="K93" s="161">
        <v>87817.15</v>
      </c>
      <c r="L93" s="143">
        <v>3.9160675667777194E-2</v>
      </c>
      <c r="M93" s="265">
        <v>520</v>
      </c>
      <c r="N93" s="143">
        <v>3.7294015611448399E-2</v>
      </c>
      <c r="O93" s="143">
        <v>4.3444361277445109E-2</v>
      </c>
      <c r="P93" s="23">
        <f>D93/$P$1</f>
        <v>5.1856513486643043E-3</v>
      </c>
      <c r="Q93" s="23">
        <f>1-(E93/Q$1)</f>
        <v>0.99231857319704442</v>
      </c>
      <c r="R93" s="23">
        <f>Q93/R$1</f>
        <v>7.633219793823422E-3</v>
      </c>
      <c r="S93" s="23">
        <f>F93/S$1</f>
        <v>9.098066220730977E-3</v>
      </c>
      <c r="T93" s="23">
        <f>1-(G93/T$1)</f>
        <v>0.99363241766524391</v>
      </c>
      <c r="U93" s="97">
        <f>T93/U$1</f>
        <v>7.6433262897326456E-3</v>
      </c>
      <c r="V93" s="23">
        <f>H93/V$1</f>
        <v>9.7759260200193064E-3</v>
      </c>
      <c r="W93" s="23">
        <f>I93/W$1</f>
        <v>8.8856132563743719E-3</v>
      </c>
      <c r="X93" s="23">
        <f>J93/X$1</f>
        <v>9.1671104879257267E-3</v>
      </c>
      <c r="Y93" s="23">
        <f>1-(K93/Y$1)</f>
        <v>0.99339898913415126</v>
      </c>
      <c r="Z93" s="97">
        <f>Y93/Z$1</f>
        <v>7.6415306856473172E-3</v>
      </c>
      <c r="AA93" s="23">
        <f>L93/$AA$1</f>
        <v>5.9816621878598973E-3</v>
      </c>
      <c r="AB93" s="23">
        <f>M93/AB$1</f>
        <v>4.8781403028199406E-3</v>
      </c>
      <c r="AC93" s="23">
        <f>N93/AC$1</f>
        <v>5.6594392231798128E-3</v>
      </c>
      <c r="AD93" s="23">
        <f>O93/AD$1</f>
        <v>6.610730929488693E-3</v>
      </c>
      <c r="AE93" s="27">
        <f>('Modelo AHP'!$U$37*aux!P93)+('Modelo AHP'!$U$38*aux!R93)+('Modelo AHP'!$U$39*aux!S93)</f>
        <v>7.7778571164202198E-3</v>
      </c>
      <c r="AF93" s="28">
        <f>aux!U93</f>
        <v>7.6433262897326456E-3</v>
      </c>
      <c r="AG93" s="27">
        <f>('Modelo AHP'!$U$47*aux!V93)+('Modelo AHP'!$U$48*aux!W93)+('Modelo AHP'!$U$49*aux!X93)</f>
        <v>9.1452979313290973E-3</v>
      </c>
      <c r="AH93" s="28">
        <f>Z93</f>
        <v>7.6415306856473172E-3</v>
      </c>
      <c r="AI93" s="27">
        <f>('Modelo AHP'!$U$56*aux!AA93)+('Modelo AHP'!$U$57*aux!AB93)+('Modelo AHP'!$U$58*aux!AC93)+('Modelo AHP'!$U$59*aux!AD93)</f>
        <v>5.4456690266312929E-3</v>
      </c>
      <c r="AJ93" s="29">
        <f>('Modelo AHP'!$U$23*aux!AE93)+('Modelo AHP'!$U$24*aux!AF93)+('Modelo AHP'!$U$25*aux!AG93)+('Modelo AHP'!$U$26*aux!AH93)+('Modelo AHP'!$U$27*aux!AI93)</f>
        <v>7.9731630143888496E-3</v>
      </c>
    </row>
    <row r="94" spans="1:36">
      <c r="A94" s="1">
        <f>_xlfn.RANK.EQ(AJ94,AJ$5:AJ$135)</f>
        <v>40</v>
      </c>
      <c r="B94" s="16" t="s">
        <v>106</v>
      </c>
      <c r="C94" s="17" t="s">
        <v>111</v>
      </c>
      <c r="D94" s="143">
        <v>8.5374511892083782E-2</v>
      </c>
      <c r="E94" s="18">
        <v>81.81</v>
      </c>
      <c r="F94" s="143">
        <v>0.53313521545319464</v>
      </c>
      <c r="G94" s="159">
        <v>28013.706874719352</v>
      </c>
      <c r="H94" s="146">
        <v>9.92</v>
      </c>
      <c r="I94" s="146">
        <v>11.84</v>
      </c>
      <c r="J94" s="143">
        <v>5.7107809731497886E-2</v>
      </c>
      <c r="K94" s="161">
        <v>72379.86</v>
      </c>
      <c r="L94" s="143">
        <v>3.9160675667777194E-2</v>
      </c>
      <c r="M94" s="265">
        <v>520</v>
      </c>
      <c r="N94" s="143">
        <v>3.7294015611448399E-2</v>
      </c>
      <c r="O94" s="143">
        <v>4.3444361277445109E-2</v>
      </c>
      <c r="P94" s="23">
        <f>D94/$P$1</f>
        <v>7.8145353809252437E-3</v>
      </c>
      <c r="Q94" s="23">
        <f>1-(E94/Q$1)</f>
        <v>0.99247584378891529</v>
      </c>
      <c r="R94" s="23">
        <f>Q94/R$1</f>
        <v>7.6344295676070437E-3</v>
      </c>
      <c r="S94" s="23">
        <f>F94/S$1</f>
        <v>1.0930398925148806E-2</v>
      </c>
      <c r="T94" s="23">
        <f>1-(G94/T$1)</f>
        <v>0.99496655567412307</v>
      </c>
      <c r="U94" s="97">
        <f>T94/U$1</f>
        <v>7.6535888898009467E-3</v>
      </c>
      <c r="V94" s="23">
        <f>H94/V$1</f>
        <v>1.0080788577816167E-2</v>
      </c>
      <c r="W94" s="23">
        <f>I94/W$1</f>
        <v>9.8048146277234446E-3</v>
      </c>
      <c r="X94" s="23">
        <f>J94/X$1</f>
        <v>9.1671104879257267E-3</v>
      </c>
      <c r="Y94" s="23">
        <f>1-(K94/Y$1)</f>
        <v>0.99455937430981745</v>
      </c>
      <c r="Z94" s="97">
        <f>Y94/Z$1</f>
        <v>7.6504567254601346E-3</v>
      </c>
      <c r="AA94" s="23">
        <f>L94/$AA$1</f>
        <v>5.9816621878598973E-3</v>
      </c>
      <c r="AB94" s="23">
        <f>M94/AB$1</f>
        <v>4.8781403028199406E-3</v>
      </c>
      <c r="AC94" s="23">
        <f>N94/AC$1</f>
        <v>5.6594392231798128E-3</v>
      </c>
      <c r="AD94" s="23">
        <f>O94/AD$1</f>
        <v>6.610730929488693E-3</v>
      </c>
      <c r="AE94" s="27">
        <f>('Modelo AHP'!$U$37*aux!P94)+('Modelo AHP'!$U$38*aux!R94)+('Modelo AHP'!$U$39*aux!S94)</f>
        <v>9.6660429261275597E-3</v>
      </c>
      <c r="AF94" s="28">
        <f>aux!U94</f>
        <v>7.6535888898009467E-3</v>
      </c>
      <c r="AG94" s="27">
        <f>('Modelo AHP'!$U$47*aux!V94)+('Modelo AHP'!$U$48*aux!W94)+('Modelo AHP'!$U$49*aux!X94)</f>
        <v>9.6044812875982488E-3</v>
      </c>
      <c r="AH94" s="28">
        <f>Z94</f>
        <v>7.6504567254601346E-3</v>
      </c>
      <c r="AI94" s="27">
        <f>('Modelo AHP'!$U$56*aux!AA94)+('Modelo AHP'!$U$57*aux!AB94)+('Modelo AHP'!$U$58*aux!AC94)+('Modelo AHP'!$U$59*aux!AD94)</f>
        <v>5.4456690266312929E-3</v>
      </c>
      <c r="AJ94" s="29">
        <f>('Modelo AHP'!$U$23*aux!AE94)+('Modelo AHP'!$U$24*aux!AF94)+('Modelo AHP'!$U$25*aux!AG94)+('Modelo AHP'!$U$26*aux!AH94)+('Modelo AHP'!$U$27*aux!AI94)</f>
        <v>8.4491692850982725E-3</v>
      </c>
    </row>
    <row r="95" spans="1:36">
      <c r="A95" s="1">
        <f>_xlfn.RANK.EQ(AJ95,AJ$5:AJ$135)</f>
        <v>52</v>
      </c>
      <c r="B95" s="16" t="s">
        <v>106</v>
      </c>
      <c r="C95" s="17" t="s">
        <v>112</v>
      </c>
      <c r="D95" s="143">
        <v>6.6242492715704343E-2</v>
      </c>
      <c r="E95" s="18">
        <v>84.3</v>
      </c>
      <c r="F95" s="143">
        <v>0.48134900357690341</v>
      </c>
      <c r="G95" s="159">
        <v>29156.115996085558</v>
      </c>
      <c r="H95" s="146">
        <v>8.8000000000000007</v>
      </c>
      <c r="I95" s="146">
        <v>9.86</v>
      </c>
      <c r="J95" s="143">
        <v>5.7107809731497886E-2</v>
      </c>
      <c r="K95" s="161">
        <v>74639.28</v>
      </c>
      <c r="L95" s="143">
        <v>3.9160675667777194E-2</v>
      </c>
      <c r="M95" s="265">
        <v>520</v>
      </c>
      <c r="N95" s="143">
        <v>3.7294015611448399E-2</v>
      </c>
      <c r="O95" s="143">
        <v>4.3444361277445109E-2</v>
      </c>
      <c r="P95" s="23">
        <f>D95/$P$1</f>
        <v>6.0633354332014994E-3</v>
      </c>
      <c r="Q95" s="23">
        <f>1-(E95/Q$1)</f>
        <v>0.99224683573408579</v>
      </c>
      <c r="R95" s="23">
        <f>Q95/R$1</f>
        <v>7.632667967185279E-3</v>
      </c>
      <c r="S95" s="23">
        <f>F95/S$1</f>
        <v>9.868672109468523E-3</v>
      </c>
      <c r="T95" s="23">
        <f>1-(G95/T$1)</f>
        <v>0.99476128998988189</v>
      </c>
      <c r="U95" s="97">
        <f>T95/U$1</f>
        <v>7.6520099229990916E-3</v>
      </c>
      <c r="V95" s="23">
        <f>H95/V$1</f>
        <v>8.9426350287078911E-3</v>
      </c>
      <c r="W95" s="23">
        <f>I95/W$1</f>
        <v>8.1651581274791527E-3</v>
      </c>
      <c r="X95" s="23">
        <f>J95/X$1</f>
        <v>9.1671104879257267E-3</v>
      </c>
      <c r="Y95" s="23">
        <f>1-(K95/Y$1)</f>
        <v>0.99438953896477933</v>
      </c>
      <c r="Z95" s="97">
        <f>Y95/Z$1</f>
        <v>7.6491502997290718E-3</v>
      </c>
      <c r="AA95" s="23">
        <f>L95/$AA$1</f>
        <v>5.9816621878598973E-3</v>
      </c>
      <c r="AB95" s="23">
        <f>M95/AB$1</f>
        <v>4.8781403028199406E-3</v>
      </c>
      <c r="AC95" s="23">
        <f>N95/AC$1</f>
        <v>5.6594392231798128E-3</v>
      </c>
      <c r="AD95" s="23">
        <f>O95/AD$1</f>
        <v>6.610730929488693E-3</v>
      </c>
      <c r="AE95" s="27">
        <f>('Modelo AHP'!$U$37*aux!P95)+('Modelo AHP'!$U$38*aux!R95)+('Modelo AHP'!$U$39*aux!S95)</f>
        <v>8.503470692360092E-3</v>
      </c>
      <c r="AF95" s="28">
        <f>aux!U95</f>
        <v>7.6520099229990916E-3</v>
      </c>
      <c r="AG95" s="27">
        <f>('Modelo AHP'!$U$47*aux!V95)+('Modelo AHP'!$U$48*aux!W95)+('Modelo AHP'!$U$49*aux!X95)</f>
        <v>8.684834420829738E-3</v>
      </c>
      <c r="AH95" s="28">
        <f>Z95</f>
        <v>7.6491502997290718E-3</v>
      </c>
      <c r="AI95" s="27">
        <f>('Modelo AHP'!$U$56*aux!AA95)+('Modelo AHP'!$U$57*aux!AB95)+('Modelo AHP'!$U$58*aux!AC95)+('Modelo AHP'!$U$59*aux!AD95)</f>
        <v>5.4456690266312929E-3</v>
      </c>
      <c r="AJ95" s="29">
        <f>('Modelo AHP'!$U$23*aux!AE95)+('Modelo AHP'!$U$24*aux!AF95)+('Modelo AHP'!$U$25*aux!AG95)+('Modelo AHP'!$U$26*aux!AH95)+('Modelo AHP'!$U$27*aux!AI95)</f>
        <v>7.9402789047096287E-3</v>
      </c>
    </row>
    <row r="96" spans="1:36">
      <c r="A96" s="1">
        <f>_xlfn.RANK.EQ(AJ96,AJ$5:AJ$135)</f>
        <v>43</v>
      </c>
      <c r="B96" s="16" t="s">
        <v>113</v>
      </c>
      <c r="C96" s="17" t="s">
        <v>114</v>
      </c>
      <c r="D96" s="143">
        <v>0.11452747989276139</v>
      </c>
      <c r="E96" s="18">
        <v>83.91</v>
      </c>
      <c r="F96" s="143">
        <v>0.49792650165619051</v>
      </c>
      <c r="G96" s="159">
        <v>28196.623938505836</v>
      </c>
      <c r="H96" s="146">
        <v>8.43</v>
      </c>
      <c r="I96" s="146">
        <v>10.82</v>
      </c>
      <c r="J96" s="143">
        <v>4.647074504492172E-2</v>
      </c>
      <c r="K96" s="161">
        <v>69508.259999999995</v>
      </c>
      <c r="L96" s="143">
        <v>7.3060962066748489E-2</v>
      </c>
      <c r="M96" s="265">
        <v>596</v>
      </c>
      <c r="N96" s="143">
        <v>6.4662233786258072E-2</v>
      </c>
      <c r="O96" s="143">
        <v>7.5380489021956085E-2</v>
      </c>
      <c r="P96" s="23">
        <f>D96/$P$1</f>
        <v>1.0482976990152186E-2</v>
      </c>
      <c r="Q96" s="23">
        <f>1-(E96/Q$1)</f>
        <v>0.9922827044655651</v>
      </c>
      <c r="R96" s="23">
        <f>Q96/R$1</f>
        <v>7.6329438805043505E-3</v>
      </c>
      <c r="S96" s="23">
        <f>F96/S$1</f>
        <v>1.020854586369702E-2</v>
      </c>
      <c r="T96" s="23">
        <f>1-(G96/T$1)</f>
        <v>0.99493368951824668</v>
      </c>
      <c r="U96" s="97">
        <f>T96/U$1</f>
        <v>7.6533360732172822E-3</v>
      </c>
      <c r="V96" s="23">
        <f>H96/V$1</f>
        <v>8.5666378740917627E-3</v>
      </c>
      <c r="W96" s="23">
        <f>I96/W$1</f>
        <v>8.9601430972945668E-3</v>
      </c>
      <c r="X96" s="23">
        <f>J96/X$1</f>
        <v>7.4596181553091894E-3</v>
      </c>
      <c r="Y96" s="23">
        <f>1-(K96/Y$1)</f>
        <v>0.99477522580126732</v>
      </c>
      <c r="Z96" s="97">
        <f>Y96/Z$1</f>
        <v>7.6521171215482098E-3</v>
      </c>
      <c r="AA96" s="23">
        <f>L96/$AA$1</f>
        <v>1.1159817514663987E-2</v>
      </c>
      <c r="AB96" s="23">
        <f>M96/AB$1</f>
        <v>5.5910992701551625E-3</v>
      </c>
      <c r="AC96" s="23">
        <f>N96/AC$1</f>
        <v>9.8126194283040154E-3</v>
      </c>
      <c r="AD96" s="23">
        <f>O96/AD$1</f>
        <v>1.1470306286126468E-2</v>
      </c>
      <c r="AE96" s="27">
        <f>('Modelo AHP'!$U$37*aux!P96)+('Modelo AHP'!$U$38*aux!R96)+('Modelo AHP'!$U$39*aux!S96)</f>
        <v>1.0033315003314301E-2</v>
      </c>
      <c r="AF96" s="28">
        <f>aux!U96</f>
        <v>7.6533360732172822E-3</v>
      </c>
      <c r="AG96" s="27">
        <f>('Modelo AHP'!$U$47*aux!V96)+('Modelo AHP'!$U$48*aux!W96)+('Modelo AHP'!$U$49*aux!X96)</f>
        <v>8.3123021982711102E-3</v>
      </c>
      <c r="AH96" s="28">
        <f>Z96</f>
        <v>7.6521171215482098E-3</v>
      </c>
      <c r="AI96" s="27">
        <f>('Modelo AHP'!$U$56*aux!AA96)+('Modelo AHP'!$U$57*aux!AB96)+('Modelo AHP'!$U$58*aux!AC96)+('Modelo AHP'!$U$59*aux!AD96)</f>
        <v>8.1572635627966371E-3</v>
      </c>
      <c r="AJ96" s="29">
        <f>('Modelo AHP'!$U$23*aux!AE96)+('Modelo AHP'!$U$24*aux!AF96)+('Modelo AHP'!$U$25*aux!AG96)+('Modelo AHP'!$U$26*aux!AH96)+('Modelo AHP'!$U$27*aux!AI96)</f>
        <v>8.3227898449050007E-3</v>
      </c>
    </row>
    <row r="97" spans="1:36">
      <c r="A97" s="1">
        <f>_xlfn.RANK.EQ(AJ97,AJ$5:AJ$135)</f>
        <v>46</v>
      </c>
      <c r="B97" s="16" t="s">
        <v>113</v>
      </c>
      <c r="C97" s="17" t="s">
        <v>115</v>
      </c>
      <c r="D97" s="143">
        <v>0.11939175931981687</v>
      </c>
      <c r="E97" s="18">
        <v>82.85</v>
      </c>
      <c r="F97" s="143">
        <v>0.50781800837791879</v>
      </c>
      <c r="G97" s="159">
        <v>30038.955543266948</v>
      </c>
      <c r="H97" s="146">
        <v>8.18</v>
      </c>
      <c r="I97" s="146">
        <v>9.9499999999999993</v>
      </c>
      <c r="J97" s="143">
        <v>4.647074504492172E-2</v>
      </c>
      <c r="K97" s="161">
        <v>70105.52</v>
      </c>
      <c r="L97" s="143">
        <v>7.3060962066748489E-2</v>
      </c>
      <c r="M97" s="265">
        <v>596</v>
      </c>
      <c r="N97" s="143">
        <v>6.4662233786258072E-2</v>
      </c>
      <c r="O97" s="143">
        <v>7.5380489021956085E-2</v>
      </c>
      <c r="P97" s="23">
        <f>D97/$P$1</f>
        <v>1.0928216240638096E-2</v>
      </c>
      <c r="Q97" s="23">
        <f>1-(E97/Q$1)</f>
        <v>0.99238019383830378</v>
      </c>
      <c r="R97" s="23">
        <f>Q97/R$1</f>
        <v>7.6336937987561866E-3</v>
      </c>
      <c r="S97" s="23">
        <f>F97/S$1</f>
        <v>1.0411342661405035E-2</v>
      </c>
      <c r="T97" s="23">
        <f>1-(G97/T$1)</f>
        <v>0.99460266322444557</v>
      </c>
      <c r="U97" s="97">
        <f>T97/U$1</f>
        <v>7.6507897171111195E-3</v>
      </c>
      <c r="V97" s="23">
        <f>H97/V$1</f>
        <v>8.3125857425943792E-3</v>
      </c>
      <c r="W97" s="23">
        <f>I97/W$1</f>
        <v>8.2396879683993476E-3</v>
      </c>
      <c r="X97" s="23">
        <f>J97/X$1</f>
        <v>7.4596181553091894E-3</v>
      </c>
      <c r="Y97" s="23">
        <f>1-(K97/Y$1)</f>
        <v>0.99473033115654541</v>
      </c>
      <c r="Z97" s="97">
        <f>Y97/Z$1</f>
        <v>7.6517717781272726E-3</v>
      </c>
      <c r="AA97" s="23">
        <f>L97/$AA$1</f>
        <v>1.1159817514663987E-2</v>
      </c>
      <c r="AB97" s="23">
        <f>M97/AB$1</f>
        <v>5.5910992701551625E-3</v>
      </c>
      <c r="AC97" s="23">
        <f>N97/AC$1</f>
        <v>9.8126194283040154E-3</v>
      </c>
      <c r="AD97" s="23">
        <f>O97/AD$1</f>
        <v>1.1470306286126468E-2</v>
      </c>
      <c r="AE97" s="27">
        <f>('Modelo AHP'!$U$37*aux!P97)+('Modelo AHP'!$U$38*aux!R97)+('Modelo AHP'!$U$39*aux!S97)</f>
        <v>1.0288639848910069E-2</v>
      </c>
      <c r="AF97" s="28">
        <f>aux!U97</f>
        <v>7.6507897171111195E-3</v>
      </c>
      <c r="AG97" s="27">
        <f>('Modelo AHP'!$U$47*aux!V97)+('Modelo AHP'!$U$48*aux!W97)+('Modelo AHP'!$U$49*aux!X97)</f>
        <v>7.9498458299761144E-3</v>
      </c>
      <c r="AH97" s="28">
        <f>Z97</f>
        <v>7.6517717781272726E-3</v>
      </c>
      <c r="AI97" s="27">
        <f>('Modelo AHP'!$U$56*aux!AA97)+('Modelo AHP'!$U$57*aux!AB97)+('Modelo AHP'!$U$58*aux!AC97)+('Modelo AHP'!$U$59*aux!AD97)</f>
        <v>8.1572635627966371E-3</v>
      </c>
      <c r="AJ97" s="29">
        <f>('Modelo AHP'!$U$23*aux!AE97)+('Modelo AHP'!$U$24*aux!AF97)+('Modelo AHP'!$U$25*aux!AG97)+('Modelo AHP'!$U$26*aux!AH97)+('Modelo AHP'!$U$27*aux!AI97)</f>
        <v>8.2406915988053227E-3</v>
      </c>
    </row>
    <row r="98" spans="1:36">
      <c r="A98" s="1">
        <f>_xlfn.RANK.EQ(AJ98,AJ$5:AJ$135)</f>
        <v>45</v>
      </c>
      <c r="B98" s="16" t="s">
        <v>113</v>
      </c>
      <c r="C98" s="17" t="s">
        <v>116</v>
      </c>
      <c r="D98" s="143">
        <v>0.13387765149961023</v>
      </c>
      <c r="E98" s="18">
        <v>83.58</v>
      </c>
      <c r="F98" s="143">
        <v>0.44004282655246252</v>
      </c>
      <c r="G98" s="159">
        <v>30421.555716709925</v>
      </c>
      <c r="H98" s="146">
        <v>8.2100000000000009</v>
      </c>
      <c r="I98" s="146">
        <v>10.76</v>
      </c>
      <c r="J98" s="143">
        <v>4.647074504492172E-2</v>
      </c>
      <c r="K98" s="161">
        <v>78617.45</v>
      </c>
      <c r="L98" s="143">
        <v>7.3060962066748489E-2</v>
      </c>
      <c r="M98" s="265">
        <v>596</v>
      </c>
      <c r="N98" s="143">
        <v>6.4662233786258072E-2</v>
      </c>
      <c r="O98" s="143">
        <v>7.5380489021956085E-2</v>
      </c>
      <c r="P98" s="23">
        <f>D98/$P$1</f>
        <v>1.2254144957001976E-2</v>
      </c>
      <c r="Q98" s="23">
        <f>1-(E98/Q$1)</f>
        <v>0.99231305493066302</v>
      </c>
      <c r="R98" s="23">
        <f>Q98/R$1</f>
        <v>7.6331773456204885E-3</v>
      </c>
      <c r="S98" s="23">
        <f>F98/S$1</f>
        <v>9.0218081622686352E-3</v>
      </c>
      <c r="T98" s="23">
        <f>1-(G98/T$1)</f>
        <v>0.99453391842459782</v>
      </c>
      <c r="U98" s="97">
        <f>T98/U$1</f>
        <v>7.6502609109584448E-3</v>
      </c>
      <c r="V98" s="23">
        <f>H98/V$1</f>
        <v>8.3430719983740662E-3</v>
      </c>
      <c r="W98" s="23">
        <f>I98/W$1</f>
        <v>8.910456536681103E-3</v>
      </c>
      <c r="X98" s="23">
        <f>J98/X$1</f>
        <v>7.4596181553091894E-3</v>
      </c>
      <c r="Y98" s="23">
        <f>1-(K98/Y$1)</f>
        <v>0.99409050918077713</v>
      </c>
      <c r="Z98" s="97">
        <f>Y98/Z$1</f>
        <v>7.6468500706213622E-3</v>
      </c>
      <c r="AA98" s="23">
        <f>L98/$AA$1</f>
        <v>1.1159817514663987E-2</v>
      </c>
      <c r="AB98" s="23">
        <f>M98/AB$1</f>
        <v>5.5910992701551625E-3</v>
      </c>
      <c r="AC98" s="23">
        <f>N98/AC$1</f>
        <v>9.8126194283040154E-3</v>
      </c>
      <c r="AD98" s="23">
        <f>O98/AD$1</f>
        <v>1.1470306286126468E-2</v>
      </c>
      <c r="AE98" s="27">
        <f>('Modelo AHP'!$U$37*aux!P98)+('Modelo AHP'!$U$38*aux!R98)+('Modelo AHP'!$U$39*aux!S98)</f>
        <v>9.8526461190238217E-3</v>
      </c>
      <c r="AF98" s="28">
        <f>aux!U98</f>
        <v>7.6502609109584448E-3</v>
      </c>
      <c r="AG98" s="27">
        <f>('Modelo AHP'!$U$47*aux!V98)+('Modelo AHP'!$U$48*aux!W98)+('Modelo AHP'!$U$49*aux!X98)</f>
        <v>8.2524424126680877E-3</v>
      </c>
      <c r="AH98" s="28">
        <f>Z98</f>
        <v>7.6468500706213622E-3</v>
      </c>
      <c r="AI98" s="27">
        <f>('Modelo AHP'!$U$56*aux!AA98)+('Modelo AHP'!$U$57*aux!AB98)+('Modelo AHP'!$U$58*aux!AC98)+('Modelo AHP'!$U$59*aux!AD98)</f>
        <v>8.1572635627966371E-3</v>
      </c>
      <c r="AJ98" s="29">
        <f>('Modelo AHP'!$U$23*aux!AE98)+('Modelo AHP'!$U$24*aux!AF98)+('Modelo AHP'!$U$25*aux!AG98)+('Modelo AHP'!$U$26*aux!AH98)+('Modelo AHP'!$U$27*aux!AI98)</f>
        <v>8.2707953659043269E-3</v>
      </c>
    </row>
    <row r="99" spans="1:36">
      <c r="A99" s="1">
        <f>_xlfn.RANK.EQ(AJ99,AJ$5:AJ$135)</f>
        <v>55</v>
      </c>
      <c r="B99" s="16" t="s">
        <v>113</v>
      </c>
      <c r="C99" s="17" t="s">
        <v>325</v>
      </c>
      <c r="D99" s="143">
        <v>8.7295101668028646E-2</v>
      </c>
      <c r="E99" s="18">
        <v>83.74</v>
      </c>
      <c r="F99" s="143">
        <v>0.36101796407185627</v>
      </c>
      <c r="G99" s="159">
        <v>34263.241684077606</v>
      </c>
      <c r="H99" s="146">
        <v>7.71</v>
      </c>
      <c r="I99" s="146">
        <v>9.43</v>
      </c>
      <c r="J99" s="143">
        <v>4.647074504492172E-2</v>
      </c>
      <c r="K99" s="161">
        <v>84627.53</v>
      </c>
      <c r="L99" s="143">
        <v>7.3060962066748489E-2</v>
      </c>
      <c r="M99" s="265">
        <v>596</v>
      </c>
      <c r="N99" s="143">
        <v>6.4662233786258072E-2</v>
      </c>
      <c r="O99" s="143">
        <v>7.5380489021956085E-2</v>
      </c>
      <c r="P99" s="23">
        <f>D99/$P$1</f>
        <v>7.9903316042212059E-3</v>
      </c>
      <c r="Q99" s="23">
        <f>1-(E99/Q$1)</f>
        <v>0.99229833955364588</v>
      </c>
      <c r="R99" s="23">
        <f>Q99/R$1</f>
        <v>7.6330641504126643E-3</v>
      </c>
      <c r="S99" s="23">
        <f>F99/S$1</f>
        <v>7.4016314287099726E-3</v>
      </c>
      <c r="T99" s="23">
        <f>1-(G99/T$1)</f>
        <v>0.9938436523159131</v>
      </c>
      <c r="U99" s="97">
        <f>T99/U$1</f>
        <v>7.6449511716608701E-3</v>
      </c>
      <c r="V99" s="23">
        <f>H99/V$1</f>
        <v>7.8349677353792991E-3</v>
      </c>
      <c r="W99" s="23">
        <f>I99/W$1</f>
        <v>7.809071109749331E-3</v>
      </c>
      <c r="X99" s="23">
        <f>J99/X$1</f>
        <v>7.4596181553091894E-3</v>
      </c>
      <c r="Y99" s="23">
        <f>1-(K99/Y$1)</f>
        <v>0.99363874544915265</v>
      </c>
      <c r="Z99" s="97">
        <f>Y99/Z$1</f>
        <v>7.6433749649934823E-3</v>
      </c>
      <c r="AA99" s="23">
        <f>L99/$AA$1</f>
        <v>1.1159817514663987E-2</v>
      </c>
      <c r="AB99" s="23">
        <f>M99/AB$1</f>
        <v>5.5910992701551625E-3</v>
      </c>
      <c r="AC99" s="23">
        <f>N99/AC$1</f>
        <v>9.8126194283040154E-3</v>
      </c>
      <c r="AD99" s="23">
        <f>O99/AD$1</f>
        <v>1.1470306286126468E-2</v>
      </c>
      <c r="AE99" s="27">
        <f>('Modelo AHP'!$U$37*aux!P99)+('Modelo AHP'!$U$38*aux!R99)+('Modelo AHP'!$U$39*aux!S99)</f>
        <v>7.6013847535336115E-3</v>
      </c>
      <c r="AF99" s="28">
        <f>aux!U99</f>
        <v>7.6449511716608701E-3</v>
      </c>
      <c r="AG99" s="27">
        <f>('Modelo AHP'!$U$47*aux!V99)+('Modelo AHP'!$U$48*aux!W99)+('Modelo AHP'!$U$49*aux!X99)</f>
        <v>7.6780848710661844E-3</v>
      </c>
      <c r="AH99" s="28">
        <f>Z99</f>
        <v>7.6433749649934823E-3</v>
      </c>
      <c r="AI99" s="27">
        <f>('Modelo AHP'!$U$56*aux!AA99)+('Modelo AHP'!$U$57*aux!AB99)+('Modelo AHP'!$U$58*aux!AC99)+('Modelo AHP'!$U$59*aux!AD99)</f>
        <v>8.1572635627966371E-3</v>
      </c>
      <c r="AJ99" s="29">
        <f>('Modelo AHP'!$U$23*aux!AE99)+('Modelo AHP'!$U$24*aux!AF99)+('Modelo AHP'!$U$25*aux!AG99)+('Modelo AHP'!$U$26*aux!AH99)+('Modelo AHP'!$U$27*aux!AI99)</f>
        <v>7.6968468018513087E-3</v>
      </c>
    </row>
    <row r="100" spans="1:36">
      <c r="A100" s="1">
        <f>_xlfn.RANK.EQ(AJ100,AJ$5:AJ$135)</f>
        <v>62</v>
      </c>
      <c r="B100" s="16" t="s">
        <v>113</v>
      </c>
      <c r="C100" s="17" t="s">
        <v>117</v>
      </c>
      <c r="D100" s="143">
        <v>4.7874695594421077E-2</v>
      </c>
      <c r="E100" s="18">
        <v>84.16</v>
      </c>
      <c r="F100" s="143">
        <v>0.34616988739051857</v>
      </c>
      <c r="G100" s="159">
        <v>42449.94687985818</v>
      </c>
      <c r="H100" s="146">
        <v>7.46</v>
      </c>
      <c r="I100" s="146">
        <v>9.14</v>
      </c>
      <c r="J100" s="143">
        <v>4.647074504492172E-2</v>
      </c>
      <c r="K100" s="161">
        <v>94529</v>
      </c>
      <c r="L100" s="143">
        <v>7.3060962066748489E-2</v>
      </c>
      <c r="M100" s="265">
        <v>596</v>
      </c>
      <c r="N100" s="143">
        <v>6.4662233786258072E-2</v>
      </c>
      <c r="O100" s="143">
        <v>7.5380489021956085E-2</v>
      </c>
      <c r="P100" s="23">
        <f>D100/$P$1</f>
        <v>4.3820865769227191E-3</v>
      </c>
      <c r="Q100" s="23">
        <f>1-(E100/Q$1)</f>
        <v>0.99225971168897575</v>
      </c>
      <c r="R100" s="23">
        <f>Q100/R$1</f>
        <v>7.6327670129921242E-3</v>
      </c>
      <c r="S100" s="23">
        <f>F100/S$1</f>
        <v>7.0972144690081814E-3</v>
      </c>
      <c r="T100" s="23">
        <f>1-(G100/T$1)</f>
        <v>0.99237268222974728</v>
      </c>
      <c r="U100" s="97">
        <f>T100/U$1</f>
        <v>7.6336360171519024E-3</v>
      </c>
      <c r="V100" s="23">
        <f>H100/V$1</f>
        <v>7.5809156038819164E-3</v>
      </c>
      <c r="W100" s="23">
        <f>I100/W$1</f>
        <v>7.5689194001175922E-3</v>
      </c>
      <c r="X100" s="23">
        <f>J100/X$1</f>
        <v>7.4596181553091894E-3</v>
      </c>
      <c r="Y100" s="23">
        <f>1-(K100/Y$1)</f>
        <v>0.99289447498423922</v>
      </c>
      <c r="Z100" s="97">
        <f>Y100/Z$1</f>
        <v>7.6376498075710706E-3</v>
      </c>
      <c r="AA100" s="23">
        <f>L100/$AA$1</f>
        <v>1.1159817514663987E-2</v>
      </c>
      <c r="AB100" s="23">
        <f>M100/AB$1</f>
        <v>5.5910992701551625E-3</v>
      </c>
      <c r="AC100" s="23">
        <f>N100/AC$1</f>
        <v>9.8126194283040154E-3</v>
      </c>
      <c r="AD100" s="23">
        <f>O100/AD$1</f>
        <v>1.1470306286126468E-2</v>
      </c>
      <c r="AE100" s="27">
        <f>('Modelo AHP'!$U$37*aux!P100)+('Modelo AHP'!$U$38*aux!R100)+('Modelo AHP'!$U$39*aux!S100)</f>
        <v>6.3362313557809372E-3</v>
      </c>
      <c r="AF100" s="28">
        <f>aux!U100</f>
        <v>7.6336360171519024E-3</v>
      </c>
      <c r="AG100" s="27">
        <f>('Modelo AHP'!$U$47*aux!V100)+('Modelo AHP'!$U$48*aux!W100)+('Modelo AHP'!$U$49*aux!X100)</f>
        <v>7.5286090225104366E-3</v>
      </c>
      <c r="AH100" s="28">
        <f>Z100</f>
        <v>7.6376498075710706E-3</v>
      </c>
      <c r="AI100" s="27">
        <f>('Modelo AHP'!$U$56*aux!AA100)+('Modelo AHP'!$U$57*aux!AB100)+('Modelo AHP'!$U$58*aux!AC100)+('Modelo AHP'!$U$59*aux!AD100)</f>
        <v>8.1572635627966371E-3</v>
      </c>
      <c r="AJ100" s="29">
        <f>('Modelo AHP'!$U$23*aux!AE100)+('Modelo AHP'!$U$24*aux!AF100)+('Modelo AHP'!$U$25*aux!AG100)+('Modelo AHP'!$U$26*aux!AH100)+('Modelo AHP'!$U$27*aux!AI100)</f>
        <v>7.430551261833924E-3</v>
      </c>
    </row>
    <row r="101" spans="1:36">
      <c r="A101" s="1">
        <f>_xlfn.RANK.EQ(AJ101,AJ$5:AJ$135)</f>
        <v>83</v>
      </c>
      <c r="B101" s="16" t="s">
        <v>113</v>
      </c>
      <c r="C101" s="17" t="s">
        <v>118</v>
      </c>
      <c r="D101" s="143">
        <v>4.7776079787661872E-2</v>
      </c>
      <c r="E101" s="18">
        <v>83.87</v>
      </c>
      <c r="F101" s="143">
        <v>0.19311312607944733</v>
      </c>
      <c r="G101" s="159">
        <v>56198.189895321513</v>
      </c>
      <c r="H101" s="146">
        <v>5.16</v>
      </c>
      <c r="I101" s="146">
        <v>7.33</v>
      </c>
      <c r="J101" s="143">
        <v>4.647074504492172E-2</v>
      </c>
      <c r="K101" s="161">
        <v>102522.46</v>
      </c>
      <c r="L101" s="143">
        <v>7.3060962066748489E-2</v>
      </c>
      <c r="M101" s="265">
        <v>596</v>
      </c>
      <c r="N101" s="143">
        <v>6.4662233786258072E-2</v>
      </c>
      <c r="O101" s="143">
        <v>7.5380489021956085E-2</v>
      </c>
      <c r="P101" s="23">
        <f>D101/$P$1</f>
        <v>4.3730600338250276E-3</v>
      </c>
      <c r="Q101" s="23">
        <f>1-(E101/Q$1)</f>
        <v>0.99228638330981944</v>
      </c>
      <c r="R101" s="23">
        <f>Q101/R$1</f>
        <v>7.6329721793063068E-3</v>
      </c>
      <c r="S101" s="23">
        <f>F101/S$1</f>
        <v>3.9592273114741E-3</v>
      </c>
      <c r="T101" s="23">
        <f>1-(G101/T$1)</f>
        <v>0.98990242664713424</v>
      </c>
      <c r="U101" s="97">
        <f>T101/U$1</f>
        <v>7.6146340511318023E-3</v>
      </c>
      <c r="V101" s="23">
        <f>H101/V$1</f>
        <v>5.2436359941059902E-3</v>
      </c>
      <c r="W101" s="23">
        <f>I101/W$1</f>
        <v>6.0700414882781124E-3</v>
      </c>
      <c r="X101" s="23">
        <f>J101/X$1</f>
        <v>7.4596181553091894E-3</v>
      </c>
      <c r="Y101" s="23">
        <f>1-(K101/Y$1)</f>
        <v>0.99229362519219144</v>
      </c>
      <c r="Z101" s="97">
        <f>Y101/Z$1</f>
        <v>7.6330278860937805E-3</v>
      </c>
      <c r="AA101" s="23">
        <f>L101/$AA$1</f>
        <v>1.1159817514663987E-2</v>
      </c>
      <c r="AB101" s="23">
        <f>M101/AB$1</f>
        <v>5.5910992701551625E-3</v>
      </c>
      <c r="AC101" s="23">
        <f>N101/AC$1</f>
        <v>9.8126194283040154E-3</v>
      </c>
      <c r="AD101" s="23">
        <f>O101/AD$1</f>
        <v>1.1470306286126468E-2</v>
      </c>
      <c r="AE101" s="27">
        <f>('Modelo AHP'!$U$37*aux!P101)+('Modelo AHP'!$U$38*aux!R101)+('Modelo AHP'!$U$39*aux!S101)</f>
        <v>4.4507516149625993E-3</v>
      </c>
      <c r="AF101" s="28">
        <f>aux!U101</f>
        <v>7.6146340511318023E-3</v>
      </c>
      <c r="AG101" s="27">
        <f>('Modelo AHP'!$U$47*aux!V101)+('Modelo AHP'!$U$48*aux!W101)+('Modelo AHP'!$U$49*aux!X101)</f>
        <v>6.4684955018945748E-3</v>
      </c>
      <c r="AH101" s="28">
        <f>Z101</f>
        <v>7.6330278860937805E-3</v>
      </c>
      <c r="AI101" s="27">
        <f>('Modelo AHP'!$U$56*aux!AA101)+('Modelo AHP'!$U$57*aux!AB101)+('Modelo AHP'!$U$58*aux!AC101)+('Modelo AHP'!$U$59*aux!AD101)</f>
        <v>8.1572635627966371E-3</v>
      </c>
      <c r="AJ101" s="29">
        <f>('Modelo AHP'!$U$23*aux!AE101)+('Modelo AHP'!$U$24*aux!AF101)+('Modelo AHP'!$U$25*aux!AG101)+('Modelo AHP'!$U$26*aux!AH101)+('Modelo AHP'!$U$27*aux!AI101)</f>
        <v>6.747147275733124E-3</v>
      </c>
    </row>
    <row r="102" spans="1:36">
      <c r="A102" s="1">
        <f>_xlfn.RANK.EQ(AJ102,AJ$5:AJ$135)</f>
        <v>79</v>
      </c>
      <c r="B102" s="16" t="s">
        <v>113</v>
      </c>
      <c r="C102" s="17" t="s">
        <v>119</v>
      </c>
      <c r="D102" s="143">
        <v>4.8982188295165402E-2</v>
      </c>
      <c r="E102" s="18">
        <v>83.89</v>
      </c>
      <c r="F102" s="143">
        <v>0.19818331957060281</v>
      </c>
      <c r="G102" s="159">
        <v>54247.157206375836</v>
      </c>
      <c r="H102" s="146">
        <v>5.92</v>
      </c>
      <c r="I102" s="146">
        <v>8.5</v>
      </c>
      <c r="J102" s="143">
        <v>4.647074504492172E-2</v>
      </c>
      <c r="K102" s="161">
        <v>112367.5</v>
      </c>
      <c r="L102" s="143">
        <v>7.3060962066748489E-2</v>
      </c>
      <c r="M102" s="265">
        <v>596</v>
      </c>
      <c r="N102" s="143">
        <v>6.4662233786258072E-2</v>
      </c>
      <c r="O102" s="143">
        <v>7.5380489021956085E-2</v>
      </c>
      <c r="P102" s="23">
        <f>D102/$P$1</f>
        <v>4.4834580600771135E-3</v>
      </c>
      <c r="Q102" s="23">
        <f>1-(E102/Q$1)</f>
        <v>0.99228454388769227</v>
      </c>
      <c r="R102" s="23">
        <f>Q102/R$1</f>
        <v>7.6329580299053287E-3</v>
      </c>
      <c r="S102" s="23">
        <f>F102/S$1</f>
        <v>4.063176996056299E-3</v>
      </c>
      <c r="T102" s="23">
        <f>1-(G102/T$1)</f>
        <v>0.99025298412464668</v>
      </c>
      <c r="U102" s="97">
        <f>T102/U$1</f>
        <v>7.6173306471126667E-3</v>
      </c>
      <c r="V102" s="23">
        <f>H102/V$1</f>
        <v>6.0159544738580348E-3</v>
      </c>
      <c r="W102" s="23">
        <f>I102/W$1</f>
        <v>7.0389294202406489E-3</v>
      </c>
      <c r="X102" s="23">
        <f>J102/X$1</f>
        <v>7.4596181553091894E-3</v>
      </c>
      <c r="Y102" s="23">
        <f>1-(K102/Y$1)</f>
        <v>0.99155359643909802</v>
      </c>
      <c r="Z102" s="97">
        <f>Y102/Z$1</f>
        <v>7.6273353572238311E-3</v>
      </c>
      <c r="AA102" s="23">
        <f>L102/$AA$1</f>
        <v>1.1159817514663987E-2</v>
      </c>
      <c r="AB102" s="23">
        <f>M102/AB$1</f>
        <v>5.5910992701551625E-3</v>
      </c>
      <c r="AC102" s="23">
        <f>N102/AC$1</f>
        <v>9.8126194283040154E-3</v>
      </c>
      <c r="AD102" s="23">
        <f>O102/AD$1</f>
        <v>1.1470306286126468E-2</v>
      </c>
      <c r="AE102" s="27">
        <f>('Modelo AHP'!$U$37*aux!P102)+('Modelo AHP'!$U$38*aux!R102)+('Modelo AHP'!$U$39*aux!S102)</f>
        <v>4.5462394186474462E-3</v>
      </c>
      <c r="AF102" s="28">
        <f>aux!U102</f>
        <v>7.6173306471126667E-3</v>
      </c>
      <c r="AG102" s="27">
        <f>('Modelo AHP'!$U$47*aux!V102)+('Modelo AHP'!$U$48*aux!W102)+('Modelo AHP'!$U$49*aux!X102)</f>
        <v>7.0288048089054275E-3</v>
      </c>
      <c r="AH102" s="28">
        <f>Z102</f>
        <v>7.6273353572238311E-3</v>
      </c>
      <c r="AI102" s="27">
        <f>('Modelo AHP'!$U$56*aux!AA102)+('Modelo AHP'!$U$57*aux!AB102)+('Modelo AHP'!$U$58*aux!AC102)+('Modelo AHP'!$U$59*aux!AD102)</f>
        <v>8.1572635627966371E-3</v>
      </c>
      <c r="AJ102" s="29">
        <f>('Modelo AHP'!$U$23*aux!AE102)+('Modelo AHP'!$U$24*aux!AF102)+('Modelo AHP'!$U$25*aux!AG102)+('Modelo AHP'!$U$26*aux!AH102)+('Modelo AHP'!$U$27*aux!AI102)</f>
        <v>6.9549970250695004E-3</v>
      </c>
    </row>
    <row r="103" spans="1:36">
      <c r="A103" s="1">
        <f>_xlfn.RANK.EQ(AJ103,AJ$5:AJ$135)</f>
        <v>91</v>
      </c>
      <c r="B103" s="16" t="s">
        <v>113</v>
      </c>
      <c r="C103" s="17" t="s">
        <v>120</v>
      </c>
      <c r="D103" s="143">
        <v>4.825396825396825E-2</v>
      </c>
      <c r="E103" s="18">
        <v>84.1</v>
      </c>
      <c r="F103" s="143">
        <v>0.16843033509700175</v>
      </c>
      <c r="G103" s="159">
        <v>67826.149299820463</v>
      </c>
      <c r="H103" s="146">
        <v>4.01</v>
      </c>
      <c r="I103" s="146">
        <v>4.6100000000000003</v>
      </c>
      <c r="J103" s="143">
        <v>4.647074504492172E-2</v>
      </c>
      <c r="K103" s="161">
        <v>168128.52</v>
      </c>
      <c r="L103" s="143">
        <v>7.3060962066748489E-2</v>
      </c>
      <c r="M103" s="265">
        <v>596</v>
      </c>
      <c r="N103" s="143">
        <v>6.4662233786258072E-2</v>
      </c>
      <c r="O103" s="143">
        <v>7.5380489021956085E-2</v>
      </c>
      <c r="P103" s="23">
        <f>D103/$P$1</f>
        <v>4.4168023199631645E-3</v>
      </c>
      <c r="Q103" s="23">
        <f>1-(E103/Q$1)</f>
        <v>0.99226522995535726</v>
      </c>
      <c r="R103" s="23">
        <f>Q103/R$1</f>
        <v>7.6328094611950595E-3</v>
      </c>
      <c r="S103" s="23">
        <f>F103/S$1</f>
        <v>3.4531779187419826E-3</v>
      </c>
      <c r="T103" s="23">
        <f>1-(G103/T$1)</f>
        <v>0.98781313919410818</v>
      </c>
      <c r="U103" s="97">
        <f>T103/U$1</f>
        <v>7.5985626091854474E-3</v>
      </c>
      <c r="V103" s="23">
        <f>H103/V$1</f>
        <v>4.0749961892180267E-3</v>
      </c>
      <c r="W103" s="23">
        <f>I103/W$1</f>
        <v>3.8175840738011052E-3</v>
      </c>
      <c r="X103" s="23">
        <f>J103/X$1</f>
        <v>7.4596181553091894E-3</v>
      </c>
      <c r="Y103" s="23">
        <f>1-(K103/Y$1)</f>
        <v>0.98736217028929918</v>
      </c>
      <c r="Z103" s="97">
        <f>Y103/Z$1</f>
        <v>7.5950936176099933E-3</v>
      </c>
      <c r="AA103" s="23">
        <f>L103/$AA$1</f>
        <v>1.1159817514663987E-2</v>
      </c>
      <c r="AB103" s="23">
        <f>M103/AB$1</f>
        <v>5.5910992701551625E-3</v>
      </c>
      <c r="AC103" s="23">
        <f>N103/AC$1</f>
        <v>9.8126194283040154E-3</v>
      </c>
      <c r="AD103" s="23">
        <f>O103/AD$1</f>
        <v>1.1470306286126468E-2</v>
      </c>
      <c r="AE103" s="27">
        <f>('Modelo AHP'!$U$37*aux!P103)+('Modelo AHP'!$U$38*aux!R103)+('Modelo AHP'!$U$39*aux!S103)</f>
        <v>4.160228393353645E-3</v>
      </c>
      <c r="AF103" s="28">
        <f>aux!U103</f>
        <v>7.5985626091854474E-3</v>
      </c>
      <c r="AG103" s="27">
        <f>('Modelo AHP'!$U$47*aux!V103)+('Modelo AHP'!$U$48*aux!W103)+('Modelo AHP'!$U$49*aux!X103)</f>
        <v>5.2719565979198616E-3</v>
      </c>
      <c r="AH103" s="28">
        <f>Z103</f>
        <v>7.5950936176099933E-3</v>
      </c>
      <c r="AI103" s="27">
        <f>('Modelo AHP'!$U$56*aux!AA103)+('Modelo AHP'!$U$57*aux!AB103)+('Modelo AHP'!$U$58*aux!AC103)+('Modelo AHP'!$U$59*aux!AD103)</f>
        <v>8.1572635627966371E-3</v>
      </c>
      <c r="AJ103" s="29">
        <f>('Modelo AHP'!$U$23*aux!AE103)+('Modelo AHP'!$U$24*aux!AF103)+('Modelo AHP'!$U$25*aux!AG103)+('Modelo AHP'!$U$26*aux!AH103)+('Modelo AHP'!$U$27*aux!AI103)</f>
        <v>6.2817394287521706E-3</v>
      </c>
    </row>
    <row r="104" spans="1:36">
      <c r="A104" s="1">
        <f>_xlfn.RANK.EQ(AJ104,AJ$5:AJ$135)</f>
        <v>86</v>
      </c>
      <c r="B104" s="16" t="s">
        <v>113</v>
      </c>
      <c r="C104" s="17" t="s">
        <v>121</v>
      </c>
      <c r="D104" s="143">
        <v>2.5341750306553432E-2</v>
      </c>
      <c r="E104" s="18">
        <v>83.94</v>
      </c>
      <c r="F104" s="143">
        <v>0.16098743937321228</v>
      </c>
      <c r="G104" s="159">
        <v>65589.452333289999</v>
      </c>
      <c r="H104" s="146">
        <v>5.42</v>
      </c>
      <c r="I104" s="146">
        <v>7.25</v>
      </c>
      <c r="J104" s="143">
        <v>4.647074504492172E-2</v>
      </c>
      <c r="K104" s="161">
        <v>112754.23</v>
      </c>
      <c r="L104" s="143">
        <v>7.3060962066748489E-2</v>
      </c>
      <c r="M104" s="265">
        <v>596</v>
      </c>
      <c r="N104" s="143">
        <v>6.4662233786258072E-2</v>
      </c>
      <c r="O104" s="143">
        <v>7.5380489021956085E-2</v>
      </c>
      <c r="P104" s="23">
        <f>D104/$P$1</f>
        <v>2.3195916438791065E-3</v>
      </c>
      <c r="Q104" s="23">
        <f>1-(E104/Q$1)</f>
        <v>0.9922799453323744</v>
      </c>
      <c r="R104" s="23">
        <f>Q104/R$1</f>
        <v>7.6329226564028838E-3</v>
      </c>
      <c r="S104" s="23">
        <f>F104/S$1</f>
        <v>3.300582822674003E-3</v>
      </c>
      <c r="T104" s="23">
        <f>1-(G104/T$1)</f>
        <v>0.98821502423221597</v>
      </c>
      <c r="U104" s="97">
        <f>T104/U$1</f>
        <v>7.6016540325555071E-3</v>
      </c>
      <c r="V104" s="23">
        <f>H104/V$1</f>
        <v>5.5078502108632686E-3</v>
      </c>
      <c r="W104" s="23">
        <f>I104/W$1</f>
        <v>6.0037927407934951E-3</v>
      </c>
      <c r="X104" s="23">
        <f>J104/X$1</f>
        <v>7.4596181553091894E-3</v>
      </c>
      <c r="Y104" s="23">
        <f>1-(K104/Y$1)</f>
        <v>0.99152452684469483</v>
      </c>
      <c r="Z104" s="97">
        <f>Y104/Z$1</f>
        <v>7.6271117449591913E-3</v>
      </c>
      <c r="AA104" s="23">
        <f>L104/$AA$1</f>
        <v>1.1159817514663987E-2</v>
      </c>
      <c r="AB104" s="23">
        <f>M104/AB$1</f>
        <v>5.5910992701551625E-3</v>
      </c>
      <c r="AC104" s="23">
        <f>N104/AC$1</f>
        <v>9.8126194283040154E-3</v>
      </c>
      <c r="AD104" s="23">
        <f>O104/AD$1</f>
        <v>1.1470306286126468E-2</v>
      </c>
      <c r="AE104" s="27">
        <f>('Modelo AHP'!$U$37*aux!P104)+('Modelo AHP'!$U$38*aux!R104)+('Modelo AHP'!$U$39*aux!S104)</f>
        <v>3.4395194524084217E-3</v>
      </c>
      <c r="AF104" s="28">
        <f>aux!U104</f>
        <v>7.6016540325555071E-3</v>
      </c>
      <c r="AG104" s="27">
        <f>('Modelo AHP'!$U$47*aux!V104)+('Modelo AHP'!$U$48*aux!W104)+('Modelo AHP'!$U$49*aux!X104)</f>
        <v>6.483823890715835E-3</v>
      </c>
      <c r="AH104" s="28">
        <f>Z104</f>
        <v>7.6271117449591913E-3</v>
      </c>
      <c r="AI104" s="27">
        <f>('Modelo AHP'!$U$56*aux!AA104)+('Modelo AHP'!$U$57*aux!AB104)+('Modelo AHP'!$U$58*aux!AC104)+('Modelo AHP'!$U$59*aux!AD104)</f>
        <v>8.1572635627966371E-3</v>
      </c>
      <c r="AJ104" s="29">
        <f>('Modelo AHP'!$U$23*aux!AE104)+('Modelo AHP'!$U$24*aux!AF104)+('Modelo AHP'!$U$25*aux!AG104)+('Modelo AHP'!$U$26*aux!AH104)+('Modelo AHP'!$U$27*aux!AI104)</f>
        <v>6.5789937452609658E-3</v>
      </c>
    </row>
    <row r="105" spans="1:36">
      <c r="A105" s="1">
        <f>_xlfn.RANK.EQ(AJ105,AJ$5:AJ$135)</f>
        <v>112</v>
      </c>
      <c r="B105" s="16" t="s">
        <v>122</v>
      </c>
      <c r="C105" s="17" t="s">
        <v>123</v>
      </c>
      <c r="D105" s="143">
        <v>2.9237162362718908E-2</v>
      </c>
      <c r="E105" s="18">
        <v>78.81</v>
      </c>
      <c r="F105" s="143">
        <v>0.13226584777363457</v>
      </c>
      <c r="G105" s="159">
        <v>81736.54715849596</v>
      </c>
      <c r="H105" s="146">
        <v>4.29</v>
      </c>
      <c r="I105" s="146">
        <v>5.81</v>
      </c>
      <c r="J105" s="143">
        <v>3.8742548701435189E-2</v>
      </c>
      <c r="K105" s="161">
        <v>144304.94</v>
      </c>
      <c r="L105" s="143">
        <v>4.8629376351627798E-2</v>
      </c>
      <c r="M105" s="265">
        <v>403</v>
      </c>
      <c r="N105" s="143">
        <v>4.2112363881661369E-2</v>
      </c>
      <c r="O105" s="143">
        <v>4.1853792415169663E-2</v>
      </c>
      <c r="P105" s="23">
        <f>D105/$P$1</f>
        <v>2.6761481226401924E-3</v>
      </c>
      <c r="Q105" s="23">
        <f>1-(E105/Q$1)</f>
        <v>0.99275175710798691</v>
      </c>
      <c r="R105" s="23">
        <f>Q105/R$1</f>
        <v>7.6365519777537487E-3</v>
      </c>
      <c r="S105" s="23">
        <f>F105/S$1</f>
        <v>2.7117294795653097E-3</v>
      </c>
      <c r="T105" s="23">
        <f>1-(G105/T$1)</f>
        <v>0.98531374796803561</v>
      </c>
      <c r="U105" s="97">
        <f>T105/U$1</f>
        <v>7.5793365228310431E-3</v>
      </c>
      <c r="V105" s="23">
        <f>H105/V$1</f>
        <v>4.3595345764950964E-3</v>
      </c>
      <c r="W105" s="23">
        <f>I105/W$1</f>
        <v>4.8113152860703723E-3</v>
      </c>
      <c r="X105" s="23">
        <f>J105/X$1</f>
        <v>6.219065767006861E-3</v>
      </c>
      <c r="Y105" s="23">
        <f>1-(K105/Y$1)</f>
        <v>0.98915293337422527</v>
      </c>
      <c r="Z105" s="97">
        <f>Y105/Z$1</f>
        <v>7.6088687182632713E-3</v>
      </c>
      <c r="AA105" s="23">
        <f>L105/$AA$1</f>
        <v>7.4279745377603505E-3</v>
      </c>
      <c r="AB105" s="23">
        <f>M105/AB$1</f>
        <v>3.7805587346854538E-3</v>
      </c>
      <c r="AC105" s="23">
        <f>N105/AC$1</f>
        <v>6.3906329212650593E-3</v>
      </c>
      <c r="AD105" s="23">
        <f>O105/AD$1</f>
        <v>6.3687012974686479E-3</v>
      </c>
      <c r="AE105" s="27">
        <f>('Modelo AHP'!$U$37*aux!P105)+('Modelo AHP'!$U$38*aux!R105)+('Modelo AHP'!$U$39*aux!S105)</f>
        <v>3.1935373223066187E-3</v>
      </c>
      <c r="AF105" s="28">
        <f>aux!U105</f>
        <v>7.5793365228310431E-3</v>
      </c>
      <c r="AG105" s="27">
        <f>('Modelo AHP'!$U$47*aux!V105)+('Modelo AHP'!$U$48*aux!W105)+('Modelo AHP'!$U$49*aux!X105)</f>
        <v>5.2801957747855713E-3</v>
      </c>
      <c r="AH105" s="28">
        <f>Z105</f>
        <v>7.6088687182632713E-3</v>
      </c>
      <c r="AI105" s="27">
        <f>('Modelo AHP'!$U$56*aux!AA105)+('Modelo AHP'!$U$57*aux!AB105)+('Modelo AHP'!$U$58*aux!AC105)+('Modelo AHP'!$U$59*aux!AD105)</f>
        <v>5.2698879280975684E-3</v>
      </c>
      <c r="AJ105" s="29">
        <f>('Modelo AHP'!$U$23*aux!AE105)+('Modelo AHP'!$U$24*aux!AF105)+('Modelo AHP'!$U$25*aux!AG105)+('Modelo AHP'!$U$26*aux!AH105)+('Modelo AHP'!$U$27*aux!AI105)</f>
        <v>5.8477489074589568E-3</v>
      </c>
    </row>
    <row r="106" spans="1:36">
      <c r="A106" s="1">
        <f>_xlfn.RANK.EQ(AJ106,AJ$5:AJ$135)</f>
        <v>117</v>
      </c>
      <c r="B106" s="16" t="s">
        <v>122</v>
      </c>
      <c r="C106" s="17" t="s">
        <v>124</v>
      </c>
      <c r="D106" s="143">
        <v>4.0277117435305307E-2</v>
      </c>
      <c r="E106" s="18">
        <v>83.4</v>
      </c>
      <c r="F106" s="143">
        <v>0.13875269660717787</v>
      </c>
      <c r="G106" s="159">
        <v>97253.642316433572</v>
      </c>
      <c r="H106" s="146">
        <v>3.86</v>
      </c>
      <c r="I106" s="146">
        <v>5.23</v>
      </c>
      <c r="J106" s="143">
        <v>3.8742548701435189E-2</v>
      </c>
      <c r="K106" s="161">
        <v>214047.1</v>
      </c>
      <c r="L106" s="143">
        <v>4.8629376351627798E-2</v>
      </c>
      <c r="M106" s="265">
        <v>403</v>
      </c>
      <c r="N106" s="143">
        <v>4.2112363881661369E-2</v>
      </c>
      <c r="O106" s="143">
        <v>4.1853792415169663E-2</v>
      </c>
      <c r="P106" s="23">
        <f>D106/$P$1</f>
        <v>3.686661888477031E-3</v>
      </c>
      <c r="Q106" s="23">
        <f>1-(E106/Q$1)</f>
        <v>0.99232960972980733</v>
      </c>
      <c r="R106" s="23">
        <f>Q106/R$1</f>
        <v>7.6333046902292909E-3</v>
      </c>
      <c r="S106" s="23">
        <f>F106/S$1</f>
        <v>2.8447235933709274E-3</v>
      </c>
      <c r="T106" s="23">
        <f>1-(G106/T$1)</f>
        <v>0.98252566872789415</v>
      </c>
      <c r="U106" s="97">
        <f>T106/U$1</f>
        <v>7.5578897594453399E-3</v>
      </c>
      <c r="V106" s="23">
        <f>H106/V$1</f>
        <v>3.9225649103195974E-3</v>
      </c>
      <c r="W106" s="23">
        <f>I106/W$1</f>
        <v>4.3310118668068937E-3</v>
      </c>
      <c r="X106" s="23">
        <f>J106/X$1</f>
        <v>6.219065767006861E-3</v>
      </c>
      <c r="Y106" s="23">
        <f>1-(K106/Y$1)</f>
        <v>0.98391057745664234</v>
      </c>
      <c r="Z106" s="97">
        <f>Y106/Z$1</f>
        <v>7.5685429035126338E-3</v>
      </c>
      <c r="AA106" s="23">
        <f>L106/$AA$1</f>
        <v>7.4279745377603505E-3</v>
      </c>
      <c r="AB106" s="23">
        <f>M106/AB$1</f>
        <v>3.7805587346854538E-3</v>
      </c>
      <c r="AC106" s="23">
        <f>N106/AC$1</f>
        <v>6.3906329212650593E-3</v>
      </c>
      <c r="AD106" s="23">
        <f>O106/AD$1</f>
        <v>6.3687012974686479E-3</v>
      </c>
      <c r="AE106" s="27">
        <f>('Modelo AHP'!$U$37*aux!P106)+('Modelo AHP'!$U$38*aux!R106)+('Modelo AHP'!$U$39*aux!S106)</f>
        <v>3.5761631915885946E-3</v>
      </c>
      <c r="AF106" s="28">
        <f>aux!U106</f>
        <v>7.5578897594453399E-3</v>
      </c>
      <c r="AG106" s="27">
        <f>('Modelo AHP'!$U$47*aux!V106)+('Modelo AHP'!$U$48*aux!W106)+('Modelo AHP'!$U$49*aux!X106)</f>
        <v>4.9932800425061897E-3</v>
      </c>
      <c r="AH106" s="28">
        <f>Z106</f>
        <v>7.5685429035126338E-3</v>
      </c>
      <c r="AI106" s="27">
        <f>('Modelo AHP'!$U$56*aux!AA106)+('Modelo AHP'!$U$57*aux!AB106)+('Modelo AHP'!$U$58*aux!AC106)+('Modelo AHP'!$U$59*aux!AD106)</f>
        <v>5.2698879280975684E-3</v>
      </c>
      <c r="AJ106" s="29">
        <f>('Modelo AHP'!$U$23*aux!AE106)+('Modelo AHP'!$U$24*aux!AF106)+('Modelo AHP'!$U$25*aux!AG106)+('Modelo AHP'!$U$26*aux!AH106)+('Modelo AHP'!$U$27*aux!AI106)</f>
        <v>5.8036072365252427E-3</v>
      </c>
    </row>
    <row r="107" spans="1:36">
      <c r="A107" s="1">
        <f>_xlfn.RANK.EQ(AJ107,AJ$5:AJ$135)</f>
        <v>77</v>
      </c>
      <c r="B107" s="16" t="s">
        <v>122</v>
      </c>
      <c r="C107" s="17" t="s">
        <v>125</v>
      </c>
      <c r="D107" s="143">
        <v>4.7973022866566566E-2</v>
      </c>
      <c r="E107" s="18">
        <v>84.43</v>
      </c>
      <c r="F107" s="143">
        <v>0.4011120668468911</v>
      </c>
      <c r="G107" s="159">
        <v>39790.240091819171</v>
      </c>
      <c r="H107" s="146">
        <v>7.15</v>
      </c>
      <c r="I107" s="146">
        <v>8.66</v>
      </c>
      <c r="J107" s="143">
        <v>3.8742548701435189E-2</v>
      </c>
      <c r="K107" s="161">
        <v>93176</v>
      </c>
      <c r="L107" s="143">
        <v>4.8629376351627798E-2</v>
      </c>
      <c r="M107" s="265">
        <v>403</v>
      </c>
      <c r="N107" s="143">
        <v>4.2112363881661369E-2</v>
      </c>
      <c r="O107" s="143">
        <v>4.1853792415169663E-2</v>
      </c>
      <c r="P107" s="23">
        <f>D107/$P$1</f>
        <v>4.3910867097499738E-3</v>
      </c>
      <c r="Q107" s="23">
        <f>1-(E107/Q$1)</f>
        <v>0.99223487949025935</v>
      </c>
      <c r="R107" s="23">
        <f>Q107/R$1</f>
        <v>7.6325759960789216E-3</v>
      </c>
      <c r="S107" s="23">
        <f>F107/S$1</f>
        <v>8.2236452915618458E-3</v>
      </c>
      <c r="T107" s="23">
        <f>1-(G107/T$1)</f>
        <v>0.9928505727888447</v>
      </c>
      <c r="U107" s="97">
        <f>T107/U$1</f>
        <v>7.6373120983757288E-3</v>
      </c>
      <c r="V107" s="23">
        <f>H107/V$1</f>
        <v>7.2658909608251613E-3</v>
      </c>
      <c r="W107" s="23">
        <f>I107/W$1</f>
        <v>7.1714269152098852E-3</v>
      </c>
      <c r="X107" s="23">
        <f>J107/X$1</f>
        <v>6.219065767006861E-3</v>
      </c>
      <c r="Y107" s="23">
        <f>1-(K107/Y$1)</f>
        <v>0.9929961768465918</v>
      </c>
      <c r="Z107" s="97">
        <f>Y107/Z$1</f>
        <v>7.6384321295891681E-3</v>
      </c>
      <c r="AA107" s="23">
        <f>L107/$AA$1</f>
        <v>7.4279745377603505E-3</v>
      </c>
      <c r="AB107" s="23">
        <f>M107/AB$1</f>
        <v>3.7805587346854538E-3</v>
      </c>
      <c r="AC107" s="23">
        <f>N107/AC$1</f>
        <v>6.3906329212650593E-3</v>
      </c>
      <c r="AD107" s="23">
        <f>O107/AD$1</f>
        <v>6.3687012974686479E-3</v>
      </c>
      <c r="AE107" s="27">
        <f>('Modelo AHP'!$U$37*aux!P107)+('Modelo AHP'!$U$38*aux!R107)+('Modelo AHP'!$U$39*aux!S107)</f>
        <v>7.0147707874699912E-3</v>
      </c>
      <c r="AF107" s="28">
        <f>aux!U107</f>
        <v>7.6373120983757288E-3</v>
      </c>
      <c r="AG107" s="27">
        <f>('Modelo AHP'!$U$47*aux!V107)+('Modelo AHP'!$U$48*aux!W107)+('Modelo AHP'!$U$49*aux!X107)</f>
        <v>6.8184931184183837E-3</v>
      </c>
      <c r="AH107" s="28">
        <f>Z107</f>
        <v>7.6384321295891681E-3</v>
      </c>
      <c r="AI107" s="27">
        <f>('Modelo AHP'!$U$56*aux!AA107)+('Modelo AHP'!$U$57*aux!AB107)+('Modelo AHP'!$U$58*aux!AC107)+('Modelo AHP'!$U$59*aux!AD107)</f>
        <v>5.2698879280975684E-3</v>
      </c>
      <c r="AJ107" s="29">
        <f>('Modelo AHP'!$U$23*aux!AE107)+('Modelo AHP'!$U$24*aux!AF107)+('Modelo AHP'!$U$25*aux!AG107)+('Modelo AHP'!$U$26*aux!AH107)+('Modelo AHP'!$U$27*aux!AI107)</f>
        <v>7.0320567853923554E-3</v>
      </c>
    </row>
    <row r="108" spans="1:36">
      <c r="A108" s="1">
        <f>_xlfn.RANK.EQ(AJ108,AJ$5:AJ$135)</f>
        <v>56</v>
      </c>
      <c r="B108" s="16" t="s">
        <v>122</v>
      </c>
      <c r="C108" s="17" t="s">
        <v>126</v>
      </c>
      <c r="D108" s="143">
        <v>6.3702796801469189E-2</v>
      </c>
      <c r="E108" s="18">
        <v>83.56</v>
      </c>
      <c r="F108" s="143">
        <v>0.47250665451667828</v>
      </c>
      <c r="G108" s="159">
        <v>33701.43128620473</v>
      </c>
      <c r="H108" s="146">
        <v>8.7799999999999994</v>
      </c>
      <c r="I108" s="146">
        <v>10.6</v>
      </c>
      <c r="J108" s="143">
        <v>3.8742548701435189E-2</v>
      </c>
      <c r="K108" s="161">
        <v>80444.05</v>
      </c>
      <c r="L108" s="143">
        <v>4.8629376351627798E-2</v>
      </c>
      <c r="M108" s="265">
        <v>403</v>
      </c>
      <c r="N108" s="143">
        <v>4.2112363881661369E-2</v>
      </c>
      <c r="O108" s="143">
        <v>4.1853792415169663E-2</v>
      </c>
      <c r="P108" s="23">
        <f>D108/$P$1</f>
        <v>5.8308709289983177E-3</v>
      </c>
      <c r="Q108" s="23">
        <f>1-(E108/Q$1)</f>
        <v>0.99231489435279008</v>
      </c>
      <c r="R108" s="23">
        <f>Q108/R$1</f>
        <v>7.6331914950214658E-3</v>
      </c>
      <c r="S108" s="23">
        <f>F108/S$1</f>
        <v>9.6873852616629116E-3</v>
      </c>
      <c r="T108" s="23">
        <f>1-(G108/T$1)</f>
        <v>0.99394459723448592</v>
      </c>
      <c r="U108" s="97">
        <f>T108/U$1</f>
        <v>7.6457276710345072E-3</v>
      </c>
      <c r="V108" s="23">
        <f>H108/V$1</f>
        <v>8.9223108581880997E-3</v>
      </c>
      <c r="W108" s="23">
        <f>I108/W$1</f>
        <v>8.7779590417118684E-3</v>
      </c>
      <c r="X108" s="23">
        <f>J108/X$1</f>
        <v>6.219065767006861E-3</v>
      </c>
      <c r="Y108" s="23">
        <f>1-(K108/Y$1)</f>
        <v>0.9939532079082174</v>
      </c>
      <c r="Z108" s="97">
        <f>Y108/Z$1</f>
        <v>7.6457939069862878E-3</v>
      </c>
      <c r="AA108" s="23">
        <f>L108/$AA$1</f>
        <v>7.4279745377603505E-3</v>
      </c>
      <c r="AB108" s="23">
        <f>M108/AB$1</f>
        <v>3.7805587346854538E-3</v>
      </c>
      <c r="AC108" s="23">
        <f>N108/AC$1</f>
        <v>6.3906329212650593E-3</v>
      </c>
      <c r="AD108" s="23">
        <f>O108/AD$1</f>
        <v>6.3687012974686479E-3</v>
      </c>
      <c r="AE108" s="27">
        <f>('Modelo AHP'!$U$37*aux!P108)+('Modelo AHP'!$U$38*aux!R108)+('Modelo AHP'!$U$39*aux!S108)</f>
        <v>8.3250115851993892E-3</v>
      </c>
      <c r="AF108" s="28">
        <f>aux!U108</f>
        <v>7.6457276710345072E-3</v>
      </c>
      <c r="AG108" s="27">
        <f>('Modelo AHP'!$U$47*aux!V108)+('Modelo AHP'!$U$48*aux!W108)+('Modelo AHP'!$U$49*aux!X108)</f>
        <v>7.8111422744004339E-3</v>
      </c>
      <c r="AH108" s="28">
        <f>Z108</f>
        <v>7.6457939069862878E-3</v>
      </c>
      <c r="AI108" s="27">
        <f>('Modelo AHP'!$U$56*aux!AA108)+('Modelo AHP'!$U$57*aux!AB108)+('Modelo AHP'!$U$58*aux!AC108)+('Modelo AHP'!$U$59*aux!AD108)</f>
        <v>5.2698879280975684E-3</v>
      </c>
      <c r="AJ108" s="29">
        <f>('Modelo AHP'!$U$23*aux!AE108)+('Modelo AHP'!$U$24*aux!AF108)+('Modelo AHP'!$U$25*aux!AG108)+('Modelo AHP'!$U$26*aux!AH108)+('Modelo AHP'!$U$27*aux!AI108)</f>
        <v>7.5931982747588448E-3</v>
      </c>
    </row>
    <row r="109" spans="1:36">
      <c r="A109" s="1">
        <f>_xlfn.RANK.EQ(AJ109,AJ$5:AJ$135)</f>
        <v>66</v>
      </c>
      <c r="B109" s="16" t="s">
        <v>122</v>
      </c>
      <c r="C109" s="17" t="s">
        <v>127</v>
      </c>
      <c r="D109" s="143">
        <v>5.1535590334621177E-2</v>
      </c>
      <c r="E109" s="18">
        <v>84.21</v>
      </c>
      <c r="F109" s="143">
        <v>0.3920656403315852</v>
      </c>
      <c r="G109" s="159">
        <v>36691.478392605633</v>
      </c>
      <c r="H109" s="146">
        <v>8.7200000000000006</v>
      </c>
      <c r="I109" s="146">
        <v>10.35</v>
      </c>
      <c r="J109" s="143">
        <v>3.8742548701435189E-2</v>
      </c>
      <c r="K109" s="161">
        <v>104658.69</v>
      </c>
      <c r="L109" s="143">
        <v>4.8629376351627798E-2</v>
      </c>
      <c r="M109" s="265">
        <v>403</v>
      </c>
      <c r="N109" s="143">
        <v>4.2112363881661369E-2</v>
      </c>
      <c r="O109" s="143">
        <v>4.1853792415169663E-2</v>
      </c>
      <c r="P109" s="23">
        <f>D109/$P$1</f>
        <v>4.71717711904258E-3</v>
      </c>
      <c r="Q109" s="23">
        <f>1-(E109/Q$1)</f>
        <v>0.99225511313365788</v>
      </c>
      <c r="R109" s="23">
        <f>Q109/R$1</f>
        <v>7.6327316394896793E-3</v>
      </c>
      <c r="S109" s="23">
        <f>F109/S$1</f>
        <v>8.038174424522454E-3</v>
      </c>
      <c r="T109" s="23">
        <f>1-(G109/T$1)</f>
        <v>0.99340735181712203</v>
      </c>
      <c r="U109" s="97">
        <f>T109/U$1</f>
        <v>7.6415950139778616E-3</v>
      </c>
      <c r="V109" s="23">
        <f>H109/V$1</f>
        <v>8.861338346628729E-3</v>
      </c>
      <c r="W109" s="23">
        <f>I109/W$1</f>
        <v>8.5709317058224373E-3</v>
      </c>
      <c r="X109" s="23">
        <f>J109/X$1</f>
        <v>6.219065767006861E-3</v>
      </c>
      <c r="Y109" s="23">
        <f>1-(K109/Y$1)</f>
        <v>0.99213304975286154</v>
      </c>
      <c r="Z109" s="97">
        <f>Y109/Z$1</f>
        <v>7.6317926904066269E-3</v>
      </c>
      <c r="AA109" s="23">
        <f>L109/$AA$1</f>
        <v>7.4279745377603505E-3</v>
      </c>
      <c r="AB109" s="23">
        <f>M109/AB$1</f>
        <v>3.7805587346854538E-3</v>
      </c>
      <c r="AC109" s="23">
        <f>N109/AC$1</f>
        <v>6.3906329212650593E-3</v>
      </c>
      <c r="AD109" s="23">
        <f>O109/AD$1</f>
        <v>6.3687012974686479E-3</v>
      </c>
      <c r="AE109" s="27">
        <f>('Modelo AHP'!$U$37*aux!P109)+('Modelo AHP'!$U$38*aux!R109)+('Modelo AHP'!$U$39*aux!S109)</f>
        <v>7.0013309543752143E-3</v>
      </c>
      <c r="AF109" s="28">
        <f>aux!U109</f>
        <v>7.6415950139778616E-3</v>
      </c>
      <c r="AG109" s="27">
        <f>('Modelo AHP'!$U$47*aux!V109)+('Modelo AHP'!$U$48*aux!W109)+('Modelo AHP'!$U$49*aux!X109)</f>
        <v>7.7090237849522956E-3</v>
      </c>
      <c r="AH109" s="28">
        <f>Z109</f>
        <v>7.6317926904066269E-3</v>
      </c>
      <c r="AI109" s="27">
        <f>('Modelo AHP'!$U$56*aux!AA109)+('Modelo AHP'!$U$57*aux!AB109)+('Modelo AHP'!$U$58*aux!AC109)+('Modelo AHP'!$U$59*aux!AD109)</f>
        <v>5.2698879280975684E-3</v>
      </c>
      <c r="AJ109" s="29">
        <f>('Modelo AHP'!$U$23*aux!AE109)+('Modelo AHP'!$U$24*aux!AF109)+('Modelo AHP'!$U$25*aux!AG109)+('Modelo AHP'!$U$26*aux!AH109)+('Modelo AHP'!$U$27*aux!AI109)</f>
        <v>7.3350138988555816E-3</v>
      </c>
    </row>
    <row r="110" spans="1:36">
      <c r="A110" s="1">
        <f>_xlfn.RANK.EQ(AJ110,AJ$5:AJ$135)</f>
        <v>99</v>
      </c>
      <c r="B110" s="16" t="s">
        <v>122</v>
      </c>
      <c r="C110" s="17" t="s">
        <v>128</v>
      </c>
      <c r="D110" s="143">
        <v>4.8510967456765572E-2</v>
      </c>
      <c r="E110" s="18">
        <v>83.16</v>
      </c>
      <c r="F110" s="143">
        <v>0.14751049621009327</v>
      </c>
      <c r="G110" s="159">
        <v>55975.145579473152</v>
      </c>
      <c r="H110" s="146">
        <v>5.14</v>
      </c>
      <c r="I110" s="146">
        <v>7.08</v>
      </c>
      <c r="J110" s="143">
        <v>3.8742548701435189E-2</v>
      </c>
      <c r="K110" s="161">
        <v>114377.07</v>
      </c>
      <c r="L110" s="143">
        <v>4.8629376351627798E-2</v>
      </c>
      <c r="M110" s="265">
        <v>403</v>
      </c>
      <c r="N110" s="143">
        <v>4.2112363881661369E-2</v>
      </c>
      <c r="O110" s="143">
        <v>4.1853792415169663E-2</v>
      </c>
      <c r="P110" s="23">
        <f>D110/$P$1</f>
        <v>4.440326078033581E-3</v>
      </c>
      <c r="Q110" s="23">
        <f>1-(E110/Q$1)</f>
        <v>0.99235168279533303</v>
      </c>
      <c r="R110" s="23">
        <f>Q110/R$1</f>
        <v>7.6334744830410268E-3</v>
      </c>
      <c r="S110" s="23">
        <f>F110/S$1</f>
        <v>3.0242769985703989E-3</v>
      </c>
      <c r="T110" s="23">
        <f>1-(G110/T$1)</f>
        <v>0.98994250278382856</v>
      </c>
      <c r="U110" s="97">
        <f>T110/U$1</f>
        <v>7.6149423291063736E-3</v>
      </c>
      <c r="V110" s="23">
        <f>H110/V$1</f>
        <v>5.2233118235861988E-3</v>
      </c>
      <c r="W110" s="23">
        <f>I110/W$1</f>
        <v>5.8630141523886821E-3</v>
      </c>
      <c r="X110" s="23">
        <f>J110/X$1</f>
        <v>6.219065767006861E-3</v>
      </c>
      <c r="Y110" s="23">
        <f>1-(K110/Y$1)</f>
        <v>0.99140254173730369</v>
      </c>
      <c r="Z110" s="97">
        <f>Y110/Z$1</f>
        <v>7.6261733979792589E-3</v>
      </c>
      <c r="AA110" s="23">
        <f>L110/$AA$1</f>
        <v>7.4279745377603505E-3</v>
      </c>
      <c r="AB110" s="23">
        <f>M110/AB$1</f>
        <v>3.7805587346854538E-3</v>
      </c>
      <c r="AC110" s="23">
        <f>N110/AC$1</f>
        <v>6.3906329212650593E-3</v>
      </c>
      <c r="AD110" s="23">
        <f>O110/AD$1</f>
        <v>6.3687012974686479E-3</v>
      </c>
      <c r="AE110" s="27">
        <f>('Modelo AHP'!$U$37*aux!P110)+('Modelo AHP'!$U$38*aux!R110)+('Modelo AHP'!$U$39*aux!S110)</f>
        <v>3.9100114708564161E-3</v>
      </c>
      <c r="AF110" s="28">
        <f>aux!U110</f>
        <v>7.6149423291063736E-3</v>
      </c>
      <c r="AG110" s="27">
        <f>('Modelo AHP'!$U$47*aux!V110)+('Modelo AHP'!$U$48*aux!W110)+('Modelo AHP'!$U$49*aux!X110)</f>
        <v>5.8927006729888164E-3</v>
      </c>
      <c r="AH110" s="28">
        <f>Z110</f>
        <v>7.6261733979792589E-3</v>
      </c>
      <c r="AI110" s="27">
        <f>('Modelo AHP'!$U$56*aux!AA110)+('Modelo AHP'!$U$57*aux!AB110)+('Modelo AHP'!$U$58*aux!AC110)+('Modelo AHP'!$U$59*aux!AD110)</f>
        <v>5.2698879280975684E-3</v>
      </c>
      <c r="AJ110" s="29">
        <f>('Modelo AHP'!$U$23*aux!AE110)+('Modelo AHP'!$U$24*aux!AF110)+('Modelo AHP'!$U$25*aux!AG110)+('Modelo AHP'!$U$26*aux!AH110)+('Modelo AHP'!$U$27*aux!AI110)</f>
        <v>6.1894139206478179E-3</v>
      </c>
    </row>
    <row r="111" spans="1:36">
      <c r="A111" s="1">
        <f>_xlfn.RANK.EQ(AJ111,AJ$5:AJ$135)</f>
        <v>10</v>
      </c>
      <c r="B111" s="16" t="s">
        <v>129</v>
      </c>
      <c r="C111" s="17" t="s">
        <v>326</v>
      </c>
      <c r="D111" s="143">
        <v>0.13826497212126684</v>
      </c>
      <c r="E111" s="18">
        <v>82.02</v>
      </c>
      <c r="F111" s="143">
        <v>0.63749314818198433</v>
      </c>
      <c r="G111" s="159">
        <v>24884.414737719635</v>
      </c>
      <c r="H111" s="146">
        <v>12.39</v>
      </c>
      <c r="I111" s="146">
        <v>13.53</v>
      </c>
      <c r="J111" s="143">
        <v>7.6556005952075526E-2</v>
      </c>
      <c r="K111" s="161">
        <v>51666.28</v>
      </c>
      <c r="L111" s="143">
        <v>5.2370097609445318E-2</v>
      </c>
      <c r="M111" s="265">
        <v>1563</v>
      </c>
      <c r="N111" s="143">
        <v>5.9554784619832324E-2</v>
      </c>
      <c r="O111" s="143">
        <v>5.9849051896207588E-2</v>
      </c>
      <c r="P111" s="23">
        <f>D111/$P$1</f>
        <v>1.2655727015459139E-2</v>
      </c>
      <c r="Q111" s="23">
        <f>1-(E111/Q$1)</f>
        <v>0.99245652985658028</v>
      </c>
      <c r="R111" s="23">
        <f>Q111/R$1</f>
        <v>7.6342809988967746E-3</v>
      </c>
      <c r="S111" s="23">
        <f>F111/S$1</f>
        <v>1.3069957151029417E-2</v>
      </c>
      <c r="T111" s="23">
        <f>1-(G111/T$1)</f>
        <v>0.99552882034767853</v>
      </c>
      <c r="U111" s="97">
        <f>T111/U$1</f>
        <v>7.6579140026744501E-3</v>
      </c>
      <c r="V111" s="23">
        <f>H111/V$1</f>
        <v>1.2590823637010314E-2</v>
      </c>
      <c r="W111" s="23">
        <f>I111/W$1</f>
        <v>1.1204319418335997E-2</v>
      </c>
      <c r="X111" s="23">
        <f>J111/X$1</f>
        <v>1.2288991092051964E-2</v>
      </c>
      <c r="Y111" s="23">
        <f>1-(K111/Y$1)</f>
        <v>0.99611636592991248</v>
      </c>
      <c r="Z111" s="97">
        <f>Y111/Z$1</f>
        <v>7.6624335840762498E-3</v>
      </c>
      <c r="AA111" s="23">
        <f>L111/$AA$1</f>
        <v>7.9993571945111471E-3</v>
      </c>
      <c r="AB111" s="23">
        <f>M111/AB$1</f>
        <v>1.4662564025591475E-2</v>
      </c>
      <c r="AC111" s="23">
        <f>N111/AC$1</f>
        <v>9.0375541083336543E-3</v>
      </c>
      <c r="AD111" s="23">
        <f>O111/AD$1</f>
        <v>9.1069581146366128E-3</v>
      </c>
      <c r="AE111" s="27">
        <f>('Modelo AHP'!$U$37*aux!P111)+('Modelo AHP'!$U$38*aux!R111)+('Modelo AHP'!$U$39*aux!S111)</f>
        <v>1.240212049514507E-2</v>
      </c>
      <c r="AF111" s="28">
        <f>aux!U111</f>
        <v>7.6579140026744501E-3</v>
      </c>
      <c r="AG111" s="27">
        <f>('Modelo AHP'!$U$47*aux!V111)+('Modelo AHP'!$U$48*aux!W111)+('Modelo AHP'!$U$49*aux!X111)</f>
        <v>1.1859086121237629E-2</v>
      </c>
      <c r="AH111" s="28">
        <f>Z111</f>
        <v>7.6624335840762498E-3</v>
      </c>
      <c r="AI111" s="27">
        <f>('Modelo AHP'!$U$56*aux!AA111)+('Modelo AHP'!$U$57*aux!AB111)+('Modelo AHP'!$U$58*aux!AC111)+('Modelo AHP'!$U$59*aux!AD111)</f>
        <v>1.1652729327662158E-2</v>
      </c>
      <c r="AJ111" s="29">
        <f>('Modelo AHP'!$U$23*aux!AE111)+('Modelo AHP'!$U$24*aux!AF111)+('Modelo AHP'!$U$25*aux!AG111)+('Modelo AHP'!$U$26*aux!AH111)+('Modelo AHP'!$U$27*aux!AI111)</f>
        <v>1.0259628353056846E-2</v>
      </c>
    </row>
    <row r="112" spans="1:36">
      <c r="A112" s="1">
        <f>_xlfn.RANK.EQ(AJ112,AJ$5:AJ$135)</f>
        <v>3</v>
      </c>
      <c r="B112" s="16" t="s">
        <v>129</v>
      </c>
      <c r="C112" s="17" t="s">
        <v>130</v>
      </c>
      <c r="D112" s="143">
        <v>0.26893792747451284</v>
      </c>
      <c r="E112" s="18">
        <v>81.25</v>
      </c>
      <c r="F112" s="143">
        <v>0.74686231081579924</v>
      </c>
      <c r="G112" s="159">
        <v>19587.094904064368</v>
      </c>
      <c r="H112" s="146">
        <v>13.77</v>
      </c>
      <c r="I112" s="146">
        <v>17.18</v>
      </c>
      <c r="J112" s="143">
        <v>7.6556005952075526E-2</v>
      </c>
      <c r="K112" s="161">
        <v>26876.799999999999</v>
      </c>
      <c r="L112" s="143">
        <v>5.2370097609445318E-2</v>
      </c>
      <c r="M112" s="265">
        <v>1563</v>
      </c>
      <c r="N112" s="143">
        <v>5.9554784619832324E-2</v>
      </c>
      <c r="O112" s="143">
        <v>5.9849051896207588E-2</v>
      </c>
      <c r="P112" s="23">
        <f>D112/$P$1</f>
        <v>2.4616538390038606E-2</v>
      </c>
      <c r="Q112" s="23">
        <f>1-(E112/Q$1)</f>
        <v>0.99252734760847527</v>
      </c>
      <c r="R112" s="23">
        <f>Q112/R$1</f>
        <v>7.634825750834429E-3</v>
      </c>
      <c r="S112" s="23">
        <f>F112/S$1</f>
        <v>1.5312256183331902E-2</v>
      </c>
      <c r="T112" s="23">
        <f>1-(G112/T$1)</f>
        <v>0.99648063170839252</v>
      </c>
      <c r="U112" s="97">
        <f>T112/U$1</f>
        <v>7.665235628526096E-3</v>
      </c>
      <c r="V112" s="23">
        <f>H112/V$1</f>
        <v>1.3993191402875868E-2</v>
      </c>
      <c r="W112" s="23">
        <f>I112/W$1</f>
        <v>1.4226918522321687E-2</v>
      </c>
      <c r="X112" s="23">
        <f>J112/X$1</f>
        <v>1.2288991092051964E-2</v>
      </c>
      <c r="Y112" s="23">
        <f>1-(K112/Y$1)</f>
        <v>0.99797973347074864</v>
      </c>
      <c r="Z112" s="97">
        <f>Y112/Z$1</f>
        <v>7.6767671805442203E-3</v>
      </c>
      <c r="AA112" s="23">
        <f>L112/$AA$1</f>
        <v>7.9993571945111471E-3</v>
      </c>
      <c r="AB112" s="23">
        <f>M112/AB$1</f>
        <v>1.4662564025591475E-2</v>
      </c>
      <c r="AC112" s="23">
        <f>N112/AC$1</f>
        <v>9.0375541083336543E-3</v>
      </c>
      <c r="AD112" s="23">
        <f>O112/AD$1</f>
        <v>9.1069581146366128E-3</v>
      </c>
      <c r="AE112" s="27">
        <f>('Modelo AHP'!$U$37*aux!P112)+('Modelo AHP'!$U$38*aux!R112)+('Modelo AHP'!$U$39*aux!S112)</f>
        <v>1.7335797802094162E-2</v>
      </c>
      <c r="AF112" s="28">
        <f>aux!U112</f>
        <v>7.665235628526096E-3</v>
      </c>
      <c r="AG112" s="27">
        <f>('Modelo AHP'!$U$47*aux!V112)+('Modelo AHP'!$U$48*aux!W112)+('Modelo AHP'!$U$49*aux!X112)</f>
        <v>1.343667501397168E-2</v>
      </c>
      <c r="AH112" s="28">
        <f>Z112</f>
        <v>7.6767671805442203E-3</v>
      </c>
      <c r="AI112" s="27">
        <f>('Modelo AHP'!$U$56*aux!AA112)+('Modelo AHP'!$U$57*aux!AB112)+('Modelo AHP'!$U$58*aux!AC112)+('Modelo AHP'!$U$59*aux!AD112)</f>
        <v>1.1652729327662158E-2</v>
      </c>
      <c r="AJ112" s="29">
        <f>('Modelo AHP'!$U$23*aux!AE112)+('Modelo AHP'!$U$24*aux!AF112)+('Modelo AHP'!$U$25*aux!AG112)+('Modelo AHP'!$U$26*aux!AH112)+('Modelo AHP'!$U$27*aux!AI112)</f>
        <v>1.1625526825590591E-2</v>
      </c>
    </row>
    <row r="113" spans="1:36">
      <c r="A113" s="1">
        <f>_xlfn.RANK.EQ(AJ113,AJ$5:AJ$135)</f>
        <v>31</v>
      </c>
      <c r="B113" s="16" t="s">
        <v>129</v>
      </c>
      <c r="C113" s="17" t="s">
        <v>131</v>
      </c>
      <c r="D113" s="143">
        <v>9.185460915261659E-2</v>
      </c>
      <c r="E113" s="18">
        <v>82.02</v>
      </c>
      <c r="F113" s="143">
        <v>0.46362455342643716</v>
      </c>
      <c r="G113" s="159">
        <v>30153.30453444098</v>
      </c>
      <c r="H113" s="146">
        <v>8.65</v>
      </c>
      <c r="I113" s="146">
        <v>10.39</v>
      </c>
      <c r="J113" s="143">
        <v>7.6556005952075526E-2</v>
      </c>
      <c r="K113" s="161">
        <v>61604.11</v>
      </c>
      <c r="L113" s="143">
        <v>5.2370097609445318E-2</v>
      </c>
      <c r="M113" s="265">
        <v>1563</v>
      </c>
      <c r="N113" s="143">
        <v>5.9554784619832324E-2</v>
      </c>
      <c r="O113" s="143">
        <v>5.9849051896207588E-2</v>
      </c>
      <c r="P113" s="23">
        <f>D113/$P$1</f>
        <v>8.4076743423318959E-3</v>
      </c>
      <c r="Q113" s="23">
        <f>1-(E113/Q$1)</f>
        <v>0.99245652985658028</v>
      </c>
      <c r="R113" s="23">
        <f>Q113/R$1</f>
        <v>7.6342809988967746E-3</v>
      </c>
      <c r="S113" s="23">
        <f>F113/S$1</f>
        <v>9.5052834132091247E-3</v>
      </c>
      <c r="T113" s="23">
        <f>1-(G113/T$1)</f>
        <v>0.99458211723660572</v>
      </c>
      <c r="U113" s="97">
        <f>T113/U$1</f>
        <v>7.6506316710508136E-3</v>
      </c>
      <c r="V113" s="23">
        <f>H113/V$1</f>
        <v>8.790203749809461E-3</v>
      </c>
      <c r="W113" s="23">
        <f>I113/W$1</f>
        <v>8.604056079564746E-3</v>
      </c>
      <c r="X113" s="23">
        <f>J113/X$1</f>
        <v>1.2288991092051964E-2</v>
      </c>
      <c r="Y113" s="23">
        <f>1-(K113/Y$1)</f>
        <v>0.99536936236838769</v>
      </c>
      <c r="Z113" s="97">
        <f>Y113/Z$1</f>
        <v>7.6566874028337513E-3</v>
      </c>
      <c r="AA113" s="23">
        <f>L113/$AA$1</f>
        <v>7.9993571945111471E-3</v>
      </c>
      <c r="AB113" s="23">
        <f>M113/AB$1</f>
        <v>1.4662564025591475E-2</v>
      </c>
      <c r="AC113" s="23">
        <f>N113/AC$1</f>
        <v>9.0375541083336543E-3</v>
      </c>
      <c r="AD113" s="23">
        <f>O113/AD$1</f>
        <v>9.1069581146366128E-3</v>
      </c>
      <c r="AE113" s="27">
        <f>('Modelo AHP'!$U$37*aux!P113)+('Modelo AHP'!$U$38*aux!R113)+('Modelo AHP'!$U$39*aux!S113)</f>
        <v>8.9889004505147203E-3</v>
      </c>
      <c r="AF113" s="28">
        <f>aux!U113</f>
        <v>7.6506316710508136E-3</v>
      </c>
      <c r="AG113" s="27">
        <f>('Modelo AHP'!$U$47*aux!V113)+('Modelo AHP'!$U$48*aux!W113)+('Modelo AHP'!$U$49*aux!X113)</f>
        <v>1.0062989245560034E-2</v>
      </c>
      <c r="AH113" s="28">
        <f>Z113</f>
        <v>7.6566874028337513E-3</v>
      </c>
      <c r="AI113" s="27">
        <f>('Modelo AHP'!$U$56*aux!AA113)+('Modelo AHP'!$U$57*aux!AB113)+('Modelo AHP'!$U$58*aux!AC113)+('Modelo AHP'!$U$59*aux!AD113)</f>
        <v>1.1652729327662158E-2</v>
      </c>
      <c r="AJ113" s="29">
        <f>('Modelo AHP'!$U$23*aux!AE113)+('Modelo AHP'!$U$24*aux!AF113)+('Modelo AHP'!$U$25*aux!AG113)+('Modelo AHP'!$U$26*aux!AH113)+('Modelo AHP'!$U$27*aux!AI113)</f>
        <v>9.0734595493598465E-3</v>
      </c>
    </row>
    <row r="114" spans="1:36">
      <c r="A114" s="1">
        <f>_xlfn.RANK.EQ(AJ114,AJ$5:AJ$135)</f>
        <v>20</v>
      </c>
      <c r="B114" s="16" t="s">
        <v>129</v>
      </c>
      <c r="C114" s="17" t="s">
        <v>132</v>
      </c>
      <c r="D114" s="143">
        <v>0.13714672075726841</v>
      </c>
      <c r="E114" s="18">
        <v>83.28</v>
      </c>
      <c r="F114" s="143">
        <v>0.57422979473432967</v>
      </c>
      <c r="G114" s="159">
        <v>28416.052490963382</v>
      </c>
      <c r="H114" s="146">
        <v>9.7899999999999991</v>
      </c>
      <c r="I114" s="146">
        <v>11.07</v>
      </c>
      <c r="J114" s="143">
        <v>7.6556005952075526E-2</v>
      </c>
      <c r="K114" s="161">
        <v>52206.91</v>
      </c>
      <c r="L114" s="143">
        <v>5.2370097609445318E-2</v>
      </c>
      <c r="M114" s="265">
        <v>1563</v>
      </c>
      <c r="N114" s="143">
        <v>5.9554784619832324E-2</v>
      </c>
      <c r="O114" s="143">
        <v>5.9849051896207588E-2</v>
      </c>
      <c r="P114" s="23">
        <f>D114/$P$1</f>
        <v>1.2553370765858796E-2</v>
      </c>
      <c r="Q114" s="23">
        <f>1-(E114/Q$1)</f>
        <v>0.99234064626257013</v>
      </c>
      <c r="R114" s="23">
        <f>Q114/R$1</f>
        <v>7.633389586635158E-3</v>
      </c>
      <c r="S114" s="23">
        <f>F114/S$1</f>
        <v>1.1772924671308966E-2</v>
      </c>
      <c r="T114" s="23">
        <f>1-(G114/T$1)</f>
        <v>0.99489426305436446</v>
      </c>
      <c r="U114" s="97">
        <f>T114/U$1</f>
        <v>7.6530327927258803E-3</v>
      </c>
      <c r="V114" s="23">
        <f>H114/V$1</f>
        <v>9.9486814694375262E-3</v>
      </c>
      <c r="W114" s="23">
        <f>I114/W$1</f>
        <v>9.1671704331839979E-3</v>
      </c>
      <c r="X114" s="23">
        <f>J114/X$1</f>
        <v>1.2288991092051964E-2</v>
      </c>
      <c r="Y114" s="23">
        <f>1-(K114/Y$1)</f>
        <v>0.99607572803054545</v>
      </c>
      <c r="Z114" s="97">
        <f>Y114/Z$1</f>
        <v>7.6621209848503494E-3</v>
      </c>
      <c r="AA114" s="23">
        <f>L114/$AA$1</f>
        <v>7.9993571945111471E-3</v>
      </c>
      <c r="AB114" s="23">
        <f>M114/AB$1</f>
        <v>1.4662564025591475E-2</v>
      </c>
      <c r="AC114" s="23">
        <f>N114/AC$1</f>
        <v>9.0375541083336543E-3</v>
      </c>
      <c r="AD114" s="23">
        <f>O114/AD$1</f>
        <v>9.1069581146366128E-3</v>
      </c>
      <c r="AE114" s="27">
        <f>('Modelo AHP'!$U$37*aux!P114)+('Modelo AHP'!$U$38*aux!R114)+('Modelo AHP'!$U$39*aux!S114)</f>
        <v>1.1593104991206533E-2</v>
      </c>
      <c r="AF114" s="28">
        <f>aux!U114</f>
        <v>7.6530327927258803E-3</v>
      </c>
      <c r="AG114" s="27">
        <f>('Modelo AHP'!$U$47*aux!V114)+('Modelo AHP'!$U$48*aux!W114)+('Modelo AHP'!$U$49*aux!X114)</f>
        <v>1.0508704828973398E-2</v>
      </c>
      <c r="AH114" s="28">
        <f>Z114</f>
        <v>7.6621209848503494E-3</v>
      </c>
      <c r="AI114" s="27">
        <f>('Modelo AHP'!$U$56*aux!AA114)+('Modelo AHP'!$U$57*aux!AB114)+('Modelo AHP'!$U$58*aux!AC114)+('Modelo AHP'!$U$59*aux!AD114)</f>
        <v>1.1652729327662158E-2</v>
      </c>
      <c r="AJ114" s="29">
        <f>('Modelo AHP'!$U$23*aux!AE114)+('Modelo AHP'!$U$24*aux!AF114)+('Modelo AHP'!$U$25*aux!AG114)+('Modelo AHP'!$U$26*aux!AH114)+('Modelo AHP'!$U$27*aux!AI114)</f>
        <v>9.6615575584525493E-3</v>
      </c>
    </row>
    <row r="115" spans="1:36">
      <c r="A115" s="1">
        <f>_xlfn.RANK.EQ(AJ115,AJ$5:AJ$135)</f>
        <v>17</v>
      </c>
      <c r="B115" s="16" t="s">
        <v>129</v>
      </c>
      <c r="C115" s="17" t="s">
        <v>133</v>
      </c>
      <c r="D115" s="143">
        <v>0.11209526621395532</v>
      </c>
      <c r="E115" s="18">
        <v>83.21</v>
      </c>
      <c r="F115" s="143">
        <v>0.58842722616884191</v>
      </c>
      <c r="G115" s="159">
        <v>28062.429956260723</v>
      </c>
      <c r="H115" s="146">
        <v>10.62</v>
      </c>
      <c r="I115" s="146">
        <v>12.46</v>
      </c>
      <c r="J115" s="143">
        <v>7.6556005952075526E-2</v>
      </c>
      <c r="K115" s="161">
        <v>58943.3</v>
      </c>
      <c r="L115" s="143">
        <v>5.2370097609445318E-2</v>
      </c>
      <c r="M115" s="265">
        <v>1563</v>
      </c>
      <c r="N115" s="143">
        <v>5.9554784619832324E-2</v>
      </c>
      <c r="O115" s="143">
        <v>5.9849051896207588E-2</v>
      </c>
      <c r="P115" s="23">
        <f>D115/$P$1</f>
        <v>1.0260350594688567E-2</v>
      </c>
      <c r="Q115" s="23">
        <f>1-(E115/Q$1)</f>
        <v>0.99234708424001516</v>
      </c>
      <c r="R115" s="23">
        <f>Q115/R$1</f>
        <v>7.6334391095385819E-3</v>
      </c>
      <c r="S115" s="23">
        <f>F115/S$1</f>
        <v>1.2064002028034974E-2</v>
      </c>
      <c r="T115" s="23">
        <f>1-(G115/T$1)</f>
        <v>0.99495780121262245</v>
      </c>
      <c r="U115" s="97">
        <f>T115/U$1</f>
        <v>7.6535215477894032E-3</v>
      </c>
      <c r="V115" s="23">
        <f>H115/V$1</f>
        <v>1.0792134546008839E-2</v>
      </c>
      <c r="W115" s="23">
        <f>I115/W$1</f>
        <v>1.0318242420729234E-2</v>
      </c>
      <c r="X115" s="23">
        <f>J115/X$1</f>
        <v>1.2288991092051964E-2</v>
      </c>
      <c r="Y115" s="23">
        <f>1-(K115/Y$1)</f>
        <v>0.99556936926592376</v>
      </c>
      <c r="Z115" s="97">
        <f>Y115/Z$1</f>
        <v>7.6582259174301824E-3</v>
      </c>
      <c r="AA115" s="23">
        <f>L115/$AA$1</f>
        <v>7.9993571945111471E-3</v>
      </c>
      <c r="AB115" s="23">
        <f>M115/AB$1</f>
        <v>1.4662564025591475E-2</v>
      </c>
      <c r="AC115" s="23">
        <f>N115/AC$1</f>
        <v>9.0375541083336543E-3</v>
      </c>
      <c r="AD115" s="23">
        <f>O115/AD$1</f>
        <v>9.1069581146366128E-3</v>
      </c>
      <c r="AE115" s="27">
        <f>('Modelo AHP'!$U$37*aux!P115)+('Modelo AHP'!$U$38*aux!R115)+('Modelo AHP'!$U$39*aux!S115)</f>
        <v>1.1079850306181412E-2</v>
      </c>
      <c r="AF115" s="28">
        <f>aux!U115</f>
        <v>7.6535215477894032E-3</v>
      </c>
      <c r="AG115" s="27">
        <f>('Modelo AHP'!$U$47*aux!V115)+('Modelo AHP'!$U$48*aux!W115)+('Modelo AHP'!$U$49*aux!X115)</f>
        <v>1.1161835815200218E-2</v>
      </c>
      <c r="AH115" s="28">
        <f>Z115</f>
        <v>7.6582259174301824E-3</v>
      </c>
      <c r="AI115" s="27">
        <f>('Modelo AHP'!$U$56*aux!AA115)+('Modelo AHP'!$U$57*aux!AB115)+('Modelo AHP'!$U$58*aux!AC115)+('Modelo AHP'!$U$59*aux!AD115)</f>
        <v>1.1652729327662158E-2</v>
      </c>
      <c r="AJ115" s="29">
        <f>('Modelo AHP'!$U$23*aux!AE115)+('Modelo AHP'!$U$24*aux!AF115)+('Modelo AHP'!$U$25*aux!AG115)+('Modelo AHP'!$U$26*aux!AH115)+('Modelo AHP'!$U$27*aux!AI115)</f>
        <v>9.7989596950898532E-3</v>
      </c>
    </row>
    <row r="116" spans="1:36">
      <c r="A116" s="1">
        <f>_xlfn.RANK.EQ(AJ116,AJ$5:AJ$135)</f>
        <v>24</v>
      </c>
      <c r="B116" s="16" t="s">
        <v>134</v>
      </c>
      <c r="C116" s="17" t="s">
        <v>135</v>
      </c>
      <c r="D116" s="143">
        <v>0.10163563160543532</v>
      </c>
      <c r="E116" s="18">
        <v>82.85</v>
      </c>
      <c r="F116" s="143">
        <v>0.64314460172078824</v>
      </c>
      <c r="G116" s="159">
        <v>28357.195238000593</v>
      </c>
      <c r="H116" s="146">
        <v>12.05</v>
      </c>
      <c r="I116" s="146">
        <v>13.6</v>
      </c>
      <c r="J116" s="143">
        <v>6.3105304639388723E-2</v>
      </c>
      <c r="K116" s="161">
        <v>55794.28</v>
      </c>
      <c r="L116" s="143">
        <v>2.5951253726109066E-2</v>
      </c>
      <c r="M116" s="265">
        <v>1370</v>
      </c>
      <c r="N116" s="143">
        <v>2.1007998458128552E-2</v>
      </c>
      <c r="O116" s="143">
        <v>2.223677644710579E-2</v>
      </c>
      <c r="P116" s="23">
        <f>D116/$P$1</f>
        <v>9.3029549632716851E-3</v>
      </c>
      <c r="Q116" s="23">
        <f>1-(E116/Q$1)</f>
        <v>0.99238019383830378</v>
      </c>
      <c r="R116" s="23">
        <f>Q116/R$1</f>
        <v>7.6336937987561866E-3</v>
      </c>
      <c r="S116" s="23">
        <f>F116/S$1</f>
        <v>1.3185823895329097E-2</v>
      </c>
      <c r="T116" s="23">
        <f>1-(G116/T$1)</f>
        <v>0.99490483840261401</v>
      </c>
      <c r="U116" s="97">
        <f>T116/U$1</f>
        <v>7.6531141415585695E-3</v>
      </c>
      <c r="V116" s="23">
        <f>H116/V$1</f>
        <v>1.2245312738173874E-2</v>
      </c>
      <c r="W116" s="23">
        <f>I116/W$1</f>
        <v>1.1262287072385038E-2</v>
      </c>
      <c r="X116" s="23">
        <f>J116/X$1</f>
        <v>1.012984568526395E-2</v>
      </c>
      <c r="Y116" s="23">
        <f>1-(K116/Y$1)</f>
        <v>0.99580607377337793</v>
      </c>
      <c r="Z116" s="97">
        <f>Y116/Z$1</f>
        <v>7.6600467213336762E-3</v>
      </c>
      <c r="AA116" s="23">
        <f>L116/$AA$1</f>
        <v>3.9639671812086484E-3</v>
      </c>
      <c r="AB116" s="23">
        <f>M116/AB$1</f>
        <v>1.2852023490121767E-2</v>
      </c>
      <c r="AC116" s="23">
        <f>N116/AC$1</f>
        <v>3.1880045236516771E-3</v>
      </c>
      <c r="AD116" s="23">
        <f>O116/AD$1</f>
        <v>3.38366916922142E-3</v>
      </c>
      <c r="AE116" s="27">
        <f>('Modelo AHP'!$U$37*aux!P116)+('Modelo AHP'!$U$38*aux!R116)+('Modelo AHP'!$U$39*aux!S116)</f>
        <v>1.1465750206054582E-2</v>
      </c>
      <c r="AF116" s="28">
        <f>aux!U116</f>
        <v>7.6531141415585695E-3</v>
      </c>
      <c r="AG116" s="27">
        <f>('Modelo AHP'!$U$47*aux!V116)+('Modelo AHP'!$U$48*aux!W116)+('Modelo AHP'!$U$49*aux!X116)</f>
        <v>1.0989939925607883E-2</v>
      </c>
      <c r="AH116" s="28">
        <f>Z116</f>
        <v>7.6600467213336762E-3</v>
      </c>
      <c r="AI116" s="27">
        <f>('Modelo AHP'!$U$56*aux!AA116)+('Modelo AHP'!$U$57*aux!AB116)+('Modelo AHP'!$U$58*aux!AC116)+('Modelo AHP'!$U$59*aux!AD116)</f>
        <v>8.1118256502172546E-3</v>
      </c>
      <c r="AJ116" s="29">
        <f>('Modelo AHP'!$U$23*aux!AE116)+('Modelo AHP'!$U$24*aux!AF116)+('Modelo AHP'!$U$25*aux!AG116)+('Modelo AHP'!$U$26*aux!AH116)+('Modelo AHP'!$U$27*aux!AI116)</f>
        <v>9.4731298866877929E-3</v>
      </c>
    </row>
    <row r="117" spans="1:36">
      <c r="A117" s="1">
        <f>_xlfn.RANK.EQ(AJ117,AJ$5:AJ$135)</f>
        <v>47</v>
      </c>
      <c r="B117" s="16" t="s">
        <v>134</v>
      </c>
      <c r="C117" s="17" t="s">
        <v>136</v>
      </c>
      <c r="D117" s="143">
        <v>3.255813953488372E-2</v>
      </c>
      <c r="E117" s="18">
        <v>82.28</v>
      </c>
      <c r="F117" s="143">
        <v>0.44891965596811412</v>
      </c>
      <c r="G117" s="159">
        <v>36426.582003659656</v>
      </c>
      <c r="H117" s="146">
        <v>9.2200000000000006</v>
      </c>
      <c r="I117" s="146">
        <v>10.59</v>
      </c>
      <c r="J117" s="143">
        <v>6.3105304639388723E-2</v>
      </c>
      <c r="K117" s="161">
        <v>57584.02</v>
      </c>
      <c r="L117" s="143">
        <v>2.5951253726109066E-2</v>
      </c>
      <c r="M117" s="265">
        <v>1370</v>
      </c>
      <c r="N117" s="143">
        <v>2.1007998458128552E-2</v>
      </c>
      <c r="O117" s="143">
        <v>2.223677644710579E-2</v>
      </c>
      <c r="P117" s="23">
        <f>D117/$P$1</f>
        <v>2.9801251883472394E-3</v>
      </c>
      <c r="Q117" s="23">
        <f>1-(E117/Q$1)</f>
        <v>0.99243261736892741</v>
      </c>
      <c r="R117" s="23">
        <f>Q117/R$1</f>
        <v>7.6340970566840605E-3</v>
      </c>
      <c r="S117" s="23">
        <f>F117/S$1</f>
        <v>9.2038019302494063E-3</v>
      </c>
      <c r="T117" s="23">
        <f>1-(G117/T$1)</f>
        <v>0.99345494784687438</v>
      </c>
      <c r="U117" s="97">
        <f>T117/U$1</f>
        <v>7.6419611372836489E-3</v>
      </c>
      <c r="V117" s="23">
        <f>H117/V$1</f>
        <v>9.3694426096234944E-3</v>
      </c>
      <c r="W117" s="23">
        <f>I117/W$1</f>
        <v>8.7696779482762909E-3</v>
      </c>
      <c r="X117" s="23">
        <f>J117/X$1</f>
        <v>1.012984568526395E-2</v>
      </c>
      <c r="Y117" s="23">
        <f>1-(K117/Y$1)</f>
        <v>0.99567154318126638</v>
      </c>
      <c r="Z117" s="97">
        <f>Y117/Z$1</f>
        <v>7.6590118706251261E-3</v>
      </c>
      <c r="AA117" s="23">
        <f>L117/$AA$1</f>
        <v>3.9639671812086484E-3</v>
      </c>
      <c r="AB117" s="23">
        <f>M117/AB$1</f>
        <v>1.2852023490121767E-2</v>
      </c>
      <c r="AC117" s="23">
        <f>N117/AC$1</f>
        <v>3.1880045236516771E-3</v>
      </c>
      <c r="AD117" s="23">
        <f>O117/AD$1</f>
        <v>3.38366916922142E-3</v>
      </c>
      <c r="AE117" s="27">
        <f>('Modelo AHP'!$U$37*aux!P117)+('Modelo AHP'!$U$38*aux!R117)+('Modelo AHP'!$U$39*aux!S117)</f>
        <v>7.1797284203222221E-3</v>
      </c>
      <c r="AF117" s="28">
        <f>aux!U117</f>
        <v>7.6419611372836489E-3</v>
      </c>
      <c r="AG117" s="27">
        <f>('Modelo AHP'!$U$47*aux!V117)+('Modelo AHP'!$U$48*aux!W117)+('Modelo AHP'!$U$49*aux!X117)</f>
        <v>9.3980476057927854E-3</v>
      </c>
      <c r="AH117" s="28">
        <f>Z117</f>
        <v>7.6590118706251261E-3</v>
      </c>
      <c r="AI117" s="27">
        <f>('Modelo AHP'!$U$56*aux!AA117)+('Modelo AHP'!$U$57*aux!AB117)+('Modelo AHP'!$U$58*aux!AC117)+('Modelo AHP'!$U$59*aux!AD117)</f>
        <v>8.1118256502172546E-3</v>
      </c>
      <c r="AJ117" s="29">
        <f>('Modelo AHP'!$U$23*aux!AE117)+('Modelo AHP'!$U$24*aux!AF117)+('Modelo AHP'!$U$25*aux!AG117)+('Modelo AHP'!$U$26*aux!AH117)+('Modelo AHP'!$U$27*aux!AI117)</f>
        <v>8.2101908703858268E-3</v>
      </c>
    </row>
    <row r="118" spans="1:36">
      <c r="A118" s="1">
        <f>_xlfn.RANK.EQ(AJ118,AJ$5:AJ$135)</f>
        <v>53</v>
      </c>
      <c r="B118" s="16" t="s">
        <v>134</v>
      </c>
      <c r="C118" s="17" t="s">
        <v>327</v>
      </c>
      <c r="D118" s="143">
        <v>5.5693126060439309E-2</v>
      </c>
      <c r="E118" s="18">
        <v>82.85</v>
      </c>
      <c r="F118" s="143">
        <v>0.27867445621678716</v>
      </c>
      <c r="G118" s="159">
        <v>32080.210261506927</v>
      </c>
      <c r="H118" s="146">
        <v>7.65</v>
      </c>
      <c r="I118" s="146">
        <v>9.8000000000000007</v>
      </c>
      <c r="J118" s="143">
        <v>6.3105304639388723E-2</v>
      </c>
      <c r="K118" s="161">
        <v>70762.740000000005</v>
      </c>
      <c r="L118" s="143">
        <v>2.5951253726109066E-2</v>
      </c>
      <c r="M118" s="265">
        <v>1370</v>
      </c>
      <c r="N118" s="143">
        <v>2.1007998458128552E-2</v>
      </c>
      <c r="O118" s="143">
        <v>2.223677644710579E-2</v>
      </c>
      <c r="P118" s="23">
        <f>D118/$P$1</f>
        <v>5.0977264107086211E-3</v>
      </c>
      <c r="Q118" s="23">
        <f>1-(E118/Q$1)</f>
        <v>0.99238019383830378</v>
      </c>
      <c r="R118" s="23">
        <f>Q118/R$1</f>
        <v>7.6336937987561866E-3</v>
      </c>
      <c r="S118" s="23">
        <f>F118/S$1</f>
        <v>5.7134154496042977E-3</v>
      </c>
      <c r="T118" s="23">
        <f>1-(G118/T$1)</f>
        <v>0.99423589484119856</v>
      </c>
      <c r="U118" s="97">
        <f>T118/U$1</f>
        <v>7.6479684218553733E-3</v>
      </c>
      <c r="V118" s="23">
        <f>H118/V$1</f>
        <v>7.7739952238199276E-3</v>
      </c>
      <c r="W118" s="23">
        <f>I118/W$1</f>
        <v>8.1154715668656906E-3</v>
      </c>
      <c r="X118" s="23">
        <f>J118/X$1</f>
        <v>1.012984568526395E-2</v>
      </c>
      <c r="Y118" s="23">
        <f>1-(K118/Y$1)</f>
        <v>0.9946809294581157</v>
      </c>
      <c r="Z118" s="97">
        <f>Y118/Z$1</f>
        <v>7.6513917650624288E-3</v>
      </c>
      <c r="AA118" s="23">
        <f>L118/$AA$1</f>
        <v>3.9639671812086484E-3</v>
      </c>
      <c r="AB118" s="23">
        <f>M118/AB$1</f>
        <v>1.2852023490121767E-2</v>
      </c>
      <c r="AC118" s="23">
        <f>N118/AC$1</f>
        <v>3.1880045236516771E-3</v>
      </c>
      <c r="AD118" s="23">
        <f>O118/AD$1</f>
        <v>3.38366916922142E-3</v>
      </c>
      <c r="AE118" s="27">
        <f>('Modelo AHP'!$U$37*aux!P118)+('Modelo AHP'!$U$38*aux!R118)+('Modelo AHP'!$U$39*aux!S118)</f>
        <v>5.720736572850783E-3</v>
      </c>
      <c r="AF118" s="28">
        <f>aux!U118</f>
        <v>7.6479684218553733E-3</v>
      </c>
      <c r="AG118" s="27">
        <f>('Modelo AHP'!$U$47*aux!V118)+('Modelo AHP'!$U$48*aux!W118)+('Modelo AHP'!$U$49*aux!X118)</f>
        <v>8.8380039526473608E-3</v>
      </c>
      <c r="AH118" s="28">
        <f>Z118</f>
        <v>7.6513917650624288E-3</v>
      </c>
      <c r="AI118" s="27">
        <f>('Modelo AHP'!$U$56*aux!AA118)+('Modelo AHP'!$U$57*aux!AB118)+('Modelo AHP'!$U$58*aux!AC118)+('Modelo AHP'!$U$59*aux!AD118)</f>
        <v>8.1118256502172546E-3</v>
      </c>
      <c r="AJ118" s="29">
        <f>('Modelo AHP'!$U$23*aux!AE118)+('Modelo AHP'!$U$24*aux!AF118)+('Modelo AHP'!$U$25*aux!AG118)+('Modelo AHP'!$U$26*aux!AH118)+('Modelo AHP'!$U$27*aux!AI118)</f>
        <v>7.7766911709437432E-3</v>
      </c>
    </row>
    <row r="119" spans="1:36">
      <c r="A119" s="1">
        <f>_xlfn.RANK.EQ(AJ119,AJ$5:AJ$135)</f>
        <v>29</v>
      </c>
      <c r="B119" s="16" t="s">
        <v>137</v>
      </c>
      <c r="C119" s="17" t="s">
        <v>138</v>
      </c>
      <c r="D119" s="143">
        <v>9.9152046783625727E-2</v>
      </c>
      <c r="E119" s="18">
        <v>83.34</v>
      </c>
      <c r="F119" s="143">
        <v>0.66301558730037147</v>
      </c>
      <c r="G119" s="159">
        <v>24737.461738598104</v>
      </c>
      <c r="H119" s="146">
        <v>11.92</v>
      </c>
      <c r="I119" s="146">
        <v>13.81</v>
      </c>
      <c r="J119" s="143">
        <v>6.2535329215953103E-2</v>
      </c>
      <c r="K119" s="161">
        <v>54182.2</v>
      </c>
      <c r="L119" s="143">
        <v>3.0860950376994566E-2</v>
      </c>
      <c r="M119" s="265">
        <v>669</v>
      </c>
      <c r="N119" s="143">
        <v>2.4252352960071954E-2</v>
      </c>
      <c r="O119" s="143">
        <v>2.3858532934131736E-2</v>
      </c>
      <c r="P119" s="23">
        <f>D119/$P$1</f>
        <v>9.0756264429506274E-3</v>
      </c>
      <c r="Q119" s="23">
        <f>1-(E119/Q$1)</f>
        <v>0.99233512799618873</v>
      </c>
      <c r="R119" s="23">
        <f>Q119/R$1</f>
        <v>7.6333471384322244E-3</v>
      </c>
      <c r="S119" s="23">
        <f>F119/S$1</f>
        <v>1.3593221105502306E-2</v>
      </c>
      <c r="T119" s="23">
        <f>1-(G119/T$1)</f>
        <v>0.99555522455555101</v>
      </c>
      <c r="U119" s="97">
        <f>T119/U$1</f>
        <v>7.6581171119657768E-3</v>
      </c>
      <c r="V119" s="23">
        <f>H119/V$1</f>
        <v>1.2113205629795233E-2</v>
      </c>
      <c r="W119" s="23">
        <f>I119/W$1</f>
        <v>1.1436190034532161E-2</v>
      </c>
      <c r="X119" s="23">
        <f>J119/X$1</f>
        <v>1.0038351584779217E-2</v>
      </c>
      <c r="Y119" s="23">
        <f>1-(K119/Y$1)</f>
        <v>0.99592725007660132</v>
      </c>
      <c r="Z119" s="97">
        <f>Y119/Z$1</f>
        <v>7.6609788467430868E-3</v>
      </c>
      <c r="AA119" s="23">
        <f>L119/$AA$1</f>
        <v>4.7139069181940689E-3</v>
      </c>
      <c r="AB119" s="23">
        <f>M119/AB$1</f>
        <v>6.2759151203587308E-3</v>
      </c>
      <c r="AC119" s="23">
        <f>N119/AC$1</f>
        <v>3.6803416136957437E-3</v>
      </c>
      <c r="AD119" s="23">
        <f>O119/AD$1</f>
        <v>3.6304444803006816E-3</v>
      </c>
      <c r="AE119" s="27">
        <f>('Modelo AHP'!$U$37*aux!P119)+('Modelo AHP'!$U$38*aux!R119)+('Modelo AHP'!$U$39*aux!S119)</f>
        <v>1.1641955310029794E-2</v>
      </c>
      <c r="AF119" s="28">
        <f>aux!U119</f>
        <v>7.6581171119657768E-3</v>
      </c>
      <c r="AG119" s="27">
        <f>('Modelo AHP'!$U$47*aux!V119)+('Modelo AHP'!$U$48*aux!W119)+('Modelo AHP'!$U$49*aux!X119)</f>
        <v>1.1009258893684672E-2</v>
      </c>
      <c r="AH119" s="28">
        <f>Z119</f>
        <v>7.6609788467430868E-3</v>
      </c>
      <c r="AI119" s="27">
        <f>('Modelo AHP'!$U$56*aux!AA119)+('Modelo AHP'!$U$57*aux!AB119)+('Modelo AHP'!$U$58*aux!AC119)+('Modelo AHP'!$U$59*aux!AD119)</f>
        <v>5.1257831422193995E-3</v>
      </c>
      <c r="AJ119" s="29">
        <f>('Modelo AHP'!$U$23*aux!AE119)+('Modelo AHP'!$U$24*aux!AF119)+('Modelo AHP'!$U$25*aux!AG119)+('Modelo AHP'!$U$26*aux!AH119)+('Modelo AHP'!$U$27*aux!AI119)</f>
        <v>9.2312723014986199E-3</v>
      </c>
    </row>
    <row r="120" spans="1:36">
      <c r="A120" s="1">
        <f>_xlfn.RANK.EQ(AJ120,AJ$5:AJ$135)</f>
        <v>57</v>
      </c>
      <c r="B120" s="16" t="s">
        <v>137</v>
      </c>
      <c r="C120" s="17" t="s">
        <v>328</v>
      </c>
      <c r="D120" s="143">
        <v>3.6060554516074164E-2</v>
      </c>
      <c r="E120" s="18">
        <v>83.34</v>
      </c>
      <c r="F120" s="143">
        <v>0.35197044334975369</v>
      </c>
      <c r="G120" s="159">
        <v>38092.09981925731</v>
      </c>
      <c r="H120" s="146">
        <v>8.94</v>
      </c>
      <c r="I120" s="146">
        <v>9.35</v>
      </c>
      <c r="J120" s="143">
        <v>6.2535329215953103E-2</v>
      </c>
      <c r="K120" s="161">
        <v>61754.93</v>
      </c>
      <c r="L120" s="143">
        <v>3.0860950376994566E-2</v>
      </c>
      <c r="M120" s="265">
        <v>669</v>
      </c>
      <c r="N120" s="143">
        <v>2.4252352960071954E-2</v>
      </c>
      <c r="O120" s="143">
        <v>2.3858532934131736E-2</v>
      </c>
      <c r="P120" s="23">
        <f>D120/$P$1</f>
        <v>3.300709695158729E-3</v>
      </c>
      <c r="Q120" s="23">
        <f>1-(E120/Q$1)</f>
        <v>0.99233512799618873</v>
      </c>
      <c r="R120" s="23">
        <f>Q120/R$1</f>
        <v>7.6333471384322244E-3</v>
      </c>
      <c r="S120" s="23">
        <f>F120/S$1</f>
        <v>7.2161381281181762E-3</v>
      </c>
      <c r="T120" s="23">
        <f>1-(G120/T$1)</f>
        <v>0.99315569108531632</v>
      </c>
      <c r="U120" s="97">
        <f>T120/U$1</f>
        <v>7.6396591621947412E-3</v>
      </c>
      <c r="V120" s="23">
        <f>H120/V$1</f>
        <v>9.0849042223464238E-3</v>
      </c>
      <c r="W120" s="23">
        <f>I120/W$1</f>
        <v>7.7428223622647138E-3</v>
      </c>
      <c r="X120" s="23">
        <f>J120/X$1</f>
        <v>1.0038351584779217E-2</v>
      </c>
      <c r="Y120" s="23">
        <f>1-(K120/Y$1)</f>
        <v>0.99535802557985853</v>
      </c>
      <c r="Z120" s="97">
        <f>Y120/Z$1</f>
        <v>7.656600196768143E-3</v>
      </c>
      <c r="AA120" s="23">
        <f>L120/$AA$1</f>
        <v>4.7139069181940689E-3</v>
      </c>
      <c r="AB120" s="23">
        <f>M120/AB$1</f>
        <v>6.2759151203587308E-3</v>
      </c>
      <c r="AC120" s="23">
        <f>N120/AC$1</f>
        <v>3.6803416136957437E-3</v>
      </c>
      <c r="AD120" s="23">
        <f>O120/AD$1</f>
        <v>3.6304444803006816E-3</v>
      </c>
      <c r="AE120" s="27">
        <f>('Modelo AHP'!$U$37*aux!P120)+('Modelo AHP'!$U$38*aux!R120)+('Modelo AHP'!$U$39*aux!S120)</f>
        <v>6.0832304992617468E-3</v>
      </c>
      <c r="AF120" s="28">
        <f>aux!U120</f>
        <v>7.6396591621947412E-3</v>
      </c>
      <c r="AG120" s="27">
        <f>('Modelo AHP'!$U$47*aux!V120)+('Modelo AHP'!$U$48*aux!W120)+('Modelo AHP'!$U$49*aux!X120)</f>
        <v>8.8591239213097837E-3</v>
      </c>
      <c r="AH120" s="28">
        <f>Z120</f>
        <v>7.656600196768143E-3</v>
      </c>
      <c r="AI120" s="27">
        <f>('Modelo AHP'!$U$56*aux!AA120)+('Modelo AHP'!$U$57*aux!AB120)+('Modelo AHP'!$U$58*aux!AC120)+('Modelo AHP'!$U$59*aux!AD120)</f>
        <v>5.1257831422193995E-3</v>
      </c>
      <c r="AJ120" s="29">
        <f>('Modelo AHP'!$U$23*aux!AE120)+('Modelo AHP'!$U$24*aux!AF120)+('Modelo AHP'!$U$25*aux!AG120)+('Modelo AHP'!$U$26*aux!AH120)+('Modelo AHP'!$U$27*aux!AI120)</f>
        <v>7.5625644277062644E-3</v>
      </c>
    </row>
    <row r="121" spans="1:36">
      <c r="A121" s="1">
        <f>_xlfn.RANK.EQ(AJ121,AJ$5:AJ$135)</f>
        <v>84</v>
      </c>
      <c r="B121" s="16" t="s">
        <v>137</v>
      </c>
      <c r="C121" s="17" t="s">
        <v>329</v>
      </c>
      <c r="D121" s="143">
        <v>1.7546754675467548E-2</v>
      </c>
      <c r="E121" s="18">
        <v>83.34</v>
      </c>
      <c r="F121" s="143">
        <v>0.23176857786246319</v>
      </c>
      <c r="G121" s="159">
        <v>39290.701014584658</v>
      </c>
      <c r="H121" s="146">
        <v>5.73</v>
      </c>
      <c r="I121" s="146">
        <v>6.57</v>
      </c>
      <c r="J121" s="143">
        <v>6.2535329215953103E-2</v>
      </c>
      <c r="K121" s="161">
        <v>77028.05</v>
      </c>
      <c r="L121" s="143">
        <v>3.0860950376994566E-2</v>
      </c>
      <c r="M121" s="265">
        <v>669</v>
      </c>
      <c r="N121" s="143">
        <v>2.4252352960071954E-2</v>
      </c>
      <c r="O121" s="143">
        <v>2.3858532934131736E-2</v>
      </c>
      <c r="P121" s="23">
        <f>D121/$P$1</f>
        <v>1.6060968571648235E-3</v>
      </c>
      <c r="Q121" s="23">
        <f>1-(E121/Q$1)</f>
        <v>0.99233512799618873</v>
      </c>
      <c r="R121" s="23">
        <f>Q121/R$1</f>
        <v>7.6333471384322244E-3</v>
      </c>
      <c r="S121" s="23">
        <f>F121/S$1</f>
        <v>4.7517457877879424E-3</v>
      </c>
      <c r="T121" s="23">
        <f>1-(G121/T$1)</f>
        <v>0.99294032892662054</v>
      </c>
      <c r="U121" s="97">
        <f>T121/U$1</f>
        <v>7.6380025302047738E-3</v>
      </c>
      <c r="V121" s="23">
        <f>H121/V$1</f>
        <v>5.8228748539200246E-3</v>
      </c>
      <c r="W121" s="23">
        <f>I121/W$1</f>
        <v>5.4406783871742432E-3</v>
      </c>
      <c r="X121" s="23">
        <f>J121/X$1</f>
        <v>1.0038351584779217E-2</v>
      </c>
      <c r="Y121" s="23">
        <f>1-(K121/Y$1)</f>
        <v>0.99420998068116373</v>
      </c>
      <c r="Z121" s="97">
        <f>Y121/Z$1</f>
        <v>7.6477690821627978E-3</v>
      </c>
      <c r="AA121" s="23">
        <f>L121/$AA$1</f>
        <v>4.7139069181940689E-3</v>
      </c>
      <c r="AB121" s="23">
        <f>M121/AB$1</f>
        <v>6.2759151203587308E-3</v>
      </c>
      <c r="AC121" s="23">
        <f>N121/AC$1</f>
        <v>3.6803416136957437E-3</v>
      </c>
      <c r="AD121" s="23">
        <f>O121/AD$1</f>
        <v>3.6304444803006816E-3</v>
      </c>
      <c r="AE121" s="27">
        <f>('Modelo AHP'!$U$37*aux!P121)+('Modelo AHP'!$U$38*aux!R121)+('Modelo AHP'!$U$39*aux!S121)</f>
        <v>4.0962112436654348E-3</v>
      </c>
      <c r="AF121" s="28">
        <f>aux!U121</f>
        <v>7.6380025302047738E-3</v>
      </c>
      <c r="AG121" s="27">
        <f>('Modelo AHP'!$U$47*aux!V121)+('Modelo AHP'!$U$48*aux!W121)+('Modelo AHP'!$U$49*aux!X121)</f>
        <v>7.2863512990021684E-3</v>
      </c>
      <c r="AH121" s="28">
        <f>Z121</f>
        <v>7.6477690821627978E-3</v>
      </c>
      <c r="AI121" s="27">
        <f>('Modelo AHP'!$U$56*aux!AA121)+('Modelo AHP'!$U$57*aux!AB121)+('Modelo AHP'!$U$58*aux!AC121)+('Modelo AHP'!$U$59*aux!AD121)</f>
        <v>5.1257831422193995E-3</v>
      </c>
      <c r="AJ121" s="29">
        <f>('Modelo AHP'!$U$23*aux!AE121)+('Modelo AHP'!$U$24*aux!AF121)+('Modelo AHP'!$U$25*aux!AG121)+('Modelo AHP'!$U$26*aux!AH121)+('Modelo AHP'!$U$27*aux!AI121)</f>
        <v>6.6923058301059544E-3</v>
      </c>
    </row>
    <row r="122" spans="1:36">
      <c r="A122" s="1">
        <f>_xlfn.RANK.EQ(AJ122,AJ$5:AJ$135)</f>
        <v>61</v>
      </c>
      <c r="B122" s="16" t="s">
        <v>137</v>
      </c>
      <c r="C122" s="17" t="s">
        <v>330</v>
      </c>
      <c r="D122" s="143">
        <v>4.2328042328042326E-2</v>
      </c>
      <c r="E122" s="18">
        <v>83.34</v>
      </c>
      <c r="F122" s="143">
        <v>0.35897435897435898</v>
      </c>
      <c r="G122" s="159">
        <v>38691.40041692098</v>
      </c>
      <c r="H122" s="146">
        <v>6.01</v>
      </c>
      <c r="I122" s="146">
        <v>9.41</v>
      </c>
      <c r="J122" s="143">
        <v>6.2535329215953103E-2</v>
      </c>
      <c r="K122" s="161">
        <v>106107.71</v>
      </c>
      <c r="L122" s="143">
        <v>3.0860950376994566E-2</v>
      </c>
      <c r="M122" s="265">
        <v>669</v>
      </c>
      <c r="N122" s="143">
        <v>2.4252352960071954E-2</v>
      </c>
      <c r="O122" s="143">
        <v>2.3858532934131736E-2</v>
      </c>
      <c r="P122" s="23">
        <f>D122/$P$1</f>
        <v>3.8743879999676881E-3</v>
      </c>
      <c r="Q122" s="23">
        <f>1-(E122/Q$1)</f>
        <v>0.99233512799618873</v>
      </c>
      <c r="R122" s="23">
        <f>Q122/R$1</f>
        <v>7.6333471384322244E-3</v>
      </c>
      <c r="S122" s="23">
        <f>F122/S$1</f>
        <v>7.3597332041814628E-3</v>
      </c>
      <c r="T122" s="23">
        <f>1-(G122/T$1)</f>
        <v>0.99304801000596843</v>
      </c>
      <c r="U122" s="97">
        <f>T122/U$1</f>
        <v>7.6388308461997571E-3</v>
      </c>
      <c r="V122" s="23">
        <f>H122/V$1</f>
        <v>6.1074132411970926E-3</v>
      </c>
      <c r="W122" s="23">
        <f>I122/W$1</f>
        <v>7.7925089228781776E-3</v>
      </c>
      <c r="X122" s="23">
        <f>J122/X$1</f>
        <v>1.0038351584779217E-2</v>
      </c>
      <c r="Y122" s="23">
        <f>1-(K122/Y$1)</f>
        <v>0.99202413029049186</v>
      </c>
      <c r="Z122" s="97">
        <f>Y122/Z$1</f>
        <v>7.6309548483883992E-3</v>
      </c>
      <c r="AA122" s="23">
        <f>L122/$AA$1</f>
        <v>4.7139069181940689E-3</v>
      </c>
      <c r="AB122" s="23">
        <f>M122/AB$1</f>
        <v>6.2759151203587308E-3</v>
      </c>
      <c r="AC122" s="23">
        <f>N122/AC$1</f>
        <v>3.6803416136957437E-3</v>
      </c>
      <c r="AD122" s="23">
        <f>O122/AD$1</f>
        <v>3.6304444803006816E-3</v>
      </c>
      <c r="AE122" s="27">
        <f>('Modelo AHP'!$U$37*aux!P122)+('Modelo AHP'!$U$38*aux!R122)+('Modelo AHP'!$U$39*aux!S122)</f>
        <v>6.3414910363424068E-3</v>
      </c>
      <c r="AF122" s="28">
        <f>aux!U122</f>
        <v>7.6388308461997571E-3</v>
      </c>
      <c r="AG122" s="27">
        <f>('Modelo AHP'!$U$47*aux!V122)+('Modelo AHP'!$U$48*aux!W122)+('Modelo AHP'!$U$49*aux!X122)</f>
        <v>8.3773652894676316E-3</v>
      </c>
      <c r="AH122" s="28">
        <f>Z122</f>
        <v>7.6309548483883992E-3</v>
      </c>
      <c r="AI122" s="27">
        <f>('Modelo AHP'!$U$56*aux!AA122)+('Modelo AHP'!$U$57*aux!AB122)+('Modelo AHP'!$U$58*aux!AC122)+('Modelo AHP'!$U$59*aux!AD122)</f>
        <v>5.1257831422193995E-3</v>
      </c>
      <c r="AJ122" s="29">
        <f>('Modelo AHP'!$U$23*aux!AE122)+('Modelo AHP'!$U$24*aux!AF122)+('Modelo AHP'!$U$25*aux!AG122)+('Modelo AHP'!$U$26*aux!AH122)+('Modelo AHP'!$U$27*aux!AI122)</f>
        <v>7.4388403879919514E-3</v>
      </c>
    </row>
    <row r="123" spans="1:36">
      <c r="A123" s="1">
        <f>_xlfn.RANK.EQ(AJ123,AJ$5:AJ$135)</f>
        <v>39</v>
      </c>
      <c r="B123" s="16" t="s">
        <v>139</v>
      </c>
      <c r="C123" s="17" t="s">
        <v>140</v>
      </c>
      <c r="D123" s="143">
        <v>0.10208501578445048</v>
      </c>
      <c r="E123" s="18">
        <v>83.06</v>
      </c>
      <c r="F123" s="143">
        <v>0.48927913068788204</v>
      </c>
      <c r="G123" s="159">
        <v>31368.082104293884</v>
      </c>
      <c r="H123" s="146">
        <v>9.08</v>
      </c>
      <c r="I123" s="146">
        <v>11.26</v>
      </c>
      <c r="J123" s="143">
        <v>5.2258064516129035E-2</v>
      </c>
      <c r="K123" s="161">
        <v>67547.839999999997</v>
      </c>
      <c r="L123" s="143">
        <v>5.5526331170728853E-2</v>
      </c>
      <c r="M123" s="265">
        <v>807</v>
      </c>
      <c r="N123" s="143">
        <v>6.8163566862612823E-2</v>
      </c>
      <c r="O123" s="143">
        <v>5.7821856287425151E-2</v>
      </c>
      <c r="P123" s="23">
        <f>D123/$P$1</f>
        <v>9.3440881831134675E-3</v>
      </c>
      <c r="Q123" s="23">
        <f>1-(E123/Q$1)</f>
        <v>0.99236087990596877</v>
      </c>
      <c r="R123" s="23">
        <f>Q123/R$1</f>
        <v>7.6335452300459166E-3</v>
      </c>
      <c r="S123" s="23">
        <f>F123/S$1</f>
        <v>1.0031256478944945E-2</v>
      </c>
      <c r="T123" s="23">
        <f>1-(G123/T$1)</f>
        <v>0.99436384854073046</v>
      </c>
      <c r="U123" s="97">
        <f>T123/U$1</f>
        <v>7.6489526810825416E-3</v>
      </c>
      <c r="V123" s="23">
        <f>H123/V$1</f>
        <v>9.22717341598496E-3</v>
      </c>
      <c r="W123" s="23">
        <f>I123/W$1</f>
        <v>9.3245112084599652E-3</v>
      </c>
      <c r="X123" s="23">
        <f>J123/X$1</f>
        <v>8.388615384776036E-3</v>
      </c>
      <c r="Y123" s="23">
        <f>1-(K123/Y$1)</f>
        <v>0.99492258601190531</v>
      </c>
      <c r="Z123" s="97">
        <f>Y123/Z$1</f>
        <v>7.653250661630041E-3</v>
      </c>
      <c r="AA123" s="23">
        <f>L123/$AA$1</f>
        <v>8.4814613111446301E-3</v>
      </c>
      <c r="AB123" s="23">
        <f>M123/AB$1</f>
        <v>7.5704985084147922E-3</v>
      </c>
      <c r="AC123" s="23">
        <f>N123/AC$1</f>
        <v>1.0343953515579294E-2</v>
      </c>
      <c r="AD123" s="23">
        <f>O123/AD$1</f>
        <v>8.798488975787536E-3</v>
      </c>
      <c r="AE123" s="27">
        <f>('Modelo AHP'!$U$37*aux!P123)+('Modelo AHP'!$U$38*aux!R123)+('Modelo AHP'!$U$39*aux!S123)</f>
        <v>9.5853348653055989E-3</v>
      </c>
      <c r="AF123" s="28">
        <f>aux!U123</f>
        <v>7.6489526810825416E-3</v>
      </c>
      <c r="AG123" s="27">
        <f>('Modelo AHP'!$U$47*aux!V123)+('Modelo AHP'!$U$48*aux!W123)+('Modelo AHP'!$U$49*aux!X123)</f>
        <v>8.9455027542108025E-3</v>
      </c>
      <c r="AH123" s="28">
        <f>Z123</f>
        <v>7.653250661630041E-3</v>
      </c>
      <c r="AI123" s="27">
        <f>('Modelo AHP'!$U$56*aux!AA123)+('Modelo AHP'!$U$57*aux!AB123)+('Modelo AHP'!$U$58*aux!AC123)+('Modelo AHP'!$U$59*aux!AD123)</f>
        <v>8.4747426652632771E-3</v>
      </c>
      <c r="AJ123" s="29">
        <f>('Modelo AHP'!$U$23*aux!AE123)+('Modelo AHP'!$U$24*aux!AF123)+('Modelo AHP'!$U$25*aux!AG123)+('Modelo AHP'!$U$26*aux!AH123)+('Modelo AHP'!$U$27*aux!AI123)</f>
        <v>8.4928026261937798E-3</v>
      </c>
    </row>
    <row r="124" spans="1:36">
      <c r="A124" s="1">
        <f>_xlfn.RANK.EQ(AJ124,AJ$5:AJ$135)</f>
        <v>26</v>
      </c>
      <c r="B124" s="16" t="s">
        <v>139</v>
      </c>
      <c r="C124" s="17" t="s">
        <v>141</v>
      </c>
      <c r="D124" s="143">
        <v>7.4376467956604408E-2</v>
      </c>
      <c r="E124" s="18">
        <v>81.489999999999995</v>
      </c>
      <c r="F124" s="143">
        <v>0.65717476270240094</v>
      </c>
      <c r="G124" s="159">
        <v>23534.745027670171</v>
      </c>
      <c r="H124" s="146">
        <v>11.97</v>
      </c>
      <c r="I124" s="146">
        <v>14.41</v>
      </c>
      <c r="J124" s="143">
        <v>5.2258064516129035E-2</v>
      </c>
      <c r="K124" s="161">
        <v>62968.18</v>
      </c>
      <c r="L124" s="143">
        <v>5.5526331170728853E-2</v>
      </c>
      <c r="M124" s="265">
        <v>807</v>
      </c>
      <c r="N124" s="143">
        <v>6.8163566862612823E-2</v>
      </c>
      <c r="O124" s="143">
        <v>5.7821856287425151E-2</v>
      </c>
      <c r="P124" s="23">
        <f>D124/$P$1</f>
        <v>6.8078578427460427E-3</v>
      </c>
      <c r="Q124" s="23">
        <f>1-(E124/Q$1)</f>
        <v>0.99250527454294957</v>
      </c>
      <c r="R124" s="23">
        <f>Q124/R$1</f>
        <v>7.6346559580226922E-3</v>
      </c>
      <c r="S124" s="23">
        <f>F124/S$1</f>
        <v>1.3473471854173316E-2</v>
      </c>
      <c r="T124" s="23">
        <f>1-(G124/T$1)</f>
        <v>0.99577132618149189</v>
      </c>
      <c r="U124" s="97">
        <f>T124/U$1</f>
        <v>7.659779432165322E-3</v>
      </c>
      <c r="V124" s="23">
        <f>H124/V$1</f>
        <v>1.216401605609471E-2</v>
      </c>
      <c r="W124" s="23">
        <f>I124/W$1</f>
        <v>1.1933055640666794E-2</v>
      </c>
      <c r="X124" s="23">
        <f>J124/X$1</f>
        <v>8.388615384776036E-3</v>
      </c>
      <c r="Y124" s="23">
        <f>1-(K124/Y$1)</f>
        <v>0.99526682839988867</v>
      </c>
      <c r="Z124" s="97">
        <f>Y124/Z$1</f>
        <v>7.6558986799991433E-3</v>
      </c>
      <c r="AA124" s="23">
        <f>L124/$AA$1</f>
        <v>8.4814613111446301E-3</v>
      </c>
      <c r="AB124" s="23">
        <f>M124/AB$1</f>
        <v>7.5704985084147922E-3</v>
      </c>
      <c r="AC124" s="23">
        <f>N124/AC$1</f>
        <v>1.0343953515579294E-2</v>
      </c>
      <c r="AD124" s="23">
        <f>O124/AD$1</f>
        <v>8.798488975787536E-3</v>
      </c>
      <c r="AE124" s="27">
        <f>('Modelo AHP'!$U$37*aux!P124)+('Modelo AHP'!$U$38*aux!R124)+('Modelo AHP'!$U$39*aux!S124)</f>
        <v>1.0889906061130071E-2</v>
      </c>
      <c r="AF124" s="28">
        <f>aux!U124</f>
        <v>7.659779432165322E-3</v>
      </c>
      <c r="AG124" s="27">
        <f>('Modelo AHP'!$U$47*aux!V124)+('Modelo AHP'!$U$48*aux!W124)+('Modelo AHP'!$U$49*aux!X124)</f>
        <v>1.0599120706282111E-2</v>
      </c>
      <c r="AH124" s="28">
        <f>Z124</f>
        <v>7.6558986799991433E-3</v>
      </c>
      <c r="AI124" s="27">
        <f>('Modelo AHP'!$U$56*aux!AA124)+('Modelo AHP'!$U$57*aux!AB124)+('Modelo AHP'!$U$58*aux!AC124)+('Modelo AHP'!$U$59*aux!AD124)</f>
        <v>8.4747426652632771E-3</v>
      </c>
      <c r="AJ124" s="29">
        <f>('Modelo AHP'!$U$23*aux!AE124)+('Modelo AHP'!$U$24*aux!AF124)+('Modelo AHP'!$U$25*aux!AG124)+('Modelo AHP'!$U$26*aux!AH124)+('Modelo AHP'!$U$27*aux!AI124)</f>
        <v>9.2792916280124132E-3</v>
      </c>
    </row>
    <row r="125" spans="1:36">
      <c r="A125" s="1">
        <f>_xlfn.RANK.EQ(AJ125,AJ$5:AJ$135)</f>
        <v>22</v>
      </c>
      <c r="B125" s="16" t="s">
        <v>139</v>
      </c>
      <c r="C125" s="17" t="s">
        <v>142</v>
      </c>
      <c r="D125" s="143">
        <v>0.10711718188353701</v>
      </c>
      <c r="E125" s="18">
        <v>78.36</v>
      </c>
      <c r="F125" s="143">
        <v>0.69253920481546016</v>
      </c>
      <c r="G125" s="159">
        <v>21841.988840086608</v>
      </c>
      <c r="H125" s="146">
        <v>13.07</v>
      </c>
      <c r="I125" s="146">
        <v>15.08</v>
      </c>
      <c r="J125" s="143">
        <v>5.2258064516129035E-2</v>
      </c>
      <c r="K125" s="161">
        <v>46961.13</v>
      </c>
      <c r="L125" s="143">
        <v>5.5526331170728853E-2</v>
      </c>
      <c r="M125" s="265">
        <v>807</v>
      </c>
      <c r="N125" s="143">
        <v>6.8163566862612823E-2</v>
      </c>
      <c r="O125" s="143">
        <v>5.7821856287425151E-2</v>
      </c>
      <c r="P125" s="23">
        <f>D125/$P$1</f>
        <v>9.8046945063883957E-3</v>
      </c>
      <c r="Q125" s="23">
        <f>1-(E125/Q$1)</f>
        <v>0.99279314410584774</v>
      </c>
      <c r="R125" s="23">
        <f>Q125/R$1</f>
        <v>7.6368703392757555E-3</v>
      </c>
      <c r="S125" s="23">
        <f>F125/S$1</f>
        <v>1.4198517675302356E-2</v>
      </c>
      <c r="T125" s="23">
        <f>1-(G125/T$1)</f>
        <v>0.99607547707682287</v>
      </c>
      <c r="U125" s="97">
        <f>T125/U$1</f>
        <v>7.6621190544370991E-3</v>
      </c>
      <c r="V125" s="23">
        <f>H125/V$1</f>
        <v>1.3281845434683196E-2</v>
      </c>
      <c r="W125" s="23">
        <f>I125/W$1</f>
        <v>1.248788890085047E-2</v>
      </c>
      <c r="X125" s="23">
        <f>J125/X$1</f>
        <v>8.388615384776036E-3</v>
      </c>
      <c r="Y125" s="23">
        <f>1-(K125/Y$1)</f>
        <v>0.9964700411092533</v>
      </c>
      <c r="Z125" s="97">
        <f>Y125/Z$1</f>
        <v>7.6651541623788712E-3</v>
      </c>
      <c r="AA125" s="23">
        <f>L125/$AA$1</f>
        <v>8.4814613111446301E-3</v>
      </c>
      <c r="AB125" s="23">
        <f>M125/AB$1</f>
        <v>7.5704985084147922E-3</v>
      </c>
      <c r="AC125" s="23">
        <f>N125/AC$1</f>
        <v>1.0343953515579294E-2</v>
      </c>
      <c r="AD125" s="23">
        <f>O125/AD$1</f>
        <v>8.798488975787536E-3</v>
      </c>
      <c r="AE125" s="27">
        <f>('Modelo AHP'!$U$37*aux!P125)+('Modelo AHP'!$U$38*aux!R125)+('Modelo AHP'!$U$39*aux!S125)</f>
        <v>1.2224205991025507E-2</v>
      </c>
      <c r="AF125" s="28">
        <f>aux!U125</f>
        <v>7.6621190544370991E-3</v>
      </c>
      <c r="AG125" s="27">
        <f>('Modelo AHP'!$U$47*aux!V125)+('Modelo AHP'!$U$48*aux!W125)+('Modelo AHP'!$U$49*aux!X125)</f>
        <v>1.1034286517579157E-2</v>
      </c>
      <c r="AH125" s="28">
        <f>Z125</f>
        <v>7.6651541623788712E-3</v>
      </c>
      <c r="AI125" s="27">
        <f>('Modelo AHP'!$U$56*aux!AA125)+('Modelo AHP'!$U$57*aux!AB125)+('Modelo AHP'!$U$58*aux!AC125)+('Modelo AHP'!$U$59*aux!AD125)</f>
        <v>8.4747426652632771E-3</v>
      </c>
      <c r="AJ125" s="29">
        <f>('Modelo AHP'!$U$23*aux!AE125)+('Modelo AHP'!$U$24*aux!AF125)+('Modelo AHP'!$U$25*aux!AG125)+('Modelo AHP'!$U$26*aux!AH125)+('Modelo AHP'!$U$27*aux!AI125)</f>
        <v>9.6521239245526604E-3</v>
      </c>
    </row>
    <row r="126" spans="1:36">
      <c r="A126" s="1">
        <f>_xlfn.RANK.EQ(AJ126,AJ$5:AJ$135)</f>
        <v>37</v>
      </c>
      <c r="B126" s="16" t="s">
        <v>139</v>
      </c>
      <c r="C126" s="17" t="s">
        <v>143</v>
      </c>
      <c r="D126" s="143">
        <v>5.9568068841639163E-2</v>
      </c>
      <c r="E126" s="18">
        <v>81.45</v>
      </c>
      <c r="F126" s="143">
        <v>0.56915400571845043</v>
      </c>
      <c r="G126" s="159">
        <v>28111.351410726566</v>
      </c>
      <c r="H126" s="146">
        <v>10.07</v>
      </c>
      <c r="I126" s="146">
        <v>11.49</v>
      </c>
      <c r="J126" s="143">
        <v>5.2258064516129035E-2</v>
      </c>
      <c r="K126" s="161">
        <v>73483.649999999994</v>
      </c>
      <c r="L126" s="143">
        <v>5.5526331170728853E-2</v>
      </c>
      <c r="M126" s="265">
        <v>807</v>
      </c>
      <c r="N126" s="143">
        <v>6.8163566862612823E-2</v>
      </c>
      <c r="O126" s="143">
        <v>5.7821856287425151E-2</v>
      </c>
      <c r="P126" s="23">
        <f>D126/$P$1</f>
        <v>5.4524092872681165E-3</v>
      </c>
      <c r="Q126" s="23">
        <f>1-(E126/Q$1)</f>
        <v>0.99250895338720391</v>
      </c>
      <c r="R126" s="23">
        <f>Q126/R$1</f>
        <v>7.6346842568246484E-3</v>
      </c>
      <c r="S126" s="23">
        <f>F126/S$1</f>
        <v>1.1668860266641405E-2</v>
      </c>
      <c r="T126" s="23">
        <f>1-(G126/T$1)</f>
        <v>0.99494901110788925</v>
      </c>
      <c r="U126" s="97">
        <f>T126/U$1</f>
        <v>7.6534539315991478E-3</v>
      </c>
      <c r="V126" s="23">
        <f>H126/V$1</f>
        <v>1.0233219856714597E-2</v>
      </c>
      <c r="W126" s="23">
        <f>I126/W$1</f>
        <v>9.5149763574782428E-3</v>
      </c>
      <c r="X126" s="23">
        <f>J126/X$1</f>
        <v>8.388615384776036E-3</v>
      </c>
      <c r="Y126" s="23">
        <f>1-(K126/Y$1)</f>
        <v>0.99447640498339762</v>
      </c>
      <c r="Z126" s="97">
        <f>Y126/Z$1</f>
        <v>7.6498184998722895E-3</v>
      </c>
      <c r="AA126" s="23">
        <f>L126/$AA$1</f>
        <v>8.4814613111446301E-3</v>
      </c>
      <c r="AB126" s="23">
        <f>M126/AB$1</f>
        <v>7.5704985084147922E-3</v>
      </c>
      <c r="AC126" s="23">
        <f>N126/AC$1</f>
        <v>1.0343953515579294E-2</v>
      </c>
      <c r="AD126" s="23">
        <f>O126/AD$1</f>
        <v>8.798488975787536E-3</v>
      </c>
      <c r="AE126" s="27">
        <f>('Modelo AHP'!$U$37*aux!P126)+('Modelo AHP'!$U$38*aux!R126)+('Modelo AHP'!$U$39*aux!S126)</f>
        <v>9.4005073718477425E-3</v>
      </c>
      <c r="AF126" s="28">
        <f>aux!U126</f>
        <v>7.6534539315991478E-3</v>
      </c>
      <c r="AG126" s="27">
        <f>('Modelo AHP'!$U$47*aux!V126)+('Modelo AHP'!$U$48*aux!W126)+('Modelo AHP'!$U$49*aux!X126)</f>
        <v>9.2001834777182493E-3</v>
      </c>
      <c r="AH126" s="28">
        <f>Z126</f>
        <v>7.6498184998722895E-3</v>
      </c>
      <c r="AI126" s="27">
        <f>('Modelo AHP'!$U$56*aux!AA126)+('Modelo AHP'!$U$57*aux!AB126)+('Modelo AHP'!$U$58*aux!AC126)+('Modelo AHP'!$U$59*aux!AD126)</f>
        <v>8.4747426652632771E-3</v>
      </c>
      <c r="AJ126" s="29">
        <f>('Modelo AHP'!$U$23*aux!AE126)+('Modelo AHP'!$U$24*aux!AF126)+('Modelo AHP'!$U$25*aux!AG126)+('Modelo AHP'!$U$26*aux!AH126)+('Modelo AHP'!$U$27*aux!AI126)</f>
        <v>8.5501829097043049E-3</v>
      </c>
    </row>
    <row r="127" spans="1:36">
      <c r="A127" s="1">
        <f>_xlfn.RANK.EQ(AJ127,AJ$5:AJ$135)</f>
        <v>76</v>
      </c>
      <c r="B127" s="16" t="s">
        <v>139</v>
      </c>
      <c r="C127" s="17" t="s">
        <v>144</v>
      </c>
      <c r="D127" s="143">
        <v>2.4366286438529783E-2</v>
      </c>
      <c r="E127" s="18">
        <v>83.81</v>
      </c>
      <c r="F127" s="143">
        <v>0.31627421623338325</v>
      </c>
      <c r="G127" s="159">
        <v>43369.468554283601</v>
      </c>
      <c r="H127" s="146">
        <v>5.98</v>
      </c>
      <c r="I127" s="146">
        <v>7.08</v>
      </c>
      <c r="J127" s="143">
        <v>5.2258064516129035E-2</v>
      </c>
      <c r="K127" s="161">
        <v>80925.23</v>
      </c>
      <c r="L127" s="143">
        <v>5.5526331170728853E-2</v>
      </c>
      <c r="M127" s="265">
        <v>807</v>
      </c>
      <c r="N127" s="143">
        <v>6.8163566862612823E-2</v>
      </c>
      <c r="O127" s="143">
        <v>5.7821856287425151E-2</v>
      </c>
      <c r="P127" s="23">
        <f>D127/$P$1</f>
        <v>2.2303050788312095E-3</v>
      </c>
      <c r="Q127" s="23">
        <f>1-(E127/Q$1)</f>
        <v>0.99229190157620084</v>
      </c>
      <c r="R127" s="23">
        <f>Q127/R$1</f>
        <v>7.6330146275092403E-3</v>
      </c>
      <c r="S127" s="23">
        <f>F127/S$1</f>
        <v>6.484290013052332E-3</v>
      </c>
      <c r="T127" s="23">
        <f>1-(G127/T$1)</f>
        <v>0.9922074644963228</v>
      </c>
      <c r="U127" s="97">
        <f>T127/U$1</f>
        <v>7.6323651115101756E-3</v>
      </c>
      <c r="V127" s="23">
        <f>H127/V$1</f>
        <v>6.0769269854174073E-3</v>
      </c>
      <c r="W127" s="23">
        <f>I127/W$1</f>
        <v>5.8630141523886821E-3</v>
      </c>
      <c r="X127" s="23">
        <f>J127/X$1</f>
        <v>8.388615384776036E-3</v>
      </c>
      <c r="Y127" s="23">
        <f>1-(K127/Y$1)</f>
        <v>0.99391703872704462</v>
      </c>
      <c r="Z127" s="97">
        <f>Y127/Z$1</f>
        <v>7.6455156825157283E-3</v>
      </c>
      <c r="AA127" s="23">
        <f>L127/$AA$1</f>
        <v>8.4814613111446301E-3</v>
      </c>
      <c r="AB127" s="23">
        <f>M127/AB$1</f>
        <v>7.5704985084147922E-3</v>
      </c>
      <c r="AC127" s="23">
        <f>N127/AC$1</f>
        <v>1.0343953515579294E-2</v>
      </c>
      <c r="AD127" s="23">
        <f>O127/AD$1</f>
        <v>8.798488975787536E-3</v>
      </c>
      <c r="AE127" s="27">
        <f>('Modelo AHP'!$U$37*aux!P127)+('Modelo AHP'!$U$38*aux!R127)+('Modelo AHP'!$U$39*aux!S127)</f>
        <v>5.3229669942316859E-3</v>
      </c>
      <c r="AF127" s="28">
        <f>aux!U127</f>
        <v>7.6323651115101756E-3</v>
      </c>
      <c r="AG127" s="27">
        <f>('Modelo AHP'!$U$47*aux!V127)+('Modelo AHP'!$U$48*aux!W127)+('Modelo AHP'!$U$49*aux!X127)</f>
        <v>6.8775528812096576E-3</v>
      </c>
      <c r="AH127" s="28">
        <f>Z127</f>
        <v>7.6455156825157283E-3</v>
      </c>
      <c r="AI127" s="27">
        <f>('Modelo AHP'!$U$56*aux!AA127)+('Modelo AHP'!$U$57*aux!AB127)+('Modelo AHP'!$U$58*aux!AC127)+('Modelo AHP'!$U$59*aux!AD127)</f>
        <v>8.4747426652632771E-3</v>
      </c>
      <c r="AJ127" s="29">
        <f>('Modelo AHP'!$U$23*aux!AE127)+('Modelo AHP'!$U$24*aux!AF127)+('Modelo AHP'!$U$25*aux!AG127)+('Modelo AHP'!$U$26*aux!AH127)+('Modelo AHP'!$U$27*aux!AI127)</f>
        <v>7.0688731620752532E-3</v>
      </c>
    </row>
    <row r="128" spans="1:36">
      <c r="A128" s="1">
        <f>_xlfn.RANK.EQ(AJ128,AJ$5:AJ$135)</f>
        <v>63</v>
      </c>
      <c r="B128" s="16" t="s">
        <v>139</v>
      </c>
      <c r="C128" s="17" t="s">
        <v>145</v>
      </c>
      <c r="D128" s="143">
        <v>9.3962611094085199E-2</v>
      </c>
      <c r="E128" s="18">
        <v>85.24</v>
      </c>
      <c r="F128" s="143">
        <v>0.28790689829650867</v>
      </c>
      <c r="G128" s="159">
        <v>38202.727063900413</v>
      </c>
      <c r="H128" s="146">
        <v>5.6</v>
      </c>
      <c r="I128" s="146">
        <v>7.91</v>
      </c>
      <c r="J128" s="143">
        <v>5.2258064516129035E-2</v>
      </c>
      <c r="K128" s="161">
        <v>59944.22</v>
      </c>
      <c r="L128" s="143">
        <v>5.5526331170728853E-2</v>
      </c>
      <c r="M128" s="265">
        <v>807</v>
      </c>
      <c r="N128" s="143">
        <v>6.8163566862612823E-2</v>
      </c>
      <c r="O128" s="143">
        <v>5.7821856287425151E-2</v>
      </c>
      <c r="P128" s="23">
        <f>D128/$P$1</f>
        <v>8.6006248540195993E-3</v>
      </c>
      <c r="Q128" s="23">
        <f>1-(E128/Q$1)</f>
        <v>0.99216038289411002</v>
      </c>
      <c r="R128" s="23">
        <f>Q128/R$1</f>
        <v>7.6320029453393109E-3</v>
      </c>
      <c r="S128" s="23">
        <f>F128/S$1</f>
        <v>5.9027000289373363E-3</v>
      </c>
      <c r="T128" s="23">
        <f>1-(G128/T$1)</f>
        <v>0.99313581381311788</v>
      </c>
      <c r="U128" s="97">
        <f>T128/U$1</f>
        <v>7.6395062601009069E-3</v>
      </c>
      <c r="V128" s="23">
        <f>H128/V$1</f>
        <v>5.6907677455413841E-3</v>
      </c>
      <c r="W128" s="23">
        <f>I128/W$1</f>
        <v>6.5503449075415918E-3</v>
      </c>
      <c r="X128" s="23">
        <f>J128/X$1</f>
        <v>8.388615384776036E-3</v>
      </c>
      <c r="Y128" s="23">
        <f>1-(K128/Y$1)</f>
        <v>0.99549413243808493</v>
      </c>
      <c r="Z128" s="97">
        <f>Y128/Z$1</f>
        <v>7.6576471726006535E-3</v>
      </c>
      <c r="AA128" s="23">
        <f>L128/$AA$1</f>
        <v>8.4814613111446301E-3</v>
      </c>
      <c r="AB128" s="23">
        <f>M128/AB$1</f>
        <v>7.5704985084147922E-3</v>
      </c>
      <c r="AC128" s="23">
        <f>N128/AC$1</f>
        <v>1.0343953515579294E-2</v>
      </c>
      <c r="AD128" s="23">
        <f>O128/AD$1</f>
        <v>8.798488975787536E-3</v>
      </c>
      <c r="AE128" s="27">
        <f>('Modelo AHP'!$U$37*aux!P128)+('Modelo AHP'!$U$38*aux!R128)+('Modelo AHP'!$U$39*aux!S128)</f>
        <v>6.8850077681022123E-3</v>
      </c>
      <c r="AF128" s="28">
        <f>aux!U128</f>
        <v>7.6395062601009069E-3</v>
      </c>
      <c r="AG128" s="27">
        <f>('Modelo AHP'!$U$47*aux!V128)+('Modelo AHP'!$U$48*aux!W128)+('Modelo AHP'!$U$49*aux!X128)</f>
        <v>7.116997254309464E-3</v>
      </c>
      <c r="AH128" s="28">
        <f>Z128</f>
        <v>7.6576471726006535E-3</v>
      </c>
      <c r="AI128" s="27">
        <f>('Modelo AHP'!$U$56*aux!AA128)+('Modelo AHP'!$U$57*aux!AB128)+('Modelo AHP'!$U$58*aux!AC128)+('Modelo AHP'!$U$59*aux!AD128)</f>
        <v>8.4747426652632771E-3</v>
      </c>
      <c r="AJ128" s="29">
        <f>('Modelo AHP'!$U$23*aux!AE128)+('Modelo AHP'!$U$24*aux!AF128)+('Modelo AHP'!$U$25*aux!AG128)+('Modelo AHP'!$U$26*aux!AH128)+('Modelo AHP'!$U$27*aux!AI128)</f>
        <v>7.4145941282091239E-3</v>
      </c>
    </row>
    <row r="129" spans="1:36">
      <c r="A129" s="1">
        <f>_xlfn.RANK.EQ(AJ129,AJ$5:AJ$135)</f>
        <v>38</v>
      </c>
      <c r="B129" s="16" t="s">
        <v>139</v>
      </c>
      <c r="C129" s="17" t="s">
        <v>146</v>
      </c>
      <c r="D129" s="143">
        <v>8.7520600301553342E-2</v>
      </c>
      <c r="E129" s="18">
        <v>83.06</v>
      </c>
      <c r="F129" s="143">
        <v>0.54008532574882229</v>
      </c>
      <c r="G129" s="159">
        <v>31306.00894479451</v>
      </c>
      <c r="H129" s="146">
        <v>8.84</v>
      </c>
      <c r="I129" s="146">
        <v>11.23</v>
      </c>
      <c r="J129" s="143">
        <v>5.2258064516129035E-2</v>
      </c>
      <c r="K129" s="161">
        <v>62705.279999999999</v>
      </c>
      <c r="L129" s="143">
        <v>5.5526331170728853E-2</v>
      </c>
      <c r="M129" s="265">
        <v>807</v>
      </c>
      <c r="N129" s="143">
        <v>6.8163566862612823E-2</v>
      </c>
      <c r="O129" s="143">
        <v>5.7821856287425151E-2</v>
      </c>
      <c r="P129" s="23">
        <f>D129/$P$1</f>
        <v>8.0109720390649959E-3</v>
      </c>
      <c r="Q129" s="23">
        <f>1-(E129/Q$1)</f>
        <v>0.99236087990596877</v>
      </c>
      <c r="R129" s="23">
        <f>Q129/R$1</f>
        <v>7.6335452300459166E-3</v>
      </c>
      <c r="S129" s="23">
        <f>F129/S$1</f>
        <v>1.1072890878227571E-2</v>
      </c>
      <c r="T129" s="23">
        <f>1-(G129/T$1)</f>
        <v>0.99437500171634796</v>
      </c>
      <c r="U129" s="97">
        <f>T129/U$1</f>
        <v>7.6490384747411383E-3</v>
      </c>
      <c r="V129" s="23">
        <f>H129/V$1</f>
        <v>8.9832833697474721E-3</v>
      </c>
      <c r="W129" s="23">
        <f>I129/W$1</f>
        <v>9.2996679281532341E-3</v>
      </c>
      <c r="X129" s="23">
        <f>J129/X$1</f>
        <v>8.388615384776036E-3</v>
      </c>
      <c r="Y129" s="23">
        <f>1-(K129/Y$1)</f>
        <v>0.99528658998127262</v>
      </c>
      <c r="Z129" s="97">
        <f>Y129/Z$1</f>
        <v>7.6560506921636356E-3</v>
      </c>
      <c r="AA129" s="23">
        <f>L129/$AA$1</f>
        <v>8.4814613111446301E-3</v>
      </c>
      <c r="AB129" s="23">
        <f>M129/AB$1</f>
        <v>7.5704985084147922E-3</v>
      </c>
      <c r="AC129" s="23">
        <f>N129/AC$1</f>
        <v>1.0343953515579294E-2</v>
      </c>
      <c r="AD129" s="23">
        <f>O129/AD$1</f>
        <v>8.798488975787536E-3</v>
      </c>
      <c r="AE129" s="27">
        <f>('Modelo AHP'!$U$37*aux!P129)+('Modelo AHP'!$U$38*aux!R129)+('Modelo AHP'!$U$39*aux!S129)</f>
        <v>9.810380661660633E-3</v>
      </c>
      <c r="AF129" s="28">
        <f>aux!U129</f>
        <v>7.6490384747411383E-3</v>
      </c>
      <c r="AG129" s="27">
        <f>('Modelo AHP'!$U$47*aux!V129)+('Modelo AHP'!$U$48*aux!W129)+('Modelo AHP'!$U$49*aux!X129)</f>
        <v>8.8932203552925075E-3</v>
      </c>
      <c r="AH129" s="28">
        <f>Z129</f>
        <v>7.6560506921636356E-3</v>
      </c>
      <c r="AI129" s="27">
        <f>('Modelo AHP'!$U$56*aux!AA129)+('Modelo AHP'!$U$57*aux!AB129)+('Modelo AHP'!$U$58*aux!AC129)+('Modelo AHP'!$U$59*aux!AD129)</f>
        <v>8.4747426652632771E-3</v>
      </c>
      <c r="AJ129" s="29">
        <f>('Modelo AHP'!$U$23*aux!AE129)+('Modelo AHP'!$U$24*aux!AF129)+('Modelo AHP'!$U$25*aux!AG129)+('Modelo AHP'!$U$26*aux!AH129)+('Modelo AHP'!$U$27*aux!AI129)</f>
        <v>8.512731247330492E-3</v>
      </c>
    </row>
    <row r="130" spans="1:36">
      <c r="A130" s="1">
        <f>_xlfn.RANK.EQ(AJ130,AJ$5:AJ$135)</f>
        <v>74</v>
      </c>
      <c r="B130" s="16" t="s">
        <v>139</v>
      </c>
      <c r="C130" s="17" t="s">
        <v>331</v>
      </c>
      <c r="D130" s="143">
        <v>3.7210950651191635E-2</v>
      </c>
      <c r="E130" s="18">
        <v>84.45</v>
      </c>
      <c r="F130" s="143">
        <v>0.26099092812281927</v>
      </c>
      <c r="G130" s="159">
        <v>54441.104586305271</v>
      </c>
      <c r="H130" s="146">
        <v>6.23</v>
      </c>
      <c r="I130" s="146">
        <v>7.7</v>
      </c>
      <c r="J130" s="143">
        <v>5.2258064516129035E-2</v>
      </c>
      <c r="K130" s="161">
        <v>119894.91</v>
      </c>
      <c r="L130" s="143">
        <v>5.5526331170728853E-2</v>
      </c>
      <c r="M130" s="265">
        <v>807</v>
      </c>
      <c r="N130" s="143">
        <v>6.8163566862612823E-2</v>
      </c>
      <c r="O130" s="143">
        <v>5.7821856287425151E-2</v>
      </c>
      <c r="P130" s="23">
        <f>D130/$P$1</f>
        <v>3.4060082333374135E-3</v>
      </c>
      <c r="Q130" s="23">
        <f>1-(E130/Q$1)</f>
        <v>0.99223304006813218</v>
      </c>
      <c r="R130" s="23">
        <f>Q130/R$1</f>
        <v>7.6325618466779434E-3</v>
      </c>
      <c r="S130" s="23">
        <f>F130/S$1</f>
        <v>5.3508657420093123E-3</v>
      </c>
      <c r="T130" s="23">
        <f>1-(G130/T$1)</f>
        <v>0.99021813606460984</v>
      </c>
      <c r="U130" s="97">
        <f>T130/U$1</f>
        <v>7.617062585112383E-3</v>
      </c>
      <c r="V130" s="23">
        <f>H130/V$1</f>
        <v>6.3309791169147908E-3</v>
      </c>
      <c r="W130" s="23">
        <f>I130/W$1</f>
        <v>6.3764419453944702E-3</v>
      </c>
      <c r="X130" s="23">
        <f>J130/X$1</f>
        <v>8.388615384776036E-3</v>
      </c>
      <c r="Y130" s="23">
        <f>1-(K130/Y$1)</f>
        <v>0.99098777854132181</v>
      </c>
      <c r="Z130" s="97">
        <f>Y130/Z$1</f>
        <v>7.6229829118563217E-3</v>
      </c>
      <c r="AA130" s="23">
        <f>L130/$AA$1</f>
        <v>8.4814613111446301E-3</v>
      </c>
      <c r="AB130" s="23">
        <f>M130/AB$1</f>
        <v>7.5704985084147922E-3</v>
      </c>
      <c r="AC130" s="23">
        <f>N130/AC$1</f>
        <v>1.0343953515579294E-2</v>
      </c>
      <c r="AD130" s="23">
        <f>O130/AD$1</f>
        <v>8.798488975787536E-3</v>
      </c>
      <c r="AE130" s="27">
        <f>('Modelo AHP'!$U$37*aux!P130)+('Modelo AHP'!$U$38*aux!R130)+('Modelo AHP'!$U$39*aux!S130)</f>
        <v>4.9955780998746056E-3</v>
      </c>
      <c r="AF130" s="28">
        <f>aux!U130</f>
        <v>7.617062585112383E-3</v>
      </c>
      <c r="AG130" s="27">
        <f>('Modelo AHP'!$U$47*aux!V130)+('Modelo AHP'!$U$48*aux!W130)+('Modelo AHP'!$U$49*aux!X130)</f>
        <v>7.1482073013411848E-3</v>
      </c>
      <c r="AH130" s="28">
        <f>Z130</f>
        <v>7.6229829118563217E-3</v>
      </c>
      <c r="AI130" s="27">
        <f>('Modelo AHP'!$U$56*aux!AA130)+('Modelo AHP'!$U$57*aux!AB130)+('Modelo AHP'!$U$58*aux!AC130)+('Modelo AHP'!$U$59*aux!AD130)</f>
        <v>8.4747426652632771E-3</v>
      </c>
      <c r="AJ130" s="29">
        <f>('Modelo AHP'!$U$23*aux!AE130)+('Modelo AHP'!$U$24*aux!AF130)+('Modelo AHP'!$U$25*aux!AG130)+('Modelo AHP'!$U$26*aux!AH130)+('Modelo AHP'!$U$27*aux!AI130)</f>
        <v>7.1000962002226468E-3</v>
      </c>
    </row>
    <row r="131" spans="1:36">
      <c r="A131" s="1">
        <f>_xlfn.RANK.EQ(AJ131,AJ$5:AJ$135)</f>
        <v>122</v>
      </c>
      <c r="B131" s="16" t="s">
        <v>147</v>
      </c>
      <c r="C131" s="17" t="s">
        <v>148</v>
      </c>
      <c r="D131" s="143">
        <v>2.411807055435565E-2</v>
      </c>
      <c r="E131" s="18">
        <v>83.91</v>
      </c>
      <c r="F131" s="143">
        <v>0.20959836623553438</v>
      </c>
      <c r="G131" s="159">
        <v>52281.190739049795</v>
      </c>
      <c r="H131" s="146">
        <v>4.9800000000000004</v>
      </c>
      <c r="I131" s="146">
        <v>6.35</v>
      </c>
      <c r="J131" s="143">
        <v>3.3185413852980898E-2</v>
      </c>
      <c r="K131" s="161">
        <v>88289.33</v>
      </c>
      <c r="L131" s="143">
        <v>9.351803144543808E-3</v>
      </c>
      <c r="M131" s="265">
        <v>73</v>
      </c>
      <c r="N131" s="143">
        <v>8.2554367029648908E-3</v>
      </c>
      <c r="O131" s="143">
        <v>9.2315369261477039E-3</v>
      </c>
      <c r="P131" s="23">
        <f>D131/$P$1</f>
        <v>2.2075852791392566E-3</v>
      </c>
      <c r="Q131" s="23">
        <f>1-(E131/Q$1)</f>
        <v>0.9922827044655651</v>
      </c>
      <c r="R131" s="23">
        <f>Q131/R$1</f>
        <v>7.6329438805043505E-3</v>
      </c>
      <c r="S131" s="23">
        <f>F131/S$1</f>
        <v>4.2972095832505795E-3</v>
      </c>
      <c r="T131" s="23">
        <f>1-(G131/T$1)</f>
        <v>0.99060622487225924</v>
      </c>
      <c r="U131" s="97">
        <f>T131/U$1</f>
        <v>7.6200478836327638E-3</v>
      </c>
      <c r="V131" s="23">
        <f>H131/V$1</f>
        <v>5.0607184594278747E-3</v>
      </c>
      <c r="W131" s="23">
        <f>I131/W$1</f>
        <v>5.2584943315915431E-3</v>
      </c>
      <c r="X131" s="23">
        <f>J131/X$1</f>
        <v>5.3270184377256389E-3</v>
      </c>
      <c r="Y131" s="23">
        <f>1-(K131/Y$1)</f>
        <v>0.99336349646204058</v>
      </c>
      <c r="Z131" s="97">
        <f>Y131/Z$1</f>
        <v>7.6412576650926201E-3</v>
      </c>
      <c r="AA131" s="23">
        <f>L131/$AA$1</f>
        <v>1.4284566418769906E-3</v>
      </c>
      <c r="AB131" s="23">
        <f>M131/AB$1</f>
        <v>6.8481585020356854E-4</v>
      </c>
      <c r="AC131" s="23">
        <f>N131/AC$1</f>
        <v>1.2527785360527234E-3</v>
      </c>
      <c r="AD131" s="23">
        <f>O131/AD$1</f>
        <v>1.4047210015281069E-3</v>
      </c>
      <c r="AE131" s="27">
        <f>('Modelo AHP'!$U$37*aux!P131)+('Modelo AHP'!$U$38*aux!R131)+('Modelo AHP'!$U$39*aux!S131)</f>
        <v>4.0038957217425602E-3</v>
      </c>
      <c r="AF131" s="28">
        <f>aux!U131</f>
        <v>7.6200478836327638E-3</v>
      </c>
      <c r="AG131" s="27">
        <f>('Modelo AHP'!$U$47*aux!V131)+('Modelo AHP'!$U$48*aux!W131)+('Modelo AHP'!$U$49*aux!X131)</f>
        <v>5.2515749312191584E-3</v>
      </c>
      <c r="AH131" s="28">
        <f>Z131</f>
        <v>7.6412576650926201E-3</v>
      </c>
      <c r="AI131" s="27">
        <f>('Modelo AHP'!$U$56*aux!AA131)+('Modelo AHP'!$U$57*aux!AB131)+('Modelo AHP'!$U$58*aux!AC131)+('Modelo AHP'!$U$59*aux!AD131)</f>
        <v>1.0202604911229752E-3</v>
      </c>
      <c r="AJ131" s="29">
        <f>('Modelo AHP'!$U$23*aux!AE131)+('Modelo AHP'!$U$24*aux!AF131)+('Modelo AHP'!$U$25*aux!AG131)+('Modelo AHP'!$U$26*aux!AH131)+('Modelo AHP'!$U$27*aux!AI131)</f>
        <v>5.5909287365566544E-3</v>
      </c>
    </row>
    <row r="132" spans="1:36">
      <c r="A132" s="1">
        <f>_xlfn.RANK.EQ(AJ132,AJ$5:AJ$135)</f>
        <v>60</v>
      </c>
      <c r="B132" s="20" t="s">
        <v>147</v>
      </c>
      <c r="C132" s="21" t="s">
        <v>149</v>
      </c>
      <c r="D132" s="148">
        <v>0.13823857302118173</v>
      </c>
      <c r="E132" s="19">
        <v>81.84</v>
      </c>
      <c r="F132" s="148">
        <v>0.59191176470588236</v>
      </c>
      <c r="G132" s="160">
        <v>24254.314661654134</v>
      </c>
      <c r="H132" s="147">
        <v>7.82</v>
      </c>
      <c r="I132" s="147">
        <v>9.27</v>
      </c>
      <c r="J132" s="148">
        <v>3.3185413852980898E-2</v>
      </c>
      <c r="K132" s="162">
        <v>73598.759999999995</v>
      </c>
      <c r="L132" s="143">
        <v>9.351803144543808E-3</v>
      </c>
      <c r="M132" s="265">
        <v>73</v>
      </c>
      <c r="N132" s="143">
        <v>8.2554367029648908E-3</v>
      </c>
      <c r="O132" s="143">
        <v>9.2315369261477039E-3</v>
      </c>
      <c r="P132" s="23">
        <f>D132/$P$1</f>
        <v>1.2653310642034944E-2</v>
      </c>
      <c r="Q132" s="23">
        <f>1-(E132/Q$1)</f>
        <v>0.99247308465572459</v>
      </c>
      <c r="R132" s="23">
        <f>Q132/R$1</f>
        <v>7.6344083435055769E-3</v>
      </c>
      <c r="S132" s="23">
        <f>F132/S$1</f>
        <v>1.2135442434100684E-2</v>
      </c>
      <c r="T132" s="23">
        <f>1-(G132/T$1)</f>
        <v>0.99564203541296037</v>
      </c>
      <c r="U132" s="97">
        <f>T132/U$1</f>
        <v>7.6587848877920032E-3</v>
      </c>
      <c r="V132" s="23">
        <f>H132/V$1</f>
        <v>7.9467506732381482E-3</v>
      </c>
      <c r="W132" s="23">
        <f>I132/W$1</f>
        <v>7.6765736147800957E-3</v>
      </c>
      <c r="X132" s="23">
        <f>J132/X$1</f>
        <v>5.3270184377256389E-3</v>
      </c>
      <c r="Y132" s="23">
        <f>1-(K132/Y$1)</f>
        <v>0.99446775243249186</v>
      </c>
      <c r="Z132" s="97">
        <f>Y132/Z$1</f>
        <v>7.6497519417883988E-3</v>
      </c>
      <c r="AA132" s="23">
        <f>L132/$AA$1</f>
        <v>1.4284566418769906E-3</v>
      </c>
      <c r="AB132" s="23">
        <f>M132/AB$1</f>
        <v>6.8481585020356854E-4</v>
      </c>
      <c r="AC132" s="23">
        <f>N132/AC$1</f>
        <v>1.2527785360527234E-3</v>
      </c>
      <c r="AD132" s="23">
        <f>O132/AD$1</f>
        <v>1.4047210015281069E-3</v>
      </c>
      <c r="AE132" s="27">
        <f>('Modelo AHP'!$U$37*aux!P132)+('Modelo AHP'!$U$38*aux!R132)+('Modelo AHP'!$U$39*aux!S132)</f>
        <v>1.184069948742145E-2</v>
      </c>
      <c r="AF132" s="28">
        <f>aux!U132</f>
        <v>7.6587848877920032E-3</v>
      </c>
      <c r="AG132" s="27">
        <f>('Modelo AHP'!$U$47*aux!V132)+('Modelo AHP'!$U$48*aux!W132)+('Modelo AHP'!$U$49*aux!X132)</f>
        <v>6.8121379732428511E-3</v>
      </c>
      <c r="AH132" s="28">
        <f>Z132</f>
        <v>7.6497519417883988E-3</v>
      </c>
      <c r="AI132" s="27">
        <f>('Modelo AHP'!$U$56*aux!AA132)+('Modelo AHP'!$U$57*aux!AB132)+('Modelo AHP'!$U$58*aux!AC132)+('Modelo AHP'!$U$59*aux!AD132)</f>
        <v>1.0202604911229752E-3</v>
      </c>
      <c r="AJ132" s="29">
        <f>('Modelo AHP'!$U$23*aux!AE132)+('Modelo AHP'!$U$24*aux!AF132)+('Modelo AHP'!$U$25*aux!AG132)+('Modelo AHP'!$U$26*aux!AH132)+('Modelo AHP'!$U$27*aux!AI132)</f>
        <v>7.4451935098512178E-3</v>
      </c>
    </row>
    <row r="133" spans="1:36">
      <c r="A133" s="1">
        <f>_xlfn.RANK.EQ(AJ133,AJ$5:AJ$135)</f>
        <v>73</v>
      </c>
      <c r="B133" s="16" t="s">
        <v>147</v>
      </c>
      <c r="C133" s="17" t="s">
        <v>150</v>
      </c>
      <c r="D133" s="143">
        <v>0.10169029443838604</v>
      </c>
      <c r="E133" s="18">
        <v>82.96</v>
      </c>
      <c r="F133" s="143">
        <v>0.5049638229850244</v>
      </c>
      <c r="G133" s="159">
        <v>29450.042165929957</v>
      </c>
      <c r="H133" s="146">
        <v>7.55</v>
      </c>
      <c r="I133" s="146">
        <v>10.039999999999999</v>
      </c>
      <c r="J133" s="143">
        <v>3.3185413852980898E-2</v>
      </c>
      <c r="K133" s="161">
        <v>82966.28</v>
      </c>
      <c r="L133" s="143">
        <v>9.351803144543808E-3</v>
      </c>
      <c r="M133" s="265">
        <v>73</v>
      </c>
      <c r="N133" s="143">
        <v>8.2554367029648908E-3</v>
      </c>
      <c r="O133" s="143">
        <v>9.2315369261477039E-3</v>
      </c>
      <c r="P133" s="23">
        <f>D133/$P$1</f>
        <v>9.3079583844643578E-3</v>
      </c>
      <c r="Q133" s="23">
        <f>1-(E133/Q$1)</f>
        <v>0.99237007701660451</v>
      </c>
      <c r="R133" s="23">
        <f>Q133/R$1</f>
        <v>7.6336159770508073E-3</v>
      </c>
      <c r="S133" s="23">
        <f>F133/S$1</f>
        <v>1.0352825827314178E-2</v>
      </c>
      <c r="T133" s="23">
        <f>1-(G133/T$1)</f>
        <v>0.99470847794974582</v>
      </c>
      <c r="U133" s="97">
        <f>T133/U$1</f>
        <v>7.6516036765365064E-3</v>
      </c>
      <c r="V133" s="23">
        <f>H133/V$1</f>
        <v>7.6723743712209741E-3</v>
      </c>
      <c r="W133" s="23">
        <f>I133/W$1</f>
        <v>8.3142178093195424E-3</v>
      </c>
      <c r="X133" s="23">
        <f>J133/X$1</f>
        <v>5.3270184377256389E-3</v>
      </c>
      <c r="Y133" s="23">
        <f>1-(K133/Y$1)</f>
        <v>0.99376361774688593</v>
      </c>
      <c r="Z133" s="97">
        <f>Y133/Z$1</f>
        <v>7.6443355211298913E-3</v>
      </c>
      <c r="AA133" s="23">
        <f>L133/$AA$1</f>
        <v>1.4284566418769906E-3</v>
      </c>
      <c r="AB133" s="23">
        <f>M133/AB$1</f>
        <v>6.8481585020356854E-4</v>
      </c>
      <c r="AC133" s="23">
        <f>N133/AC$1</f>
        <v>1.2527785360527234E-3</v>
      </c>
      <c r="AD133" s="23">
        <f>O133/AD$1</f>
        <v>1.4047210015281069E-3</v>
      </c>
      <c r="AE133" s="27">
        <f>('Modelo AHP'!$U$37*aux!P133)+('Modelo AHP'!$U$38*aux!R133)+('Modelo AHP'!$U$39*aux!S133)</f>
        <v>9.7674446094328949E-3</v>
      </c>
      <c r="AF133" s="28">
        <f>aux!U133</f>
        <v>7.6516036765365064E-3</v>
      </c>
      <c r="AG133" s="27">
        <f>('Modelo AHP'!$U$47*aux!V133)+('Modelo AHP'!$U$48*aux!W133)+('Modelo AHP'!$U$49*aux!X133)</f>
        <v>7.048463537805319E-3</v>
      </c>
      <c r="AH133" s="28">
        <f>Z133</f>
        <v>7.6443355211298913E-3</v>
      </c>
      <c r="AI133" s="27">
        <f>('Modelo AHP'!$U$56*aux!AA133)+('Modelo AHP'!$U$57*aux!AB133)+('Modelo AHP'!$U$58*aux!AC133)+('Modelo AHP'!$U$59*aux!AD133)</f>
        <v>1.0202604911229752E-3</v>
      </c>
      <c r="AJ133" s="29">
        <f>('Modelo AHP'!$U$23*aux!AE133)+('Modelo AHP'!$U$24*aux!AF133)+('Modelo AHP'!$U$25*aux!AG133)+('Modelo AHP'!$U$26*aux!AH133)+('Modelo AHP'!$U$27*aux!AI133)</f>
        <v>7.1772331528521137E-3</v>
      </c>
    </row>
    <row r="134" spans="1:36">
      <c r="A134" s="1">
        <f>_xlfn.RANK.EQ(AJ134,AJ$5:AJ$135)</f>
        <v>103</v>
      </c>
      <c r="B134" s="16" t="s">
        <v>147</v>
      </c>
      <c r="C134" s="17" t="s">
        <v>151</v>
      </c>
      <c r="D134" s="143">
        <v>5.1914893617021278E-2</v>
      </c>
      <c r="E134" s="18">
        <v>83.02</v>
      </c>
      <c r="F134" s="143">
        <v>0.30694143167028198</v>
      </c>
      <c r="G134" s="159">
        <v>40271.041996996995</v>
      </c>
      <c r="H134" s="146">
        <v>5.77</v>
      </c>
      <c r="I134" s="146">
        <v>7.17</v>
      </c>
      <c r="J134" s="143">
        <v>3.3185413852980898E-2</v>
      </c>
      <c r="K134" s="161">
        <v>101313.54</v>
      </c>
      <c r="L134" s="143">
        <v>9.351803144543808E-3</v>
      </c>
      <c r="M134" s="265">
        <v>73</v>
      </c>
      <c r="N134" s="143">
        <v>8.2554367029648908E-3</v>
      </c>
      <c r="O134" s="143">
        <v>9.2315369261477039E-3</v>
      </c>
      <c r="P134" s="23">
        <f>D134/$P$1</f>
        <v>4.7518956650667533E-3</v>
      </c>
      <c r="Q134" s="23">
        <f>1-(E134/Q$1)</f>
        <v>0.992364558750223</v>
      </c>
      <c r="R134" s="23">
        <f>Q134/R$1</f>
        <v>7.6335735288478729E-3</v>
      </c>
      <c r="S134" s="23">
        <f>F134/S$1</f>
        <v>6.2929482006934311E-3</v>
      </c>
      <c r="T134" s="23">
        <f>1-(G134/T$1)</f>
        <v>0.99276418330699889</v>
      </c>
      <c r="U134" s="97">
        <f>T134/U$1</f>
        <v>7.6366475638999917E-3</v>
      </c>
      <c r="V134" s="23">
        <f>H134/V$1</f>
        <v>5.8635231949596047E-3</v>
      </c>
      <c r="W134" s="23">
        <f>I134/W$1</f>
        <v>5.937543993308877E-3</v>
      </c>
      <c r="X134" s="23">
        <f>J134/X$1</f>
        <v>5.3270184377256389E-3</v>
      </c>
      <c r="Y134" s="23">
        <f>1-(K134/Y$1)</f>
        <v>0.99238449689613473</v>
      </c>
      <c r="Z134" s="97">
        <f>Y134/Z$1</f>
        <v>7.6337268992010361E-3</v>
      </c>
      <c r="AA134" s="23">
        <f>L134/$AA$1</f>
        <v>1.4284566418769906E-3</v>
      </c>
      <c r="AB134" s="23">
        <f>M134/AB$1</f>
        <v>6.8481585020356854E-4</v>
      </c>
      <c r="AC134" s="23">
        <f>N134/AC$1</f>
        <v>1.2527785360527234E-3</v>
      </c>
      <c r="AD134" s="23">
        <f>O134/AD$1</f>
        <v>1.4047210015281069E-3</v>
      </c>
      <c r="AE134" s="27">
        <f>('Modelo AHP'!$U$37*aux!P134)+('Modelo AHP'!$U$38*aux!R134)+('Modelo AHP'!$U$39*aux!S134)</f>
        <v>5.964694972820872E-3</v>
      </c>
      <c r="AF134" s="28">
        <f>aux!U134</f>
        <v>7.6366475638999917E-3</v>
      </c>
      <c r="AG134" s="27">
        <f>('Modelo AHP'!$U$47*aux!V134)+('Modelo AHP'!$U$48*aux!W134)+('Modelo AHP'!$U$49*aux!X134)</f>
        <v>5.6885197814434902E-3</v>
      </c>
      <c r="AH134" s="28">
        <f>Z134</f>
        <v>7.6337268992010361E-3</v>
      </c>
      <c r="AI134" s="27">
        <f>('Modelo AHP'!$U$56*aux!AA134)+('Modelo AHP'!$U$57*aux!AB134)+('Modelo AHP'!$U$58*aux!AC134)+('Modelo AHP'!$U$59*aux!AD134)</f>
        <v>1.0202604911229752E-3</v>
      </c>
      <c r="AJ134" s="29">
        <f>('Modelo AHP'!$U$23*aux!AE134)+('Modelo AHP'!$U$24*aux!AF134)+('Modelo AHP'!$U$25*aux!AG134)+('Modelo AHP'!$U$26*aux!AH134)+('Modelo AHP'!$U$27*aux!AI134)</f>
        <v>6.0722613347362741E-3</v>
      </c>
    </row>
    <row r="135" spans="1:36">
      <c r="A135" s="1">
        <f>_xlfn.RANK.EQ(AJ135,AJ$5:AJ$135)</f>
        <v>130</v>
      </c>
      <c r="B135" s="16" t="s">
        <v>147</v>
      </c>
      <c r="C135" s="17" t="s">
        <v>152</v>
      </c>
      <c r="D135" s="143">
        <v>2.4367509986684421E-2</v>
      </c>
      <c r="E135" s="18">
        <v>84.65</v>
      </c>
      <c r="F135" s="143">
        <v>0.15305913648455086</v>
      </c>
      <c r="G135" s="159">
        <v>65879.163713692949</v>
      </c>
      <c r="H135" s="146">
        <v>4.2</v>
      </c>
      <c r="I135" s="146">
        <v>5.46</v>
      </c>
      <c r="J135" s="143">
        <v>3.3185413852980898E-2</v>
      </c>
      <c r="K135" s="161">
        <v>115899.58</v>
      </c>
      <c r="L135" s="143">
        <v>9.351803144543808E-3</v>
      </c>
      <c r="M135" s="265">
        <v>73</v>
      </c>
      <c r="N135" s="143">
        <v>8.2554367029648908E-3</v>
      </c>
      <c r="O135" s="143">
        <v>9.2315369261477039E-3</v>
      </c>
      <c r="P135" s="23">
        <f>D135/$P$1</f>
        <v>2.2304170731505066E-3</v>
      </c>
      <c r="Q135" s="23">
        <f>1-(E135/Q$1)</f>
        <v>0.9922146458468607</v>
      </c>
      <c r="R135" s="23">
        <f>Q135/R$1</f>
        <v>7.6324203526681629E-3</v>
      </c>
      <c r="S135" s="23">
        <f>F135/S$1</f>
        <v>3.1380358536113543E-3</v>
      </c>
      <c r="T135" s="23">
        <f>1-(G135/T$1)</f>
        <v>0.98816296949664129</v>
      </c>
      <c r="U135" s="97">
        <f>T135/U$1</f>
        <v>7.6012536115126249E-3</v>
      </c>
      <c r="V135" s="23">
        <f>H135/V$1</f>
        <v>4.2680758091560387E-3</v>
      </c>
      <c r="W135" s="23">
        <f>I135/W$1</f>
        <v>4.5214770158251696E-3</v>
      </c>
      <c r="X135" s="23">
        <f>J135/X$1</f>
        <v>5.3270184377256389E-3</v>
      </c>
      <c r="Y135" s="23">
        <f>1-(K135/Y$1)</f>
        <v>0.99128809820260266</v>
      </c>
      <c r="Z135" s="97">
        <f>Y135/Z$1</f>
        <v>7.6252930630969435E-3</v>
      </c>
      <c r="AA135" s="23">
        <f>L135/$AA$1</f>
        <v>1.4284566418769906E-3</v>
      </c>
      <c r="AB135" s="23">
        <f>M135/AB$1</f>
        <v>6.8481585020356854E-4</v>
      </c>
      <c r="AC135" s="23">
        <f>N135/AC$1</f>
        <v>1.2527785360527234E-3</v>
      </c>
      <c r="AD135" s="23">
        <f>O135/AD$1</f>
        <v>1.4047210015281069E-3</v>
      </c>
      <c r="AE135" s="27">
        <f>('Modelo AHP'!$U$37*aux!P135)+('Modelo AHP'!$U$38*aux!R135)+('Modelo AHP'!$U$39*aux!S135)</f>
        <v>3.3151886693787809E-3</v>
      </c>
      <c r="AF135" s="28">
        <f>aux!U135</f>
        <v>7.6012536115126249E-3</v>
      </c>
      <c r="AG135" s="27">
        <f>('Modelo AHP'!$U$47*aux!V135)+('Modelo AHP'!$U$48*aux!W135)+('Modelo AHP'!$U$49*aux!X135)</f>
        <v>4.790644959056501E-3</v>
      </c>
      <c r="AH135" s="28">
        <f>Z135</f>
        <v>7.6252930630969435E-3</v>
      </c>
      <c r="AI135" s="27">
        <f>('Modelo AHP'!$U$56*aux!AA135)+('Modelo AHP'!$U$57*aux!AB135)+('Modelo AHP'!$U$58*aux!AC135)+('Modelo AHP'!$U$59*aux!AD135)</f>
        <v>1.0202604911229752E-3</v>
      </c>
      <c r="AJ135" s="29">
        <f>('Modelo AHP'!$U$23*aux!AE135)+('Modelo AHP'!$U$24*aux!AF135)+('Modelo AHP'!$U$25*aux!AG135)+('Modelo AHP'!$U$26*aux!AH135)+('Modelo AHP'!$U$27*aux!AI135)</f>
        <v>5.3112191137900822E-3</v>
      </c>
    </row>
  </sheetData>
  <mergeCells count="9">
    <mergeCell ref="L3:O3"/>
    <mergeCell ref="H3:J3"/>
    <mergeCell ref="D3:F3"/>
    <mergeCell ref="AA3:AD3"/>
    <mergeCell ref="Y3:Z3"/>
    <mergeCell ref="P2:AD2"/>
    <mergeCell ref="P3:S3"/>
    <mergeCell ref="V3:X3"/>
    <mergeCell ref="T3:U3"/>
  </mergeCells>
  <conditionalFormatting sqref="A5:A135">
    <cfRule type="colorScale" priority="3">
      <colorScale>
        <cfvo type="min"/>
        <cfvo type="percentile" val="50"/>
        <cfvo type="max"/>
        <color rgb="FFFF0000"/>
        <color rgb="FFFFEB84"/>
        <color rgb="FF92D050"/>
      </colorScale>
    </cfRule>
  </conditionalFormatting>
  <pageMargins left="0.7" right="0.7" top="0.75" bottom="0.75" header="0.3" footer="0.3"/>
  <pageSetup paperSize="9" orientation="portrait" horizontalDpi="0" verticalDpi="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2:S59"/>
  <sheetViews>
    <sheetView workbookViewId="0">
      <selection activeCell="C3" sqref="C3"/>
    </sheetView>
  </sheetViews>
  <sheetFormatPr defaultColWidth="11.19921875" defaultRowHeight="15.6"/>
  <cols>
    <col min="2" max="2" width="11.69921875" bestFit="1" customWidth="1"/>
    <col min="19" max="19" width="11.69921875" bestFit="1" customWidth="1"/>
    <col min="21" max="21" width="11.69921875" bestFit="1" customWidth="1"/>
  </cols>
  <sheetData>
    <row r="2" spans="1:19" ht="16.2" thickBot="1"/>
    <row r="3" spans="1:19" ht="78">
      <c r="B3" s="170" t="s">
        <v>251</v>
      </c>
      <c r="C3" s="170" t="s">
        <v>14</v>
      </c>
      <c r="D3" s="170" t="s">
        <v>238</v>
      </c>
      <c r="E3" s="170" t="s">
        <v>210</v>
      </c>
      <c r="F3" s="170" t="s">
        <v>153</v>
      </c>
      <c r="G3" s="170" t="s">
        <v>254</v>
      </c>
      <c r="H3" s="170" t="s">
        <v>239</v>
      </c>
      <c r="I3" s="170" t="s">
        <v>257</v>
      </c>
      <c r="J3" s="170" t="s">
        <v>207</v>
      </c>
      <c r="K3" s="170" t="s">
        <v>209</v>
      </c>
      <c r="L3" s="170" t="s">
        <v>226</v>
      </c>
      <c r="M3" s="170" t="s">
        <v>227</v>
      </c>
      <c r="N3" s="170" t="s">
        <v>2</v>
      </c>
      <c r="O3" s="170" t="s">
        <v>3</v>
      </c>
      <c r="P3" s="170" t="s">
        <v>4</v>
      </c>
      <c r="Q3" s="170" t="s">
        <v>217</v>
      </c>
      <c r="R3" s="170" t="s">
        <v>220</v>
      </c>
      <c r="S3" s="170" t="s">
        <v>0</v>
      </c>
    </row>
    <row r="4" spans="1:19">
      <c r="A4" s="168" t="s">
        <v>251</v>
      </c>
      <c r="B4" s="171">
        <f>_xlfn.COVARIANCE.P('Índices y Ranking Barrio'!$D$2:$D$132,'Índices y Ranking Barrio'!D$2:D$132)</f>
        <v>2.7208998536987269E-3</v>
      </c>
      <c r="C4" s="168">
        <f>_xlfn.COVARIANCE.P('Índices y Ranking Barrio'!$D$2:$D$132,'Índices y Ranking Barrio'!E$2:E$132)</f>
        <v>-1.4572668829049238E-2</v>
      </c>
      <c r="D4" s="168">
        <f>_xlfn.COVARIANCE.P('Índices y Ranking Barrio'!$D$2:$D$132,'Índices y Ranking Barrio'!F$2:F$132)</f>
        <v>5.9771224403403914E-3</v>
      </c>
      <c r="E4" s="168">
        <f>_xlfn.COVARIANCE.P('Índices y Ranking Barrio'!$D$2:$D$132,'Índices y Ranking Barrio'!G$2:G$132)</f>
        <v>-545.84475395919435</v>
      </c>
      <c r="F4" s="168">
        <f>_xlfn.COVARIANCE.P('Índices y Ranking Barrio'!$D$2:$D$132,'Índices y Ranking Barrio'!H$2:H$132)</f>
        <v>7.341026260666203E-2</v>
      </c>
      <c r="G4" s="168">
        <f>_xlfn.COVARIANCE.P('Índices y Ranking Barrio'!$D$2:$D$132,'Índices y Ranking Barrio'!I$2:I$132)</f>
        <v>8.8037417254781966E-2</v>
      </c>
      <c r="H4" s="168">
        <f>_xlfn.COVARIANCE.P('Índices y Ranking Barrio'!$D$2:$D$132,'Índices y Ranking Barrio'!J$2:J$132)</f>
        <v>3.9997270832640194E-4</v>
      </c>
      <c r="I4" s="168">
        <f>_xlfn.COVARIANCE.P('Índices y Ranking Barrio'!$D$2:$D$132,'Índices y Ranking Barrio'!K$2:K$132)</f>
        <v>-1285.6353916920339</v>
      </c>
      <c r="J4" s="168">
        <f>_xlfn.COVARIANCE.P('Índices y Ranking Barrio'!$D$2:$D$132,'Índices y Ranking Barrio'!L$2:L$132)</f>
        <v>4.8341597224474273E-4</v>
      </c>
      <c r="K4" s="168">
        <f>_xlfn.COVARIANCE.P('Índices y Ranking Barrio'!$D$2:$D$132,'Índices y Ranking Barrio'!M$2:M$132)</f>
        <v>21.557409710876538</v>
      </c>
      <c r="L4" s="168">
        <f>_xlfn.COVARIANCE.P('Índices y Ranking Barrio'!$D$2:$D$132,'Índices y Ranking Barrio'!N$2:N$132)</f>
        <v>6.5400484740190843E-4</v>
      </c>
      <c r="M4" s="168">
        <f>_xlfn.COVARIANCE.P('Índices y Ranking Barrio'!$D$2:$D$132,'Índices y Ranking Barrio'!O$2:O$132)</f>
        <v>5.5478816846212724E-4</v>
      </c>
      <c r="N4" s="168">
        <f>_xlfn.COVARIANCE.P('Índices y Ranking Barrio'!$D$2:$D$132,'Índices y Ranking Barrio'!P$2:P$132)</f>
        <v>1.4824237970378155E-4</v>
      </c>
      <c r="O4" s="168">
        <f>_xlfn.COVARIANCE.P('Índices y Ranking Barrio'!$D$2:$D$129,'Índices y Ranking Barrio'!Q$2:Q$129)</f>
        <v>7.5533130139611764E-7</v>
      </c>
      <c r="P4" s="168">
        <f>_xlfn.COVARIANCE.P('Índices y Ranking Barrio'!$D$2:$D$132,'Índices y Ranking Barrio'!R$2:R$132)</f>
        <v>6.9821427277796892E-5</v>
      </c>
      <c r="Q4" s="168">
        <f>_xlfn.COVARIANCE.P('Índices y Ranking Barrio'!$D$2:$D$129,'Índices y Ranking Barrio'!S$2:S$129)</f>
        <v>7.5547805786823792E-7</v>
      </c>
      <c r="R4" s="168">
        <f>_xlfn.COVARIANCE.P('Índices y Ranking Barrio'!$D$2:$D$132,'Índices y Ranking Barrio'!T$2:T$132)</f>
        <v>1.4405968606672818E-4</v>
      </c>
      <c r="S4" s="168">
        <f>_xlfn.COVARIANCE.P('Índices y Ranking Barrio'!$D$2:$D$129,'Índices y Ranking Barrio'!U$2:U$129)</f>
        <v>6.2438345113936358E-5</v>
      </c>
    </row>
    <row r="5" spans="1:19">
      <c r="A5" s="168" t="s">
        <v>14</v>
      </c>
      <c r="B5" s="168">
        <f>_xlfn.COVARIANCE.P('Índices y Ranking Barrio'!$E$2:$E$132,'Índices y Ranking Barrio'!D$2:D$132)</f>
        <v>-1.4572668829049238E-2</v>
      </c>
      <c r="C5" s="171">
        <f>_xlfn.COVARIANCE.P('Índices y Ranking Barrio'!$E$2:$E$132,'Índices y Ranking Barrio'!E$2:E$132)</f>
        <v>2.1451984499737771</v>
      </c>
      <c r="D5" s="168">
        <f>_xlfn.COVARIANCE.P('Índices y Ranking Barrio'!$E$2:$E$132,'Índices y Ranking Barrio'!F$2:F$132)</f>
        <v>-8.6140928883865403E-2</v>
      </c>
      <c r="E5" s="168">
        <f>_xlfn.COVARIANCE.P('Índices y Ranking Barrio'!$E$2:$E$132,'Índices y Ranking Barrio'!G$2:G$132)</f>
        <v>6855.7526228915167</v>
      </c>
      <c r="F5" s="168">
        <f>_xlfn.COVARIANCE.P('Índices y Ranking Barrio'!$E$2:$E$132,'Índices y Ranking Barrio'!H$2:H$132)</f>
        <v>-1.554485979838006</v>
      </c>
      <c r="G5" s="168">
        <f>_xlfn.COVARIANCE.P('Índices y Ranking Barrio'!$E$2:$E$132,'Índices y Ranking Barrio'!I$2:I$132)</f>
        <v>-1.5839934211293056</v>
      </c>
      <c r="H5" s="168">
        <f>_xlfn.COVARIANCE.P('Índices y Ranking Barrio'!$E$2:$E$132,'Índices y Ranking Barrio'!J$2:J$132)</f>
        <v>-6.6487862577744531E-3</v>
      </c>
      <c r="I5" s="168">
        <f>_xlfn.COVARIANCE.P('Índices y Ranking Barrio'!$E$2:$E$132,'Índices y Ranking Barrio'!K$2:K$132)</f>
        <v>8351.3393795758311</v>
      </c>
      <c r="J5" s="168">
        <f>_xlfn.COVARIANCE.P('Índices y Ranking Barrio'!$E$2:$E$132,'Índices y Ranking Barrio'!L$2:L$132)</f>
        <v>-4.3368315097375171E-3</v>
      </c>
      <c r="K5" s="168">
        <f>_xlfn.COVARIANCE.P('Índices y Ranking Barrio'!$E$2:$E$132,'Índices y Ranking Barrio'!M$2:M$132)</f>
        <v>-333.70966027620773</v>
      </c>
      <c r="L5" s="168">
        <f>_xlfn.COVARIANCE.P('Índices y Ranking Barrio'!$E$2:$E$132,'Índices y Ranking Barrio'!N$2:N$132)</f>
        <v>-6.9569446388564717E-3</v>
      </c>
      <c r="M5" s="168">
        <f>_xlfn.COVARIANCE.P('Índices y Ranking Barrio'!$E$2:$E$132,'Índices y Ranking Barrio'!O$2:O$132)</f>
        <v>-4.5955868113432378E-3</v>
      </c>
      <c r="N5" s="168">
        <f>_xlfn.COVARIANCE.P('Índices y Ranking Barrio'!$E$2:$E$132,'Índices y Ranking Barrio'!P$2:P$132)</f>
        <v>-1.4599559267927001E-3</v>
      </c>
      <c r="O5" s="168">
        <f>_xlfn.COVARIANCE.P('Índices y Ranking Barrio'!$E$2:$E$129,'Índices y Ranking Barrio'!Q$2:Q$129)</f>
        <v>-9.2745855121427895E-6</v>
      </c>
      <c r="P5" s="168">
        <f>_xlfn.COVARIANCE.P('Índices y Ranking Barrio'!$E$2:$E$132,'Índices y Ranking Barrio'!R$2:R$132)</f>
        <v>-1.2623709570126831E-3</v>
      </c>
      <c r="Q5" s="168">
        <f>_xlfn.COVARIANCE.P('Índices y Ranking Barrio'!$E$2:$E$129,'Índices y Ranking Barrio'!S$2:S$129)</f>
        <v>-4.8320281103651773E-6</v>
      </c>
      <c r="R5" s="168">
        <f>_xlfn.COVARIANCE.P('Índices y Ranking Barrio'!$E$2:$E$132,'Índices y Ranking Barrio'!T$2:T$132)</f>
        <v>-1.9708703592970014E-3</v>
      </c>
      <c r="S5" s="168">
        <f>_xlfn.COVARIANCE.P('Índices y Ranking Barrio'!$E$2:$E$129,'Índices y Ranking Barrio'!U$2:U$129)</f>
        <v>-8.5270995096673038E-4</v>
      </c>
    </row>
    <row r="6" spans="1:19">
      <c r="A6" s="168" t="s">
        <v>238</v>
      </c>
      <c r="B6" s="168">
        <f>_xlfn.COVARIANCE.P('Índices y Ranking Barrio'!$F$2:$F$132,'Índices y Ranking Barrio'!D$2:D$132)</f>
        <v>5.9771224403403914E-3</v>
      </c>
      <c r="C6" s="168">
        <f>_xlfn.COVARIANCE.P('Índices y Ranking Barrio'!$F$2:$F$132,'Índices y Ranking Barrio'!E$2:E$132)</f>
        <v>-8.6140928883865403E-2</v>
      </c>
      <c r="D6" s="171">
        <f>_xlfn.COVARIANCE.P('Índices y Ranking Barrio'!$F$2:$F$132,'Índices y Ranking Barrio'!F$2:F$132)</f>
        <v>2.9650528735143997E-2</v>
      </c>
      <c r="E6" s="168">
        <f>_xlfn.COVARIANCE.P('Índices y Ranking Barrio'!$F$2:$F$132,'Índices y Ranking Barrio'!G$2:G$132)</f>
        <v>-2582.952965747691</v>
      </c>
      <c r="F6" s="168">
        <f>_xlfn.COVARIANCE.P('Índices y Ranking Barrio'!$F$2:$F$132,'Índices y Ranking Barrio'!H$2:H$132)</f>
        <v>0.3955466631403261</v>
      </c>
      <c r="G6" s="168">
        <f>_xlfn.COVARIANCE.P('Índices y Ranking Barrio'!$F$2:$F$132,'Índices y Ranking Barrio'!I$2:I$132)</f>
        <v>0.40764615747287508</v>
      </c>
      <c r="H6" s="168">
        <f>_xlfn.COVARIANCE.P('Índices y Ranking Barrio'!$F$2:$F$132,'Índices y Ranking Barrio'!J$2:J$132)</f>
        <v>1.9459504874322579E-3</v>
      </c>
      <c r="I6" s="168">
        <f>_xlfn.COVARIANCE.P('Índices y Ranking Barrio'!$F$2:$F$132,'Índices y Ranking Barrio'!K$2:K$132)</f>
        <v>-7190.8437905158553</v>
      </c>
      <c r="J6" s="168">
        <f>_xlfn.COVARIANCE.P('Índices y Ranking Barrio'!$F$2:$F$132,'Índices y Ranking Barrio'!L$2:L$132)</f>
        <v>2.2704748994227127E-3</v>
      </c>
      <c r="K6" s="168">
        <f>_xlfn.COVARIANCE.P('Índices y Ranking Barrio'!$F$2:$F$132,'Índices y Ranking Barrio'!M$2:M$132)</f>
        <v>91.845423713175876</v>
      </c>
      <c r="L6" s="168">
        <f>_xlfn.COVARIANCE.P('Índices y Ranking Barrio'!$F$2:$F$132,'Índices y Ranking Barrio'!N$2:N$132)</f>
        <v>3.0401562930049077E-3</v>
      </c>
      <c r="M6" s="168">
        <f>_xlfn.COVARIANCE.P('Índices y Ranking Barrio'!$F$2:$F$132,'Índices y Ranking Barrio'!O$2:O$132)</f>
        <v>2.5546967494373962E-3</v>
      </c>
      <c r="N6" s="168">
        <f>_xlfn.COVARIANCE.P('Índices y Ranking Barrio'!$F$2:$F$132,'Índices y Ranking Barrio'!P$2:P$132)</f>
        <v>5.2887534327083075E-4</v>
      </c>
      <c r="O6" s="168">
        <f>_xlfn.COVARIANCE.P('Índices y Ranking Barrio'!$F$2:$F$129,'Índices y Ranking Barrio'!Q$2:Q$129)</f>
        <v>3.5810688545965647E-6</v>
      </c>
      <c r="P6" s="168">
        <f>_xlfn.COVARIANCE.P('Índices y Ranking Barrio'!$F$2:$F$132,'Índices y Ranking Barrio'!R$2:R$132)</f>
        <v>3.3870499449714029E-4</v>
      </c>
      <c r="Q6" s="168">
        <f>_xlfn.COVARIANCE.P('Índices y Ranking Barrio'!$F$2:$F$129,'Índices y Ranking Barrio'!S$2:S$129)</f>
        <v>4.2300368176929883E-6</v>
      </c>
      <c r="R6" s="168">
        <f>_xlfn.COVARIANCE.P('Índices y Ranking Barrio'!$F$2:$F$132,'Índices y Ranking Barrio'!T$2:T$132)</f>
        <v>6.3104462130764995E-4</v>
      </c>
      <c r="S6" s="168">
        <f>_xlfn.COVARIANCE.P('Índices y Ranking Barrio'!$F$2:$F$129,'Índices y Ranking Barrio'!U$2:U$129)</f>
        <v>2.6640427493060306E-4</v>
      </c>
    </row>
    <row r="7" spans="1:19">
      <c r="A7" s="168" t="s">
        <v>210</v>
      </c>
      <c r="B7" s="168">
        <f>_xlfn.COVARIANCE.P('Índices y Ranking Barrio'!$G$2:$G$132,'Índices y Ranking Barrio'!D$2:D$132)</f>
        <v>-545.84475395919435</v>
      </c>
      <c r="C7" s="168">
        <f>_xlfn.COVARIANCE.P('Índices y Ranking Barrio'!$G$2:$G$132,'Índices y Ranking Barrio'!E$2:E$132)</f>
        <v>6855.7526228915167</v>
      </c>
      <c r="D7" s="168">
        <f>_xlfn.COVARIANCE.P('Índices y Ranking Barrio'!$G$2:$G$132,'Índices y Ranking Barrio'!F$2:F$132)</f>
        <v>-2582.952965747691</v>
      </c>
      <c r="E7" s="171">
        <f>_xlfn.COVARIANCE.P('Índices y Ranking Barrio'!$G$2:$G$132,'Índices y Ranking Barrio'!G$2:G$132)</f>
        <v>370675362.97673845</v>
      </c>
      <c r="F7" s="168">
        <f>_xlfn.COVARIANCE.P('Índices y Ranking Barrio'!$G$2:$G$132,'Índices y Ranking Barrio'!H$2:H$132)</f>
        <v>-39345.743392306947</v>
      </c>
      <c r="G7" s="168">
        <f>_xlfn.COVARIANCE.P('Índices y Ranking Barrio'!$G$2:$G$132,'Índices y Ranking Barrio'!I$2:I$132)</f>
        <v>-43060.767627297559</v>
      </c>
      <c r="H7" s="168">
        <f>_xlfn.COVARIANCE.P('Índices y Ranking Barrio'!$G$2:$G$132,'Índices y Ranking Barrio'!J$2:J$132)</f>
        <v>-174.38705577035745</v>
      </c>
      <c r="I7" s="168">
        <f>_xlfn.COVARIANCE.P('Índices y Ranking Barrio'!$G$2:$G$132,'Índices y Ranking Barrio'!K$2:K$132)</f>
        <v>963232351.77548623</v>
      </c>
      <c r="J7" s="168">
        <f>_xlfn.COVARIANCE.P('Índices y Ranking Barrio'!$G$2:$G$132,'Índices y Ranking Barrio'!L$2:L$132)</f>
        <v>-188.39821924952491</v>
      </c>
      <c r="K7" s="168">
        <f>_xlfn.COVARIANCE.P('Índices y Ranking Barrio'!$G$2:$G$132,'Índices y Ranking Barrio'!M$2:M$132)</f>
        <v>-7696327.9213624503</v>
      </c>
      <c r="L7" s="168">
        <f>_xlfn.COVARIANCE.P('Índices y Ranking Barrio'!$G$2:$G$132,'Índices y Ranking Barrio'!N$2:N$132)</f>
        <v>-240.7117810043508</v>
      </c>
      <c r="M7" s="168">
        <f>_xlfn.COVARIANCE.P('Índices y Ranking Barrio'!$G$2:$G$132,'Índices y Ranking Barrio'!O$2:O$132)</f>
        <v>-199.26922752164208</v>
      </c>
      <c r="N7" s="168">
        <f>_xlfn.COVARIANCE.P('Índices y Ranking Barrio'!$G$2:$G$129,'Índices y Ranking Barrio'!P$2:P$129)</f>
        <v>-46.879215700778765</v>
      </c>
      <c r="O7" s="168">
        <f>_xlfn.COVARIANCE.P('Índices y Ranking Barrio'!$G$2:$G$129,'Índices y Ranking Barrio'!Q$2:Q$129)</f>
        <v>-0.51652921427102894</v>
      </c>
      <c r="P7" s="168">
        <f>_xlfn.COVARIANCE.P('Índices y Ranking Barrio'!$G$2:$G$132,'Índices y Ranking Barrio'!R$2:R$132)</f>
        <v>-33.421169950569556</v>
      </c>
      <c r="Q7" s="168">
        <f>_xlfn.COVARIANCE.P('Índices y Ranking Barrio'!$G$2:$G$129,'Índices y Ranking Barrio'!S$2:S$129)</f>
        <v>-0.56739532296059336</v>
      </c>
      <c r="R7" s="168">
        <f>_xlfn.COVARIANCE.P('Índices y Ranking Barrio'!$G$2:$G$132,'Índices y Ranking Barrio'!T$2:T$132)</f>
        <v>-52.089268991765081</v>
      </c>
      <c r="S7" s="168">
        <f>_xlfn.COVARIANCE.P('Índices y Ranking Barrio'!$G$2:$G$129,'Índices y Ranking Barrio'!U$2:U$129)</f>
        <v>-24.52515293510638</v>
      </c>
    </row>
    <row r="8" spans="1:19">
      <c r="A8" s="168" t="s">
        <v>153</v>
      </c>
      <c r="B8" s="168">
        <f>_xlfn.COVARIANCE.P('Índices y Ranking Barrio'!$H$2:$H$132,'Índices y Ranking Barrio'!D$2:D$132)</f>
        <v>7.341026260666203E-2</v>
      </c>
      <c r="C8" s="168">
        <f>_xlfn.COVARIANCE.P('Índices y Ranking Barrio'!$H$2:$H$132,'Índices y Ranking Barrio'!E$2:E$132)</f>
        <v>-1.554485979838006</v>
      </c>
      <c r="D8" s="168">
        <f>_xlfn.COVARIANCE.P('Índices y Ranking Barrio'!$H$2:$H$132,'Índices y Ranking Barrio'!F$2:F$132)</f>
        <v>0.3955466631403261</v>
      </c>
      <c r="E8" s="168">
        <f>_xlfn.COVARIANCE.P('Índices y Ranking Barrio'!$H$2:$H$132,'Índices y Ranking Barrio'!G$2:G$132)</f>
        <v>-39345.743392306947</v>
      </c>
      <c r="F8" s="171">
        <f>_xlfn.COVARIANCE.P('Índices y Ranking Barrio'!$H$2:$H$132,'Índices y Ranking Barrio'!H$2:H$132)</f>
        <v>6.2267065672163628</v>
      </c>
      <c r="G8" s="168">
        <f>_xlfn.COVARIANCE.P('Índices y Ranking Barrio'!$H$2:$H$132,'Índices y Ranking Barrio'!I$2:I$132)</f>
        <v>6.4135386108035659</v>
      </c>
      <c r="H8" s="168">
        <f>_xlfn.COVARIANCE.P('Índices y Ranking Barrio'!$H$2:$H$132,'Índices y Ranking Barrio'!J$2:J$132)</f>
        <v>2.8753445050588824E-2</v>
      </c>
      <c r="I8" s="168">
        <f>_xlfn.COVARIANCE.P('Índices y Ranking Barrio'!$H$2:$H$132,'Índices y Ranking Barrio'!K$2:K$132)</f>
        <v>-105768.27065185587</v>
      </c>
      <c r="J8" s="168">
        <f>_xlfn.COVARIANCE.P('Índices y Ranking Barrio'!$H$2:$H$132,'Índices y Ranking Barrio'!L$2:L$132)</f>
        <v>3.0857310790738574E-2</v>
      </c>
      <c r="K8" s="168">
        <f>_xlfn.COVARIANCE.P('Índices y Ranking Barrio'!$H$2:$H$132,'Índices y Ranking Barrio'!M$2:M$132)</f>
        <v>1323.0030988870105</v>
      </c>
      <c r="L8" s="168">
        <f>_xlfn.COVARIANCE.P('Índices y Ranking Barrio'!$H$2:$H$132,'Índices y Ranking Barrio'!N$2:N$132)</f>
        <v>4.0299326991779405E-2</v>
      </c>
      <c r="M8" s="168">
        <f>_xlfn.COVARIANCE.P('Índices y Ranking Barrio'!$H$2:$H$132,'Índices y Ranking Barrio'!O$2:O$132)</f>
        <v>3.4132872555396161E-2</v>
      </c>
      <c r="N8" s="168">
        <f>_xlfn.COVARIANCE.P('Índices y Ranking Barrio'!$H$2:$H$132,'Índices y Ranking Barrio'!P$2:P$132)</f>
        <v>6.8816612453322353E-3</v>
      </c>
      <c r="O8" s="168">
        <f>_xlfn.COVARIANCE.P('Índices y Ranking Barrio'!$H$2:$H$129,'Índices y Ranking Barrio'!Q$2:Q$129)</f>
        <v>5.4852013245663934E-5</v>
      </c>
      <c r="P8" s="168">
        <f>_xlfn.COVARIANCE.P('Índices y Ranking Barrio'!$H$2:$H$132,'Índices y Ranking Barrio'!R$2:R$132)</f>
        <v>5.2136801680380237E-3</v>
      </c>
      <c r="Q8" s="168">
        <f>_xlfn.COVARIANCE.P('Índices y Ranking Barrio'!$H$2:$H$129,'Índices y Ranking Barrio'!S$2:S$129)</f>
        <v>6.237479961072683E-5</v>
      </c>
      <c r="R8" s="168">
        <f>_xlfn.COVARIANCE.P('Índices y Ranking Barrio'!$H$2:$H$132,'Índices y Ranking Barrio'!T$2:T$132)</f>
        <v>8.8779631182351361E-3</v>
      </c>
      <c r="S8" s="168">
        <f>_xlfn.COVARIANCE.P('Índices y Ranking Barrio'!$H$2:$H$129,'Índices y Ranking Barrio'!U$2:U$129)</f>
        <v>3.7895237665268827E-3</v>
      </c>
    </row>
    <row r="9" spans="1:19">
      <c r="A9" s="168" t="s">
        <v>254</v>
      </c>
      <c r="B9" s="168">
        <f>_xlfn.COVARIANCE.P('Índices y Ranking Barrio'!$I$2:$I$132,'Índices y Ranking Barrio'!D$2:D$132)</f>
        <v>8.8037417254781966E-2</v>
      </c>
      <c r="C9" s="168">
        <f>_xlfn.COVARIANCE.P('Índices y Ranking Barrio'!$I$2:$I$132,'Índices y Ranking Barrio'!E$2:E$132)</f>
        <v>-1.5839934211293056</v>
      </c>
      <c r="D9" s="168">
        <f>_xlfn.COVARIANCE.P('Índices y Ranking Barrio'!$I$2:$I$132,'Índices y Ranking Barrio'!F$2:F$132)</f>
        <v>0.40764615747287508</v>
      </c>
      <c r="E9" s="168">
        <f>_xlfn.COVARIANCE.P('Índices y Ranking Barrio'!$I$2:$I$132,'Índices y Ranking Barrio'!G$2:G$132)</f>
        <v>-43060.767627297559</v>
      </c>
      <c r="F9" s="168">
        <f>_xlfn.COVARIANCE.P('Índices y Ranking Barrio'!$I$2:$I$132,'Índices y Ranking Barrio'!H$2:H$132)</f>
        <v>6.4135386108035659</v>
      </c>
      <c r="G9" s="171">
        <f>_xlfn.COVARIANCE.P('Índices y Ranking Barrio'!$I$2:$I$132,'Índices y Ranking Barrio'!I$2:I$132)</f>
        <v>7.0039085717615537</v>
      </c>
      <c r="H9" s="168">
        <f>_xlfn.COVARIANCE.P('Índices y Ranking Barrio'!$I$2:$I$132,'Índices y Ranking Barrio'!J$2:J$132)</f>
        <v>2.9014538541110677E-2</v>
      </c>
      <c r="I9" s="168">
        <f>_xlfn.COVARIANCE.P('Índices y Ranking Barrio'!$I$2:$I$132,'Índices y Ranking Barrio'!K$2:K$132)</f>
        <v>-112998.56462438662</v>
      </c>
      <c r="J9" s="168">
        <f>_xlfn.COVARIANCE.P('Índices y Ranking Barrio'!$I$2:$I$132,'Índices y Ranking Barrio'!L$2:L$132)</f>
        <v>3.0960673630363644E-2</v>
      </c>
      <c r="K9" s="168">
        <f>_xlfn.COVARIANCE.P('Índices y Ranking Barrio'!$I$2:$I$132,'Índices y Ranking Barrio'!M$2:M$132)</f>
        <v>1353.8532923489306</v>
      </c>
      <c r="L9" s="168">
        <f>_xlfn.COVARIANCE.P('Índices y Ranking Barrio'!$I$2:$I$132,'Índices y Ranking Barrio'!N$2:N$132)</f>
        <v>4.0486823885375341E-2</v>
      </c>
      <c r="M9" s="168">
        <f>_xlfn.COVARIANCE.P('Índices y Ranking Barrio'!$I$2:$I$132,'Índices y Ranking Barrio'!O$2:O$132)</f>
        <v>3.404643327557344E-2</v>
      </c>
      <c r="N9" s="168">
        <f>_xlfn.COVARIANCE.P('Índices y Ranking Barrio'!$I$2:$I$129,'Índices y Ranking Barrio'!P$2:P$129)</f>
        <v>7.4379851753349387E-3</v>
      </c>
      <c r="O9" s="168">
        <f>_xlfn.COVARIANCE.P('Índices y Ranking Barrio'!$I$2:$I$129,'Índices y Ranking Barrio'!Q$2:Q$129)</f>
        <v>5.9891334219813161E-5</v>
      </c>
      <c r="P9" s="168">
        <f>_xlfn.COVARIANCE.P('Índices y Ranking Barrio'!$I$2:$I$132,'Índices y Ranking Barrio'!R$2:R$132)</f>
        <v>5.4788282525119313E-3</v>
      </c>
      <c r="Q9" s="168">
        <f>_xlfn.COVARIANCE.P('Índices y Ranking Barrio'!$I$2:$I$129,'Índices y Ranking Barrio'!S$2:S$129)</f>
        <v>6.6559033709608832E-5</v>
      </c>
      <c r="R9" s="168">
        <f>_xlfn.COVARIANCE.P('Índices y Ranking Barrio'!$I$2:$I$132,'Índices y Ranking Barrio'!T$2:T$132)</f>
        <v>9.0279753936616889E-3</v>
      </c>
      <c r="S9" s="168">
        <f>_xlfn.COVARIANCE.P('Índices y Ranking Barrio'!$I$2:$I$129,'Índices y Ranking Barrio'!U$2:U$129)</f>
        <v>3.9836386054921515E-3</v>
      </c>
    </row>
    <row r="10" spans="1:19">
      <c r="A10" s="168" t="s">
        <v>239</v>
      </c>
      <c r="B10" s="168">
        <f>_xlfn.COVARIANCE.P('Índices y Ranking Barrio'!$J$2:$J$132,'Índices y Ranking Barrio'!D$2:D$132)</f>
        <v>3.9997270832640194E-4</v>
      </c>
      <c r="C10" s="168">
        <f>_xlfn.COVARIANCE.P('Índices y Ranking Barrio'!$J$2:$J$132,'Índices y Ranking Barrio'!E$2:E$132)</f>
        <v>-6.6487862577744531E-3</v>
      </c>
      <c r="D10" s="168">
        <f>_xlfn.COVARIANCE.P('Índices y Ranking Barrio'!$J$2:$J$132,'Índices y Ranking Barrio'!F$2:F$132)</f>
        <v>1.9459504874322579E-3</v>
      </c>
      <c r="E10" s="168">
        <f>_xlfn.COVARIANCE.P('Índices y Ranking Barrio'!$J$2:$J$132,'Índices y Ranking Barrio'!G$2:G$132)</f>
        <v>-174.38705577035745</v>
      </c>
      <c r="F10" s="168">
        <f>_xlfn.COVARIANCE.P('Índices y Ranking Barrio'!$J$2:$J$132,'Índices y Ranking Barrio'!H$2:H$132)</f>
        <v>2.8753445050588824E-2</v>
      </c>
      <c r="G10" s="168">
        <f>_xlfn.COVARIANCE.P('Índices y Ranking Barrio'!$J$2:$J$132,'Índices y Ranking Barrio'!I$2:I$132)</f>
        <v>2.9014538541110677E-2</v>
      </c>
      <c r="H10" s="171">
        <f>_xlfn.COVARIANCE.P('Índices y Ranking Barrio'!$J$2:$J$132,'Índices y Ranking Barrio'!J$2:J$132)</f>
        <v>2.1454319358164755E-4</v>
      </c>
      <c r="I10" s="168">
        <f>_xlfn.COVARIANCE.P('Índices y Ranking Barrio'!$J$2:$J$132,'Índices y Ranking Barrio'!K$2:K$132)</f>
        <v>-543.22070546543068</v>
      </c>
      <c r="J10" s="168">
        <f>_xlfn.COVARIANCE.P('Índices y Ranking Barrio'!$J$2:$J$132,'Índices y Ranking Barrio'!L$2:L$132)</f>
        <v>2.2590675481219045E-4</v>
      </c>
      <c r="K10" s="168">
        <f>_xlfn.COVARIANCE.P('Índices y Ranking Barrio'!$J$2:$J$132,'Índices y Ranking Barrio'!M$2:M$132)</f>
        <v>9.7236599215863091</v>
      </c>
      <c r="L10" s="168">
        <f>_xlfn.COVARIANCE.P('Índices y Ranking Barrio'!$J$2:$J$132,'Índices y Ranking Barrio'!N$2:N$132)</f>
        <v>2.8961579000268259E-4</v>
      </c>
      <c r="M10" s="168">
        <f>_xlfn.COVARIANCE.P('Índices y Ranking Barrio'!$J$2:$J$132,'Índices y Ranking Barrio'!O$2:O$132)</f>
        <v>2.5227593469701851E-4</v>
      </c>
      <c r="N10" s="168">
        <f>_xlfn.COVARIANCE.P('Índices y Ranking Barrio'!$J$2:$J$132,'Índices y Ranking Barrio'!P$2:P$132)</f>
        <v>3.4921270092309737E-5</v>
      </c>
      <c r="O10" s="168">
        <f>_xlfn.COVARIANCE.P('Índices y Ranking Barrio'!$J$2:$J$129,'Índices y Ranking Barrio'!Q$2:Q$129)</f>
        <v>2.453825202812975E-7</v>
      </c>
      <c r="P10" s="168">
        <f>_xlfn.COVARIANCE.P('Índices y Ranking Barrio'!$J$2:$J$132,'Índices y Ranking Barrio'!R$2:R$132)</f>
        <v>2.8939005926525762E-5</v>
      </c>
      <c r="Q10" s="168">
        <f>_xlfn.COVARIANCE.P('Índices y Ranking Barrio'!$J$2:$J$129,'Índices y Ranking Barrio'!S$2:S$129)</f>
        <v>3.2175666669526049E-7</v>
      </c>
      <c r="R10" s="168">
        <f>_xlfn.COVARIANCE.P('Índices y Ranking Barrio'!$J$2:$J$132,'Índices y Ranking Barrio'!T$2:T$132)</f>
        <v>6.5038831344879449E-5</v>
      </c>
      <c r="S10" s="168">
        <f>_xlfn.COVARIANCE.P('Índices y Ranking Barrio'!$J$2:$J$129,'Índices y Ranking Barrio'!U$2:U$129)</f>
        <v>2.192207795032384E-5</v>
      </c>
    </row>
    <row r="11" spans="1:19">
      <c r="A11" s="168" t="s">
        <v>257</v>
      </c>
      <c r="B11" s="168">
        <f>_xlfn.COVARIANCE.P('Índices y Ranking Barrio'!$K$2:$K$132,'Índices y Ranking Barrio'!D$2:D$132)</f>
        <v>-1285.6353916920339</v>
      </c>
      <c r="C11" s="168">
        <f>_xlfn.COVARIANCE.P('Índices y Ranking Barrio'!$K$2:$K$132,'Índices y Ranking Barrio'!E$2:E$132)</f>
        <v>8351.3393795758311</v>
      </c>
      <c r="D11" s="168">
        <f>_xlfn.COVARIANCE.P('Índices y Ranking Barrio'!$K$2:$K$132,'Índices y Ranking Barrio'!F$2:F$132)</f>
        <v>-7190.8437905158553</v>
      </c>
      <c r="E11" s="168">
        <f>_xlfn.COVARIANCE.P('Índices y Ranking Barrio'!$K$2:$K$132,'Índices y Ranking Barrio'!G$2:G$132)</f>
        <v>963232351.77548623</v>
      </c>
      <c r="F11" s="168">
        <f>_xlfn.COVARIANCE.P('Índices y Ranking Barrio'!$K$2:$K$132,'Índices y Ranking Barrio'!H$2:H$132)</f>
        <v>-105768.27065185587</v>
      </c>
      <c r="G11" s="168">
        <f>_xlfn.COVARIANCE.P('Índices y Ranking Barrio'!$K$2:$K$132,'Índices y Ranking Barrio'!I$2:I$132)</f>
        <v>-112998.56462438662</v>
      </c>
      <c r="H11" s="168">
        <f>_xlfn.COVARIANCE.P('Índices y Ranking Barrio'!$K$2:$K$132,'Índices y Ranking Barrio'!J$2:J$132)</f>
        <v>-543.22070546543068</v>
      </c>
      <c r="I11" s="171">
        <f>_xlfn.COVARIANCE.P('Índices y Ranking Barrio'!$K$2:$K$132,'Índices y Ranking Barrio'!K$2:K$132)</f>
        <v>3479854277.4107795</v>
      </c>
      <c r="J11" s="168">
        <f>_xlfn.COVARIANCE.P('Índices y Ranking Barrio'!$K$2:$K$132,'Índices y Ranking Barrio'!L$2:L$132)</f>
        <v>-687.44567766658463</v>
      </c>
      <c r="K11" s="168">
        <f>_xlfn.COVARIANCE.P('Índices y Ranking Barrio'!$K$2:$K$132,'Índices y Ranking Barrio'!M$2:M$132)</f>
        <v>-24027968.412946805</v>
      </c>
      <c r="L11" s="168">
        <f>_xlfn.COVARIANCE.P('Índices y Ranking Barrio'!$K$2:$K$132,'Índices y Ranking Barrio'!N$2:N$132)</f>
        <v>-883.87334063259345</v>
      </c>
      <c r="M11" s="168">
        <f>_xlfn.COVARIANCE.P('Índices y Ranking Barrio'!$K$2:$K$132,'Índices y Ranking Barrio'!O$2:O$132)</f>
        <v>-747.12449621641633</v>
      </c>
      <c r="N11" s="168">
        <f>_xlfn.COVARIANCE.P('Índices y Ranking Barrio'!$K$2:$K$132,'Índices y Ranking Barrio'!P$2:P$132)</f>
        <v>-123.76028424385325</v>
      </c>
      <c r="O11" s="168">
        <f>_xlfn.COVARIANCE.P('Índices y Ranking Barrio'!$K$2:$K$129,'Índices y Ranking Barrio'!Q$2:Q$129)</f>
        <v>-1.3562799191521235</v>
      </c>
      <c r="P11" s="168">
        <f>_xlfn.COVARIANCE.P('Índices y Ranking Barrio'!$K$2:$K$132,'Índices y Ranking Barrio'!R$2:R$132)</f>
        <v>-93.458501717128982</v>
      </c>
      <c r="Q11" s="168">
        <f>_xlfn.COVARIANCE.P('Índices y Ranking Barrio'!$K$2:$K$129,'Índices y Ranking Barrio'!S$2:S$129)</f>
        <v>-2.0567637022791754</v>
      </c>
      <c r="R11" s="168">
        <f>_xlfn.COVARIANCE.P('Índices y Ranking Barrio'!$K$2:$K$132,'Índices y Ranking Barrio'!T$2:T$132)</f>
        <v>-171.84823978549716</v>
      </c>
      <c r="S11" s="168">
        <f>_xlfn.COVARIANCE.P('Índices y Ranking Barrio'!$K$2:$K$129,'Índices y Ranking Barrio'!U$2:U$129)</f>
        <v>-70.693228576824382</v>
      </c>
    </row>
    <row r="12" spans="1:19">
      <c r="A12" s="168" t="s">
        <v>207</v>
      </c>
      <c r="B12" s="168">
        <f>_xlfn.COVARIANCE.P('Índices y Ranking Barrio'!$L$2:$L$132,'Índices y Ranking Barrio'!D$2:D$132)</f>
        <v>4.8341597224474273E-4</v>
      </c>
      <c r="C12" s="168">
        <f>_xlfn.COVARIANCE.P('Índices y Ranking Barrio'!$L$2:$L$132,'Índices y Ranking Barrio'!E$2:E$132)</f>
        <v>-4.3368315097375171E-3</v>
      </c>
      <c r="D12" s="168">
        <f>_xlfn.COVARIANCE.P('Índices y Ranking Barrio'!$L$2:$L$132,'Índices y Ranking Barrio'!F$2:F$132)</f>
        <v>2.2704748994227127E-3</v>
      </c>
      <c r="E12" s="168">
        <f>_xlfn.COVARIANCE.P('Índices y Ranking Barrio'!$L$2:$L$132,'Índices y Ranking Barrio'!G$2:G$132)</f>
        <v>-188.39821924952491</v>
      </c>
      <c r="F12" s="168">
        <f>_xlfn.COVARIANCE.P('Índices y Ranking Barrio'!$L$2:$L$132,'Índices y Ranking Barrio'!H$2:H$132)</f>
        <v>3.0857310790738574E-2</v>
      </c>
      <c r="G12" s="168">
        <f>_xlfn.COVARIANCE.P('Índices y Ranking Barrio'!$L$2:$L$132,'Índices y Ranking Barrio'!I$2:I$132)</f>
        <v>3.0960673630363644E-2</v>
      </c>
      <c r="H12" s="168">
        <f>_xlfn.COVARIANCE.P('Índices y Ranking Barrio'!$L$2:$L$132,'Índices y Ranking Barrio'!J$2:J$132)</f>
        <v>2.2590675481219045E-4</v>
      </c>
      <c r="I12" s="168">
        <f>_xlfn.COVARIANCE.P('Índices y Ranking Barrio'!$L$2:$L$132,'Índices y Ranking Barrio'!K$2:K$132)</f>
        <v>-687.44567766658463</v>
      </c>
      <c r="J12" s="171">
        <f>_xlfn.COVARIANCE.P('Índices y Ranking Barrio'!$L$2:$L$132,'Índices y Ranking Barrio'!L$2:L$132)</f>
        <v>6.7846260636272317E-4</v>
      </c>
      <c r="K12" s="168">
        <f>_xlfn.COVARIANCE.P('Índices y Ranking Barrio'!$L$2:$L$132,'Índices y Ranking Barrio'!M$2:M$132)</f>
        <v>14.631753163812563</v>
      </c>
      <c r="L12" s="168">
        <f>_xlfn.COVARIANCE.P('Índices y Ranking Barrio'!$L$2:$L$132,'Índices y Ranking Barrio'!N$2:N$132)</f>
        <v>7.3956075168757959E-4</v>
      </c>
      <c r="M12" s="168">
        <f>_xlfn.COVARIANCE.P('Índices y Ranking Barrio'!$L$2:$L$132,'Índices y Ranking Barrio'!O$2:O$132)</f>
        <v>6.4620430062420147E-4</v>
      </c>
      <c r="N12" s="168">
        <f>_xlfn.COVARIANCE.P('Índices y Ranking Barrio'!$L$2:$L$129,'Índices y Ranking Barrio'!P$2:P$129)</f>
        <v>4.0918590111864102E-5</v>
      </c>
      <c r="O12" s="168">
        <f>_xlfn.COVARIANCE.P('Índices y Ranking Barrio'!$L$2:$L$129,'Índices y Ranking Barrio'!Q$2:Q$129)</f>
        <v>2.6283835421211913E-7</v>
      </c>
      <c r="P12" s="168">
        <f>_xlfn.COVARIANCE.P('Índices y Ranking Barrio'!$L$2:$L$132,'Índices y Ranking Barrio'!R$2:R$132)</f>
        <v>3.0721993503518033E-5</v>
      </c>
      <c r="Q12" s="168">
        <f>_xlfn.COVARIANCE.P('Índices y Ranking Barrio'!$L$2:$L$129,'Índices y Ranking Barrio'!S$2:S$129)</f>
        <v>4.076480616521001E-7</v>
      </c>
      <c r="R12" s="168">
        <f>_xlfn.COVARIANCE.P('Índices y Ranking Barrio'!$L$2:$L$132,'Índices y Ranking Barrio'!T$2:T$132)</f>
        <v>1.2143586538327945E-4</v>
      </c>
      <c r="S12" s="168">
        <f>_xlfn.COVARIANCE.P('Índices y Ranking Barrio'!$L$2:$L$129,'Índices y Ranking Barrio'!U$2:U$129)</f>
        <v>2.8124105843866641E-5</v>
      </c>
    </row>
    <row r="13" spans="1:19">
      <c r="A13" s="168" t="s">
        <v>209</v>
      </c>
      <c r="B13" s="168">
        <f>_xlfn.COVARIANCE.P('Índices y Ranking Barrio'!$M$2:$M$132,'Índices y Ranking Barrio'!D$2:D$132)</f>
        <v>21.557409710876538</v>
      </c>
      <c r="C13" s="168">
        <f>_xlfn.COVARIANCE.P('Índices y Ranking Barrio'!$M$2:$M$132,'Índices y Ranking Barrio'!E$2:E$132)</f>
        <v>-333.70966027620773</v>
      </c>
      <c r="D13" s="168">
        <f>_xlfn.COVARIANCE.P('Índices y Ranking Barrio'!$M$2:$M$132,'Índices y Ranking Barrio'!F$2:F$132)</f>
        <v>91.845423713175876</v>
      </c>
      <c r="E13" s="168">
        <f>_xlfn.COVARIANCE.P('Índices y Ranking Barrio'!$M$2:$M$132,'Índices y Ranking Barrio'!G$2:G$132)</f>
        <v>-7696327.9213624503</v>
      </c>
      <c r="F13" s="168">
        <f>_xlfn.COVARIANCE.P('Índices y Ranking Barrio'!$M$2:$M$132,'Índices y Ranking Barrio'!H$2:H$132)</f>
        <v>1323.0030988870105</v>
      </c>
      <c r="G13" s="168">
        <f>_xlfn.COVARIANCE.P('Índices y Ranking Barrio'!$M$2:$M$132,'Índices y Ranking Barrio'!I$2:I$132)</f>
        <v>1353.8532923489306</v>
      </c>
      <c r="H13" s="168">
        <f>_xlfn.COVARIANCE.P('Índices y Ranking Barrio'!$M$2:$M$132,'Índices y Ranking Barrio'!J$2:J$132)</f>
        <v>9.7236599215863091</v>
      </c>
      <c r="I13" s="168">
        <f>_xlfn.COVARIANCE.P('Índices y Ranking Barrio'!$M$2:$M$132,'Índices y Ranking Barrio'!K$2:K$132)</f>
        <v>-24027968.412946805</v>
      </c>
      <c r="J13" s="168">
        <f>_xlfn.COVARIANCE.P('Índices y Ranking Barrio'!$M$2:$M$132,'Índices y Ranking Barrio'!L$2:L$132)</f>
        <v>14.631753163812563</v>
      </c>
      <c r="K13" s="171">
        <f>_xlfn.COVARIANCE.P('Índices y Ranking Barrio'!$M$2:$M$132,'Índices y Ranking Barrio'!M$2:M$132)</f>
        <v>588360.93211351382</v>
      </c>
      <c r="L13" s="168">
        <f>_xlfn.COVARIANCE.P('Índices y Ranking Barrio'!$M$2:$M$132,'Índices y Ranking Barrio'!N$2:N$132)</f>
        <v>18.45647644866931</v>
      </c>
      <c r="M13" s="168">
        <f>_xlfn.COVARIANCE.P('Índices y Ranking Barrio'!$M$2:$M$132,'Índices y Ranking Barrio'!O$2:O$132)</f>
        <v>16.155700106619125</v>
      </c>
      <c r="N13" s="168">
        <f>_xlfn.COVARIANCE.P('Índices y Ranking Barrio'!$M$2:$M$129,'Índices y Ranking Barrio'!P$2:P$129)</f>
        <v>1.7393318787776604</v>
      </c>
      <c r="O13" s="168">
        <f>_xlfn.COVARIANCE.P('Índices y Ranking Barrio'!$M$2:$M$129,'Índices y Ranking Barrio'!Q$2:Q$129)</f>
        <v>1.0820020248659365E-2</v>
      </c>
      <c r="P13" s="168">
        <f>_xlfn.COVARIANCE.P('Índices y Ranking Barrio'!$M$2:$M$132,'Índices y Ranking Barrio'!R$2:R$132)</f>
        <v>1.3292615237234098</v>
      </c>
      <c r="Q13" s="168">
        <f>_xlfn.COVARIANCE.P('Índices y Ranking Barrio'!$M$2:$M$129,'Índices y Ranking Barrio'!S$2:S$129)</f>
        <v>1.4234256408934E-2</v>
      </c>
      <c r="R13" s="168">
        <f>_xlfn.COVARIANCE.P('Índices y Ranking Barrio'!$M$2:$M$132,'Índices y Ranking Barrio'!T$2:T$132)</f>
        <v>4.0071800503728587</v>
      </c>
      <c r="S13" s="168">
        <f>_xlfn.COVARIANCE.P('Índices y Ranking Barrio'!$M$2:$M$129,'Índices y Ranking Barrio'!U$2:U$129)</f>
        <v>1.1217823853829991</v>
      </c>
    </row>
    <row r="14" spans="1:19">
      <c r="A14" s="168" t="s">
        <v>226</v>
      </c>
      <c r="B14" s="168">
        <f>_xlfn.COVARIANCE.P('Índices y Ranking Barrio'!$N$2:$N$132,'Índices y Ranking Barrio'!D$2:D$132)</f>
        <v>6.5400484740190843E-4</v>
      </c>
      <c r="C14" s="168">
        <f>_xlfn.COVARIANCE.P('Índices y Ranking Barrio'!$N$2:$N$132,'Índices y Ranking Barrio'!E$2:E$132)</f>
        <v>-6.9569446388564717E-3</v>
      </c>
      <c r="D14" s="168">
        <f>_xlfn.COVARIANCE.P('Índices y Ranking Barrio'!$N$2:$N$132,'Índices y Ranking Barrio'!F$2:F$132)</f>
        <v>3.0401562930049077E-3</v>
      </c>
      <c r="E14" s="168">
        <f>_xlfn.COVARIANCE.P('Índices y Ranking Barrio'!$N$2:$N$132,'Índices y Ranking Barrio'!G$2:G$132)</f>
        <v>-240.7117810043508</v>
      </c>
      <c r="F14" s="168">
        <f>_xlfn.COVARIANCE.P('Índices y Ranking Barrio'!$N$2:$N$132,'Índices y Ranking Barrio'!H$2:H$132)</f>
        <v>4.0299326991779405E-2</v>
      </c>
      <c r="G14" s="168">
        <f>_xlfn.COVARIANCE.P('Índices y Ranking Barrio'!$N$2:$N$132,'Índices y Ranking Barrio'!I$2:I$132)</f>
        <v>4.0486823885375341E-2</v>
      </c>
      <c r="H14" s="168">
        <f>_xlfn.COVARIANCE.P('Índices y Ranking Barrio'!$N$2:$N$132,'Índices y Ranking Barrio'!J$2:J$132)</f>
        <v>2.8961579000268259E-4</v>
      </c>
      <c r="I14" s="168">
        <f>_xlfn.COVARIANCE.P('Índices y Ranking Barrio'!$N$2:$N$132,'Índices y Ranking Barrio'!K$2:K$132)</f>
        <v>-883.87334063259345</v>
      </c>
      <c r="J14" s="168">
        <f>_xlfn.COVARIANCE.P('Índices y Ranking Barrio'!$N$2:$N$132,'Índices y Ranking Barrio'!L$2:L$132)</f>
        <v>7.3956075168757959E-4</v>
      </c>
      <c r="K14" s="168">
        <f>_xlfn.COVARIANCE.P('Índices y Ranking Barrio'!$N$2:$N$132,'Índices y Ranking Barrio'!M$2:M$132)</f>
        <v>18.45647644866931</v>
      </c>
      <c r="L14" s="171">
        <f>_xlfn.COVARIANCE.P('Índices y Ranking Barrio'!$N$2:$N$132,'Índices y Ranking Barrio'!N$2:N$132)</f>
        <v>8.62331715105895E-4</v>
      </c>
      <c r="M14" s="168">
        <f>_xlfn.COVARIANCE.P('Índices y Ranking Barrio'!$N$2:$N$132,'Índices y Ranking Barrio'!O$2:O$132)</f>
        <v>7.4843804455207322E-4</v>
      </c>
      <c r="N14" s="168">
        <f>_xlfn.COVARIANCE.P('Índices y Ranking Barrio'!$N$2:$N$132,'Índices y Ranking Barrio'!P$2:P$132)</f>
        <v>5.5357063811568956E-5</v>
      </c>
      <c r="O14" s="168">
        <f>_xlfn.COVARIANCE.P('Índices y Ranking Barrio'!$N$2:$N$129,'Índices y Ranking Barrio'!Q$2:Q$129)</f>
        <v>3.367093600938439E-7</v>
      </c>
      <c r="P14" s="168">
        <f>_xlfn.COVARIANCE.P('Índices y Ranking Barrio'!$N$2:$N$132,'Índices y Ranking Barrio'!R$2:R$132)</f>
        <v>3.9805102301816557E-5</v>
      </c>
      <c r="Q14" s="168">
        <f>_xlfn.COVARIANCE.P('Índices y Ranking Barrio'!$N$2:$N$129,'Índices y Ranking Barrio'!S$2:S$129)</f>
        <v>5.2391653835641265E-7</v>
      </c>
      <c r="R14" s="168">
        <f>_xlfn.COVARIANCE.P('Índices y Ranking Barrio'!$N$2:$N$132,'Índices y Ranking Barrio'!T$2:T$132)</f>
        <v>1.4666861959697591E-4</v>
      </c>
      <c r="S14" s="168">
        <f>_xlfn.COVARIANCE.P('Índices y Ranking Barrio'!$N$2:$N$129,'Índices y Ranking Barrio'!U$2:U$129)</f>
        <v>3.6118811882977164E-5</v>
      </c>
    </row>
    <row r="15" spans="1:19">
      <c r="A15" s="168" t="s">
        <v>227</v>
      </c>
      <c r="B15" s="168">
        <f>_xlfn.COVARIANCE.P('Índices y Ranking Barrio'!$O$2:$O$132,'Índices y Ranking Barrio'!D$2:D$132)</f>
        <v>5.5478816846212724E-4</v>
      </c>
      <c r="C15" s="168">
        <f>_xlfn.COVARIANCE.P('Índices y Ranking Barrio'!$O$2:$O$132,'Índices y Ranking Barrio'!E$2:E$132)</f>
        <v>-4.5955868113432378E-3</v>
      </c>
      <c r="D15" s="168">
        <f>_xlfn.COVARIANCE.P('Índices y Ranking Barrio'!$O$2:$O$132,'Índices y Ranking Barrio'!F$2:F$132)</f>
        <v>2.5546967494373962E-3</v>
      </c>
      <c r="E15" s="168">
        <f>_xlfn.COVARIANCE.P('Índices y Ranking Barrio'!$O$2:$O$132,'Índices y Ranking Barrio'!G$2:G$132)</f>
        <v>-199.26922752164208</v>
      </c>
      <c r="F15" s="168">
        <f>_xlfn.COVARIANCE.P('Índices y Ranking Barrio'!$O$2:$O$132,'Índices y Ranking Barrio'!H$2:H$132)</f>
        <v>3.4132872555396161E-2</v>
      </c>
      <c r="G15" s="168">
        <f>_xlfn.COVARIANCE.P('Índices y Ranking Barrio'!$O$2:$O$132,'Índices y Ranking Barrio'!I$2:I$132)</f>
        <v>3.404643327557344E-2</v>
      </c>
      <c r="H15" s="168">
        <f>_xlfn.COVARIANCE.P('Índices y Ranking Barrio'!$O$2:$O$132,'Índices y Ranking Barrio'!J$2:J$132)</f>
        <v>2.5227593469701851E-4</v>
      </c>
      <c r="I15" s="168">
        <f>_xlfn.COVARIANCE.P('Índices y Ranking Barrio'!$O$2:$O$132,'Índices y Ranking Barrio'!K$2:K$132)</f>
        <v>-747.12449621641633</v>
      </c>
      <c r="J15" s="168">
        <f>_xlfn.COVARIANCE.P('Índices y Ranking Barrio'!$O$2:$O$132,'Índices y Ranking Barrio'!L$2:L$132)</f>
        <v>6.4620430062420147E-4</v>
      </c>
      <c r="K15" s="168">
        <f>_xlfn.COVARIANCE.P('Índices y Ranking Barrio'!$O$2:$O$132,'Índices y Ranking Barrio'!M$2:M$132)</f>
        <v>16.155700106619125</v>
      </c>
      <c r="L15" s="168">
        <f>_xlfn.COVARIANCE.P('Índices y Ranking Barrio'!$O$2:$O$132,'Índices y Ranking Barrio'!N$2:N$132)</f>
        <v>7.4843804455207322E-4</v>
      </c>
      <c r="M15" s="171">
        <f>_xlfn.COVARIANCE.P('Índices y Ranking Barrio'!$O$2:$O$132,'Índices y Ranking Barrio'!O$2:O$132)</f>
        <v>6.7791108084215394E-4</v>
      </c>
      <c r="N15" s="168">
        <f>_xlfn.COVARIANCE.P('Índices y Ranking Barrio'!$O$2:$O$129,'Índices y Ranking Barrio'!P$2:P$129)</f>
        <v>4.6493050815066642E-5</v>
      </c>
      <c r="O15" s="168">
        <f>_xlfn.COVARIANCE.P('Índices y Ranking Barrio'!$O$2:$O$129,'Índices y Ranking Barrio'!Q$2:Q$129)</f>
        <v>2.7818773005038449E-7</v>
      </c>
      <c r="P15" s="168">
        <f>_xlfn.COVARIANCE.P('Índices y Ranking Barrio'!$O$2:$O$132,'Índices y Ranking Barrio'!R$2:R$132)</f>
        <v>3.4058002347210911E-5</v>
      </c>
      <c r="Q15" s="168">
        <f>_xlfn.COVARIANCE.P('Índices y Ranking Barrio'!$O$2:$O$129,'Índices y Ranking Barrio'!S$2:S$129)</f>
        <v>4.4297033082613858E-7</v>
      </c>
      <c r="R15" s="168">
        <f>_xlfn.COVARIANCE.P('Índices y Ranking Barrio'!$O$2:$O$132,'Índices y Ranking Barrio'!T$2:T$132)</f>
        <v>1.2857885746555672E-4</v>
      </c>
      <c r="S15" s="168">
        <f>_xlfn.COVARIANCE.P('Índices y Ranking Barrio'!$O$2:$O$129,'Índices y Ranking Barrio'!U$2:U$129)</f>
        <v>3.0903926666657354E-5</v>
      </c>
    </row>
    <row r="16" spans="1:19">
      <c r="A16" s="168" t="s">
        <v>2</v>
      </c>
      <c r="B16" s="168">
        <f>_xlfn.COVARIANCE.P('Índices y Ranking Barrio'!$P$2:$P$129,'Índices y Ranking Barrio'!D$2:D$129)</f>
        <v>1.4899286442726444E-4</v>
      </c>
      <c r="C16" s="168">
        <f>_xlfn.COVARIANCE.P('Índices y Ranking Barrio'!$P$2:$P$132,'Índices y Ranking Barrio'!E$2:E$132)</f>
        <v>-1.4599559267927001E-3</v>
      </c>
      <c r="D16" s="168">
        <f>_xlfn.COVARIANCE.P('Índices y Ranking Barrio'!$P$2:$P$132,'Índices y Ranking Barrio'!F$2:F$132)</f>
        <v>5.2887534327083075E-4</v>
      </c>
      <c r="E16" s="168">
        <f>_xlfn.COVARIANCE.P('Índices y Ranking Barrio'!$P$2:$P$129,'Índices y Ranking Barrio'!G$2:G$129)</f>
        <v>-46.879215700778765</v>
      </c>
      <c r="F16" s="168">
        <f>_xlfn.COVARIANCE.P('Índices y Ranking Barrio'!$P$2:$P$132,'Índices y Ranking Barrio'!H$2:H$132)</f>
        <v>6.8816612453322353E-3</v>
      </c>
      <c r="G16" s="168">
        <f>_xlfn.COVARIANCE.P('Índices y Ranking Barrio'!$P$2:$P$132,'Índices y Ranking Barrio'!I$2:I$132)</f>
        <v>7.4321601030817334E-3</v>
      </c>
      <c r="H16" s="168">
        <f>_xlfn.COVARIANCE.P('Índices y Ranking Barrio'!$P$2:$P$132,'Índices y Ranking Barrio'!J$2:J$132)</f>
        <v>3.4921270092309737E-5</v>
      </c>
      <c r="I16" s="168">
        <f>_xlfn.COVARIANCE.P('Índices y Ranking Barrio'!$P$2:$P$132,'Índices y Ranking Barrio'!K$2:K$132)</f>
        <v>-123.76028424385325</v>
      </c>
      <c r="J16" s="168">
        <f>_xlfn.COVARIANCE.P('Índices y Ranking Barrio'!$P$2:$P$132,'Índices y Ranking Barrio'!L$2:L$132)</f>
        <v>4.1204497484369672E-5</v>
      </c>
      <c r="K16" s="168">
        <f>_xlfn.COVARIANCE.P('Índices y Ranking Barrio'!$P$2:$P$132,'Índices y Ranking Barrio'!M$2:M$132)</f>
        <v>1.7217993545750898</v>
      </c>
      <c r="L16" s="168">
        <f>_xlfn.COVARIANCE.P('Índices y Ranking Barrio'!$P$2:$P$132,'Índices y Ranking Barrio'!N$2:N$132)</f>
        <v>5.5357063811568956E-5</v>
      </c>
      <c r="M16" s="168">
        <f>_xlfn.COVARIANCE.P('Índices y Ranking Barrio'!$P$2:$P$132,'Índices y Ranking Barrio'!O$2:O$132)</f>
        <v>4.6660665917267242E-5</v>
      </c>
      <c r="N16" s="171">
        <f>_xlfn.COVARIANCE.P('Índices y Ranking Barrio'!$P$2:$P$132,'Índices y Ranking Barrio'!P$2:P$132)</f>
        <v>1.0576635784288083E-5</v>
      </c>
      <c r="O16" s="168">
        <f>_xlfn.COVARIANCE.P('Índices y Ranking Barrio'!$P$2:$P$129,'Índices y Ranking Barrio'!Q$2:Q$129)</f>
        <v>6.4793534911568329E-8</v>
      </c>
      <c r="P16" s="168">
        <f>_xlfn.COVARIANCE.P('Índices y Ranking Barrio'!$P$2:$P$132,'Índices y Ranking Barrio'!R$2:R$132)</f>
        <v>6.0838675282909561E-6</v>
      </c>
      <c r="Q16" s="168">
        <f>_xlfn.COVARIANCE.P('Índices y Ranking Barrio'!$P$2:$P$129,'Índices y Ranking Barrio'!S$2:S$129)</f>
        <v>7.2780379574507739E-8</v>
      </c>
      <c r="R16" s="168">
        <f>_xlfn.COVARIANCE.P('Índices y Ranking Barrio'!$P$2:$P$132,'Índices y Ranking Barrio'!T$2:T$132)</f>
        <v>1.1718628019956083E-5</v>
      </c>
      <c r="S16" s="168">
        <f>_xlfn.COVARIANCE.P('Índices y Ranking Barrio'!$P$2:$P$129,'Índices y Ranking Barrio'!U$2:U$129)</f>
        <v>4.991710586812491E-6</v>
      </c>
    </row>
    <row r="17" spans="1:19">
      <c r="A17" s="168" t="s">
        <v>3</v>
      </c>
      <c r="B17" s="168">
        <f>_xlfn.COVARIANCE.P('Índices y Ranking Barrio'!$Q$2:$Q$129,'Índices y Ranking Barrio'!D$2:D$129)</f>
        <v>7.5533130139611764E-7</v>
      </c>
      <c r="C17" s="168">
        <f>_xlfn.COVARIANCE.P('Índices y Ranking Barrio'!$Q$2:$Q$129,'Índices y Ranking Barrio'!E$2:E$129)</f>
        <v>-9.2745855121427895E-6</v>
      </c>
      <c r="D17" s="168">
        <f>_xlfn.COVARIANCE.P('Índices y Ranking Barrio'!$Q$2:$Q$129,'Índices y Ranking Barrio'!F$2:F$129)</f>
        <v>3.5810688545965647E-6</v>
      </c>
      <c r="E17" s="168">
        <f>_xlfn.COVARIANCE.P('Índices y Ranking Barrio'!$Q$2:$Q$129,'Índices y Ranking Barrio'!G$2:G$129)</f>
        <v>-0.51652921427102894</v>
      </c>
      <c r="F17" s="168">
        <f>_xlfn.COVARIANCE.P('Índices y Ranking Barrio'!$Q$2:$Q$129,'Índices y Ranking Barrio'!H$2:H$129)</f>
        <v>5.4852013245663934E-5</v>
      </c>
      <c r="G17" s="168">
        <f>_xlfn.COVARIANCE.P('Índices y Ranking Barrio'!$Q$2:$Q$129,'Índices y Ranking Barrio'!I$2:I$129)</f>
        <v>5.9891334219813161E-5</v>
      </c>
      <c r="H17" s="168">
        <f>_xlfn.COVARIANCE.P('Índices y Ranking Barrio'!$Q$2:$Q$129,'Índices y Ranking Barrio'!J$2:J$129)</f>
        <v>2.453825202812975E-7</v>
      </c>
      <c r="I17" s="168">
        <f>_xlfn.COVARIANCE.P('Índices y Ranking Barrio'!$Q$2:$Q$129,'Índices y Ranking Barrio'!K$2:K$129)</f>
        <v>-1.3562799191521235</v>
      </c>
      <c r="J17" s="168">
        <f>_xlfn.COVARIANCE.P('Índices y Ranking Barrio'!$Q$2:$Q$129,'Índices y Ranking Barrio'!L$2:L$129)</f>
        <v>2.6283835421211913E-7</v>
      </c>
      <c r="K17" s="168">
        <f>_xlfn.COVARIANCE.P('Índices y Ranking Barrio'!$Q$2:$Q$129,'Índices y Ranking Barrio'!M$2:M$129)</f>
        <v>1.0820020248659365E-2</v>
      </c>
      <c r="L17" s="168">
        <f>_xlfn.COVARIANCE.P('Índices y Ranking Barrio'!$Q$2:$Q$129,'Índices y Ranking Barrio'!N$2:N$129)</f>
        <v>3.367093600938439E-7</v>
      </c>
      <c r="M17" s="168">
        <f>_xlfn.COVARIANCE.P('Índices y Ranking Barrio'!$Q$2:$Q$129,'Índices y Ranking Barrio'!O$2:O$129)</f>
        <v>2.7818773005038449E-7</v>
      </c>
      <c r="N17" s="168">
        <f>_xlfn.COVARIANCE.P('Índices y Ranking Barrio'!$Q$2:$Q$129,'Índices y Ranking Barrio'!P$2:P$129)</f>
        <v>6.4793534911568329E-8</v>
      </c>
      <c r="O17" s="171">
        <f>_xlfn.COVARIANCE.P('Índices y Ranking Barrio'!$Q$2:$Q$129,'Índices y Ranking Barrio'!Q$2:Q$129)</f>
        <v>7.1391453925622879E-10</v>
      </c>
      <c r="P17" s="168">
        <f>_xlfn.COVARIANCE.P('Índices y Ranking Barrio'!$Q$2:$Q$129,'Índices y Ranking Barrio'!R$2:R$129)</f>
        <v>4.6682303516534106E-8</v>
      </c>
      <c r="Q17" s="168">
        <f>_xlfn.COVARIANCE.P('Índices y Ranking Barrio'!$Q$2:$Q$129,'Índices y Ranking Barrio'!S$2:S$129)</f>
        <v>7.8421850957495881E-10</v>
      </c>
      <c r="R17" s="168">
        <f>_xlfn.COVARIANCE.P('Índices y Ranking Barrio'!$Q$2:$Q$129,'Índices y Ranking Barrio'!T$2:T$129)</f>
        <v>7.3086596234690147E-8</v>
      </c>
      <c r="S17" s="168">
        <f>_xlfn.COVARIANCE.P('Índices y Ranking Barrio'!$Q$2:$Q$129,'Índices y Ranking Barrio'!U$2:U$129)</f>
        <v>3.3897140324512041E-8</v>
      </c>
    </row>
    <row r="18" spans="1:19">
      <c r="A18" s="168" t="s">
        <v>4</v>
      </c>
      <c r="B18" s="168">
        <f>_xlfn.COVARIANCE.P('Índices y Ranking Barrio'!$R$2:$R$132,'Índices y Ranking Barrio'!D$2:D$132)</f>
        <v>6.9821427277796892E-5</v>
      </c>
      <c r="C18" s="168">
        <f>_xlfn.COVARIANCE.P('Índices y Ranking Barrio'!$R$2:$R$132,'Índices y Ranking Barrio'!E$2:E$132)</f>
        <v>-1.2623709570126831E-3</v>
      </c>
      <c r="D18" s="168">
        <f>_xlfn.COVARIANCE.P('Índices y Ranking Barrio'!$R$2:$R$132,'Índices y Ranking Barrio'!F$2:F$132)</f>
        <v>3.3870499449714029E-4</v>
      </c>
      <c r="E18" s="168">
        <f>_xlfn.COVARIANCE.P('Índices y Ranking Barrio'!$R$2:$R$132,'Índices y Ranking Barrio'!G$2:G$132)</f>
        <v>-33.421169950569556</v>
      </c>
      <c r="F18" s="168">
        <f>_xlfn.COVARIANCE.P('Índices y Ranking Barrio'!$R$2:$R$132,'Índices y Ranking Barrio'!H$2:H$132)</f>
        <v>5.2136801680380237E-3</v>
      </c>
      <c r="G18" s="168">
        <f>_xlfn.COVARIANCE.P('Índices y Ranking Barrio'!$R$2:$R$132,'Índices y Ranking Barrio'!I$2:I$132)</f>
        <v>5.4788282525119313E-3</v>
      </c>
      <c r="H18" s="168">
        <f>_xlfn.COVARIANCE.P('Índices y Ranking Barrio'!$R$2:$R$132,'Índices y Ranking Barrio'!J$2:J$132)</f>
        <v>2.8939005926525762E-5</v>
      </c>
      <c r="I18" s="168">
        <f>_xlfn.COVARIANCE.P('Índices y Ranking Barrio'!$R$2:$R$132,'Índices y Ranking Barrio'!K$2:K$132)</f>
        <v>-93.458501717128982</v>
      </c>
      <c r="J18" s="168">
        <f>_xlfn.COVARIANCE.P('Índices y Ranking Barrio'!$R$2:$R$132,'Índices y Ranking Barrio'!L$2:L$132)</f>
        <v>3.0721993503518033E-5</v>
      </c>
      <c r="K18" s="168">
        <f>_xlfn.COVARIANCE.P('Índices y Ranking Barrio'!$R$2:$R$132,'Índices y Ranking Barrio'!M$2:M$132)</f>
        <v>1.3292615237234098</v>
      </c>
      <c r="L18" s="168">
        <f>_xlfn.COVARIANCE.P('Índices y Ranking Barrio'!$R$2:$R$132,'Índices y Ranking Barrio'!N$2:N$132)</f>
        <v>3.9805102301816557E-5</v>
      </c>
      <c r="M18" s="168">
        <f>_xlfn.COVARIANCE.P('Índices y Ranking Barrio'!$R$2:$R$132,'Índices y Ranking Barrio'!O$2:O$132)</f>
        <v>3.4058002347210911E-5</v>
      </c>
      <c r="N18" s="168">
        <f>_xlfn.COVARIANCE.P('Índices y Ranking Barrio'!$R$2:$R$129,'Índices y Ranking Barrio'!P$2:P$129)</f>
        <v>6.1136749042238522E-6</v>
      </c>
      <c r="O18" s="168">
        <f>_xlfn.COVARIANCE.P('Índices y Ranking Barrio'!$R$2:$R$129,'Índices y Ranking Barrio'!Q$2:Q$129)</f>
        <v>4.6682303516534106E-8</v>
      </c>
      <c r="P18" s="171">
        <f>_xlfn.COVARIANCE.P('Índices y Ranking Barrio'!$R$2:$R$132,'Índices y Ranking Barrio'!R$2:R$132)</f>
        <v>4.7078036263729718E-6</v>
      </c>
      <c r="Q18" s="168">
        <f>_xlfn.COVARIANCE.P('Índices y Ranking Barrio'!$R$2:$R$129,'Índices y Ranking Barrio'!S$2:S$129)</f>
        <v>5.5173310867456467E-8</v>
      </c>
      <c r="R18" s="168">
        <f>_xlfn.COVARIANCE.P('Índices y Ranking Barrio'!$R$2:$R$132,'Índices y Ranking Barrio'!T$2:T$132)</f>
        <v>8.885879760794778E-6</v>
      </c>
      <c r="S18" s="168">
        <f>_xlfn.COVARIANCE.P('Índices y Ranking Barrio'!$R$2:$R$129,'Índices y Ranking Barrio'!U$2:U$129)</f>
        <v>3.4775595254676376E-6</v>
      </c>
    </row>
    <row r="19" spans="1:19">
      <c r="A19" s="168" t="s">
        <v>217</v>
      </c>
      <c r="B19" s="168">
        <f>_xlfn.COVARIANCE.P('Índices y Ranking Barrio'!$S$2:$S$129,'Índices y Ranking Barrio'!D$2:D$129)</f>
        <v>7.5547805786823792E-7</v>
      </c>
      <c r="C19" s="168">
        <f>_xlfn.COVARIANCE.P('Índices y Ranking Barrio'!$S$2:$S$129,'Índices y Ranking Barrio'!E$2:E$129)</f>
        <v>-4.8320281103651773E-6</v>
      </c>
      <c r="D19" s="168">
        <f>_xlfn.COVARIANCE.P('Índices y Ranking Barrio'!$S$2:$S$129,'Índices y Ranking Barrio'!F$2:F$129)</f>
        <v>4.2300368176929883E-6</v>
      </c>
      <c r="E19" s="168">
        <f>_xlfn.COVARIANCE.P('Índices y Ranking Barrio'!$S$2:$S$129,'Índices y Ranking Barrio'!G$2:G$129)</f>
        <v>-0.56739532296059336</v>
      </c>
      <c r="F19" s="168">
        <f>_xlfn.COVARIANCE.P('Índices y Ranking Barrio'!$S$2:$S$129,'Índices y Ranking Barrio'!H$2:H$129)</f>
        <v>6.237479961072683E-5</v>
      </c>
      <c r="G19" s="168">
        <f>_xlfn.COVARIANCE.P('Índices y Ranking Barrio'!$S$2:$S$129,'Índices y Ranking Barrio'!I$2:I$129)</f>
        <v>6.6559033709608832E-5</v>
      </c>
      <c r="H19" s="168">
        <f>_xlfn.COVARIANCE.P('Índices y Ranking Barrio'!$S$2:$S$129,'Índices y Ranking Barrio'!J$2:J$129)</f>
        <v>3.2175666669526049E-7</v>
      </c>
      <c r="I19" s="168">
        <f>_xlfn.COVARIANCE.P('Índices y Ranking Barrio'!$S$2:$S$129,'Índices y Ranking Barrio'!K$2:K$129)</f>
        <v>-2.0567637022791754</v>
      </c>
      <c r="J19" s="168">
        <f>_xlfn.COVARIANCE.P('Índices y Ranking Barrio'!$S$2:$S$129,'Índices y Ranking Barrio'!L$2:L$129)</f>
        <v>4.076480616521001E-7</v>
      </c>
      <c r="K19" s="168">
        <f>_xlfn.COVARIANCE.P('Índices y Ranking Barrio'!$S$2:$S$129,'Índices y Ranking Barrio'!M$2:M$129)</f>
        <v>1.4234256408934E-2</v>
      </c>
      <c r="L19" s="168">
        <f>_xlfn.COVARIANCE.P('Índices y Ranking Barrio'!$S$2:$S$129,'Índices y Ranking Barrio'!N$2:N$129)</f>
        <v>5.2391653835641265E-7</v>
      </c>
      <c r="M19" s="168">
        <f>_xlfn.COVARIANCE.P('Índices y Ranking Barrio'!$S$2:$S$129,'Índices y Ranking Barrio'!O$2:O$129)</f>
        <v>4.4297033082613858E-7</v>
      </c>
      <c r="N19" s="168">
        <f>_xlfn.COVARIANCE.P('Índices y Ranking Barrio'!$S$2:$S$129,'Índices y Ranking Barrio'!P$2:P$129)</f>
        <v>7.2780379574507739E-8</v>
      </c>
      <c r="O19" s="168">
        <f>_xlfn.COVARIANCE.P('Índices y Ranking Barrio'!$S$2:$S$129,'Índices y Ranking Barrio'!Q$2:Q$129)</f>
        <v>7.8421850957495881E-10</v>
      </c>
      <c r="P19" s="168">
        <f>_xlfn.COVARIANCE.P('Índices y Ranking Barrio'!$S$2:$S$129,'Índices y Ranking Barrio'!R$2:R$129)</f>
        <v>5.5173310867456467E-8</v>
      </c>
      <c r="Q19" s="171">
        <f>_xlfn.COVARIANCE.P('Índices y Ranking Barrio'!$S$2:$S$129,'Índices y Ranking Barrio'!S$2:S$129)</f>
        <v>1.1892472507869783E-9</v>
      </c>
      <c r="R19" s="168">
        <f>_xlfn.COVARIANCE.P('Índices y Ranking Barrio'!$S$2:$S$129,'Índices y Ranking Barrio'!T$2:T$129)</f>
        <v>1.0183079379340743E-7</v>
      </c>
      <c r="S19" s="168">
        <f>_xlfn.COVARIANCE.P('Índices y Ranking Barrio'!$S$2:$S$129,'Índices y Ranking Barrio'!U$2:U$129)</f>
        <v>4.0875734845515292E-8</v>
      </c>
    </row>
    <row r="20" spans="1:19">
      <c r="A20" s="168" t="s">
        <v>220</v>
      </c>
      <c r="B20" s="168">
        <f>_xlfn.COVARIANCE.P('Índices y Ranking Barrio'!$T$2:$T$132,'Índices y Ranking Barrio'!D$2:D$132)</f>
        <v>1.4405968606672818E-4</v>
      </c>
      <c r="C20" s="168">
        <f>_xlfn.COVARIANCE.P('Índices y Ranking Barrio'!$T$2:$T$132,'Índices y Ranking Barrio'!E$2:E$132)</f>
        <v>-1.9708703592970014E-3</v>
      </c>
      <c r="D20" s="168">
        <f>_xlfn.COVARIANCE.P('Índices y Ranking Barrio'!$T$2:$T$132,'Índices y Ranking Barrio'!F$2:F$132)</f>
        <v>6.3104462130764995E-4</v>
      </c>
      <c r="E20" s="168">
        <f>_xlfn.COVARIANCE.P('Índices y Ranking Barrio'!$T$2:$T$132,'Índices y Ranking Barrio'!G$2:G$132)</f>
        <v>-52.089268991765081</v>
      </c>
      <c r="F20" s="168">
        <f>_xlfn.COVARIANCE.P('Índices y Ranking Barrio'!$T$2:$T$132,'Índices y Ranking Barrio'!H$2:H$132)</f>
        <v>8.8779631182351361E-3</v>
      </c>
      <c r="G20" s="168">
        <f>_xlfn.COVARIANCE.P('Índices y Ranking Barrio'!$T$2:$T$132,'Índices y Ranking Barrio'!I$2:I$132)</f>
        <v>9.0279753936616889E-3</v>
      </c>
      <c r="H20" s="168">
        <f>_xlfn.COVARIANCE.P('Índices y Ranking Barrio'!$T$2:$T$132,'Índices y Ranking Barrio'!J$2:J$132)</f>
        <v>6.5038831344879449E-5</v>
      </c>
      <c r="I20" s="168">
        <f>_xlfn.COVARIANCE.P('Índices y Ranking Barrio'!$T$2:$T$132,'Índices y Ranking Barrio'!K$2:K$132)</f>
        <v>-171.84823978549716</v>
      </c>
      <c r="J20" s="168">
        <f>_xlfn.COVARIANCE.P('Índices y Ranking Barrio'!$T$2:$T$132,'Índices y Ranking Barrio'!L$2:L$132)</f>
        <v>1.2143586538327945E-4</v>
      </c>
      <c r="K20" s="168">
        <f>_xlfn.COVARIANCE.P('Índices y Ranking Barrio'!$T$2:$T$132,'Índices y Ranking Barrio'!M$2:M$132)</f>
        <v>4.0071800503728587</v>
      </c>
      <c r="L20" s="168">
        <f>_xlfn.COVARIANCE.P('Índices y Ranking Barrio'!$T$2:$T$132,'Índices y Ranking Barrio'!N$2:N$132)</f>
        <v>1.4666861959697591E-4</v>
      </c>
      <c r="M20" s="168">
        <f>_xlfn.COVARIANCE.P('Índices y Ranking Barrio'!$T$2:$T$132,'Índices y Ranking Barrio'!O$2:O$132)</f>
        <v>1.2857885746555672E-4</v>
      </c>
      <c r="N20" s="168">
        <f>_xlfn.COVARIANCE.P('Índices y Ranking Barrio'!$T$2:$T$129,'Índices y Ranking Barrio'!P$2:P$129)</f>
        <v>1.1789523133936328E-5</v>
      </c>
      <c r="O20" s="168">
        <f>_xlfn.COVARIANCE.P('Índices y Ranking Barrio'!$T$2:$T$129,'Índices y Ranking Barrio'!Q$2:Q$129)</f>
        <v>7.3086596234690147E-8</v>
      </c>
      <c r="P20" s="168">
        <f>_xlfn.COVARIANCE.P('Índices y Ranking Barrio'!$T$2:$T$132,'Índices y Ranking Barrio'!R$2:R$132)</f>
        <v>8.885879760794778E-6</v>
      </c>
      <c r="Q20" s="168">
        <f>_xlfn.COVARIANCE.P('Índices y Ranking Barrio'!$T$2:$T$129,'Índices y Ranking Barrio'!S$2:S$129)</f>
        <v>1.0183079379340743E-7</v>
      </c>
      <c r="R20" s="171">
        <f>_xlfn.COVARIANCE.P('Índices y Ranking Barrio'!$T$2:$T$132,'Índices y Ranking Barrio'!T$2:T$132)</f>
        <v>2.8881605613644171E-5</v>
      </c>
      <c r="S20" s="168">
        <f>_xlfn.COVARIANCE.P('Índices y Ranking Barrio'!$T$2:$T$129,'Índices y Ranking Barrio'!U$2:U$129)</f>
        <v>7.6783537532880169E-6</v>
      </c>
    </row>
    <row r="21" spans="1:19" ht="16.2" thickBot="1">
      <c r="A21" s="169" t="s">
        <v>0</v>
      </c>
      <c r="B21" s="168">
        <f>_xlfn.COVARIANCE.P('Índices y Ranking Barrio'!$U$2:$U$129,'Índices y Ranking Barrio'!D$2:D$129)</f>
        <v>6.2438345113936358E-5</v>
      </c>
      <c r="C21" s="168">
        <f>_xlfn.COVARIANCE.P('Índices y Ranking Barrio'!$U$2:$U$129,'Índices y Ranking Barrio'!E$2:E$129)</f>
        <v>-8.5270995096673038E-4</v>
      </c>
      <c r="D21" s="168">
        <f>_xlfn.COVARIANCE.P('Índices y Ranking Barrio'!$U$2:$U$129,'Índices y Ranking Barrio'!F$2:F$129)</f>
        <v>2.6640427493060306E-4</v>
      </c>
      <c r="E21" s="168">
        <f>_xlfn.COVARIANCE.P('Índices y Ranking Barrio'!$U$2:$U$129,'Índices y Ranking Barrio'!G$2:G$129)</f>
        <v>-24.52515293510638</v>
      </c>
      <c r="F21" s="168">
        <f>_xlfn.COVARIANCE.P('Índices y Ranking Barrio'!$U$2:$U$129,'Índices y Ranking Barrio'!H$2:H$129)</f>
        <v>3.7895237665268827E-3</v>
      </c>
      <c r="G21" s="168">
        <f>_xlfn.COVARIANCE.P('Índices y Ranking Barrio'!$U$2:$U$129,'Índices y Ranking Barrio'!I$2:I$129)</f>
        <v>3.9836386054921515E-3</v>
      </c>
      <c r="H21" s="168">
        <f>_xlfn.COVARIANCE.P('Índices y Ranking Barrio'!$U$2:$U$129,'Índices y Ranking Barrio'!J$2:J$129)</f>
        <v>2.192207795032384E-5</v>
      </c>
      <c r="I21" s="168">
        <f>_xlfn.COVARIANCE.P('Índices y Ranking Barrio'!$U$2:$U$129,'Índices y Ranking Barrio'!K$2:K$129)</f>
        <v>-70.693228576824382</v>
      </c>
      <c r="J21" s="168">
        <f>_xlfn.COVARIANCE.P('Índices y Ranking Barrio'!$U$2:$U$129,'Índices y Ranking Barrio'!L$2:L$129)</f>
        <v>2.8124105843866641E-5</v>
      </c>
      <c r="K21" s="168">
        <f>_xlfn.COVARIANCE.P('Índices y Ranking Barrio'!$U$2:$U$129,'Índices y Ranking Barrio'!M$2:M$129)</f>
        <v>1.1217823853829991</v>
      </c>
      <c r="L21" s="168">
        <f>_xlfn.COVARIANCE.P('Índices y Ranking Barrio'!$U$2:$U$129,'Índices y Ranking Barrio'!N$2:N$129)</f>
        <v>3.6118811882977164E-5</v>
      </c>
      <c r="M21" s="168">
        <f>_xlfn.COVARIANCE.P('Índices y Ranking Barrio'!$U$2:$U$129,'Índices y Ranking Barrio'!O$2:O$129)</f>
        <v>3.0903926666657354E-5</v>
      </c>
      <c r="N21" s="168">
        <f>_xlfn.COVARIANCE.P('Índices y Ranking Barrio'!$U$2:$U$129,'Índices y Ranking Barrio'!P$2:P$129)</f>
        <v>4.991710586812491E-6</v>
      </c>
      <c r="O21" s="168">
        <f>_xlfn.COVARIANCE.P('Índices y Ranking Barrio'!$U$2:$U$129,'Índices y Ranking Barrio'!Q$2:Q$129)</f>
        <v>3.3897140324512041E-8</v>
      </c>
      <c r="P21" s="168">
        <f>_xlfn.COVARIANCE.P('Índices y Ranking Barrio'!$U$2:$U$129,'Índices y Ranking Barrio'!R$2:R$129)</f>
        <v>3.4775595254676376E-6</v>
      </c>
      <c r="Q21" s="168">
        <f>_xlfn.COVARIANCE.P('Índices y Ranking Barrio'!$U$2:$U$129,'Índices y Ranking Barrio'!S$2:S$129)</f>
        <v>4.0875734845515292E-8</v>
      </c>
      <c r="R21" s="168">
        <f>_xlfn.COVARIANCE.P('Índices y Ranking Barrio'!$U$2:$U$129,'Índices y Ranking Barrio'!T$2:T$129)</f>
        <v>7.6783537532880169E-6</v>
      </c>
      <c r="S21" s="171">
        <f>_xlfn.COVARIANCE.P('Índices y Ranking Barrio'!$U$2:$U$129,'Índices y Ranking Barrio'!U$2:U$129)</f>
        <v>2.7542582361631192E-6</v>
      </c>
    </row>
    <row r="23" spans="1:19">
      <c r="B23">
        <f>1/SQRT($B$4)</f>
        <v>19.170953833837547</v>
      </c>
      <c r="C23">
        <f t="shared" ref="C23:S23" si="0">1/SQRT($B$4)</f>
        <v>19.170953833837547</v>
      </c>
      <c r="D23">
        <f>1/SQRT($B$4)</f>
        <v>19.170953833837547</v>
      </c>
      <c r="E23">
        <f t="shared" si="0"/>
        <v>19.170953833837547</v>
      </c>
      <c r="F23">
        <f t="shared" si="0"/>
        <v>19.170953833837547</v>
      </c>
      <c r="G23">
        <f t="shared" si="0"/>
        <v>19.170953833837547</v>
      </c>
      <c r="H23">
        <f t="shared" si="0"/>
        <v>19.170953833837547</v>
      </c>
      <c r="I23">
        <f t="shared" si="0"/>
        <v>19.170953833837547</v>
      </c>
      <c r="J23">
        <f t="shared" si="0"/>
        <v>19.170953833837547</v>
      </c>
      <c r="K23">
        <f t="shared" si="0"/>
        <v>19.170953833837547</v>
      </c>
      <c r="L23">
        <f t="shared" si="0"/>
        <v>19.170953833837547</v>
      </c>
      <c r="M23">
        <f t="shared" si="0"/>
        <v>19.170953833837547</v>
      </c>
      <c r="N23">
        <f t="shared" si="0"/>
        <v>19.170953833837547</v>
      </c>
      <c r="O23">
        <f t="shared" si="0"/>
        <v>19.170953833837547</v>
      </c>
      <c r="P23">
        <f t="shared" si="0"/>
        <v>19.170953833837547</v>
      </c>
      <c r="Q23">
        <f t="shared" si="0"/>
        <v>19.170953833837547</v>
      </c>
      <c r="R23">
        <f t="shared" si="0"/>
        <v>19.170953833837547</v>
      </c>
      <c r="S23">
        <f t="shared" si="0"/>
        <v>19.170953833837547</v>
      </c>
    </row>
    <row r="24" spans="1:19">
      <c r="B24">
        <f>1/SQRT($C$5)</f>
        <v>0.68275715924679226</v>
      </c>
      <c r="C24">
        <f t="shared" ref="C24:S24" si="1">1/SQRT($C$5)</f>
        <v>0.68275715924679226</v>
      </c>
      <c r="D24">
        <f t="shared" si="1"/>
        <v>0.68275715924679226</v>
      </c>
      <c r="E24">
        <f t="shared" si="1"/>
        <v>0.68275715924679226</v>
      </c>
      <c r="F24">
        <f t="shared" si="1"/>
        <v>0.68275715924679226</v>
      </c>
      <c r="G24">
        <f t="shared" si="1"/>
        <v>0.68275715924679226</v>
      </c>
      <c r="H24">
        <f t="shared" si="1"/>
        <v>0.68275715924679226</v>
      </c>
      <c r="I24">
        <f t="shared" si="1"/>
        <v>0.68275715924679226</v>
      </c>
      <c r="J24">
        <f t="shared" si="1"/>
        <v>0.68275715924679226</v>
      </c>
      <c r="K24">
        <f t="shared" si="1"/>
        <v>0.68275715924679226</v>
      </c>
      <c r="L24">
        <f t="shared" si="1"/>
        <v>0.68275715924679226</v>
      </c>
      <c r="M24">
        <f t="shared" si="1"/>
        <v>0.68275715924679226</v>
      </c>
      <c r="N24">
        <f t="shared" si="1"/>
        <v>0.68275715924679226</v>
      </c>
      <c r="O24">
        <f t="shared" si="1"/>
        <v>0.68275715924679226</v>
      </c>
      <c r="P24">
        <f t="shared" si="1"/>
        <v>0.68275715924679226</v>
      </c>
      <c r="Q24">
        <f t="shared" si="1"/>
        <v>0.68275715924679226</v>
      </c>
      <c r="R24">
        <f t="shared" si="1"/>
        <v>0.68275715924679226</v>
      </c>
      <c r="S24">
        <f t="shared" si="1"/>
        <v>0.68275715924679226</v>
      </c>
    </row>
    <row r="25" spans="1:19">
      <c r="B25">
        <f>1/SQRT($D$6)</f>
        <v>5.8074272609991766</v>
      </c>
      <c r="C25">
        <f t="shared" ref="C25:S25" si="2">1/SQRT($D$6)</f>
        <v>5.8074272609991766</v>
      </c>
      <c r="D25">
        <f>1/SQRT($D$6)</f>
        <v>5.8074272609991766</v>
      </c>
      <c r="E25">
        <f t="shared" si="2"/>
        <v>5.8074272609991766</v>
      </c>
      <c r="F25">
        <f t="shared" si="2"/>
        <v>5.8074272609991766</v>
      </c>
      <c r="G25">
        <f t="shared" si="2"/>
        <v>5.8074272609991766</v>
      </c>
      <c r="H25">
        <f t="shared" si="2"/>
        <v>5.8074272609991766</v>
      </c>
      <c r="I25">
        <f t="shared" si="2"/>
        <v>5.8074272609991766</v>
      </c>
      <c r="J25">
        <f t="shared" si="2"/>
        <v>5.8074272609991766</v>
      </c>
      <c r="K25">
        <f t="shared" si="2"/>
        <v>5.8074272609991766</v>
      </c>
      <c r="L25">
        <f t="shared" si="2"/>
        <v>5.8074272609991766</v>
      </c>
      <c r="M25">
        <f t="shared" si="2"/>
        <v>5.8074272609991766</v>
      </c>
      <c r="N25">
        <f t="shared" si="2"/>
        <v>5.8074272609991766</v>
      </c>
      <c r="O25">
        <f t="shared" si="2"/>
        <v>5.8074272609991766</v>
      </c>
      <c r="P25">
        <f t="shared" si="2"/>
        <v>5.8074272609991766</v>
      </c>
      <c r="Q25">
        <f t="shared" si="2"/>
        <v>5.8074272609991766</v>
      </c>
      <c r="R25">
        <f t="shared" si="2"/>
        <v>5.8074272609991766</v>
      </c>
      <c r="S25">
        <f t="shared" si="2"/>
        <v>5.8074272609991766</v>
      </c>
    </row>
    <row r="26" spans="1:19">
      <c r="B26">
        <f>1/SQRT($E$7)</f>
        <v>5.1940142792597253E-5</v>
      </c>
      <c r="C26">
        <f t="shared" ref="C26:S26" si="3">1/SQRT($E$7)</f>
        <v>5.1940142792597253E-5</v>
      </c>
      <c r="D26">
        <f t="shared" si="3"/>
        <v>5.1940142792597253E-5</v>
      </c>
      <c r="E26">
        <f t="shared" si="3"/>
        <v>5.1940142792597253E-5</v>
      </c>
      <c r="F26">
        <f t="shared" si="3"/>
        <v>5.1940142792597253E-5</v>
      </c>
      <c r="G26">
        <f t="shared" si="3"/>
        <v>5.1940142792597253E-5</v>
      </c>
      <c r="H26">
        <f t="shared" si="3"/>
        <v>5.1940142792597253E-5</v>
      </c>
      <c r="I26">
        <f t="shared" si="3"/>
        <v>5.1940142792597253E-5</v>
      </c>
      <c r="J26">
        <f t="shared" si="3"/>
        <v>5.1940142792597253E-5</v>
      </c>
      <c r="K26">
        <f t="shared" si="3"/>
        <v>5.1940142792597253E-5</v>
      </c>
      <c r="L26">
        <f t="shared" si="3"/>
        <v>5.1940142792597253E-5</v>
      </c>
      <c r="M26">
        <f t="shared" si="3"/>
        <v>5.1940142792597253E-5</v>
      </c>
      <c r="N26">
        <f t="shared" si="3"/>
        <v>5.1940142792597253E-5</v>
      </c>
      <c r="O26">
        <f t="shared" si="3"/>
        <v>5.1940142792597253E-5</v>
      </c>
      <c r="P26">
        <f t="shared" si="3"/>
        <v>5.1940142792597253E-5</v>
      </c>
      <c r="Q26">
        <f t="shared" si="3"/>
        <v>5.1940142792597253E-5</v>
      </c>
      <c r="R26">
        <f t="shared" si="3"/>
        <v>5.1940142792597253E-5</v>
      </c>
      <c r="S26">
        <f t="shared" si="3"/>
        <v>5.1940142792597253E-5</v>
      </c>
    </row>
    <row r="27" spans="1:19">
      <c r="B27">
        <f>1/SQRT($F$8)</f>
        <v>0.4007474798638373</v>
      </c>
      <c r="C27">
        <f t="shared" ref="C27:S27" si="4">1/SQRT($F$8)</f>
        <v>0.4007474798638373</v>
      </c>
      <c r="D27">
        <f>1/SQRT($F$8)</f>
        <v>0.4007474798638373</v>
      </c>
      <c r="E27">
        <f t="shared" si="4"/>
        <v>0.4007474798638373</v>
      </c>
      <c r="F27">
        <f t="shared" si="4"/>
        <v>0.4007474798638373</v>
      </c>
      <c r="G27">
        <f t="shared" si="4"/>
        <v>0.4007474798638373</v>
      </c>
      <c r="H27">
        <f t="shared" si="4"/>
        <v>0.4007474798638373</v>
      </c>
      <c r="I27">
        <f t="shared" si="4"/>
        <v>0.4007474798638373</v>
      </c>
      <c r="J27">
        <f t="shared" si="4"/>
        <v>0.4007474798638373</v>
      </c>
      <c r="K27">
        <f t="shared" si="4"/>
        <v>0.4007474798638373</v>
      </c>
      <c r="L27">
        <f t="shared" si="4"/>
        <v>0.4007474798638373</v>
      </c>
      <c r="M27">
        <f t="shared" si="4"/>
        <v>0.4007474798638373</v>
      </c>
      <c r="N27">
        <f t="shared" si="4"/>
        <v>0.4007474798638373</v>
      </c>
      <c r="O27">
        <f t="shared" si="4"/>
        <v>0.4007474798638373</v>
      </c>
      <c r="P27">
        <f t="shared" si="4"/>
        <v>0.4007474798638373</v>
      </c>
      <c r="Q27">
        <f t="shared" si="4"/>
        <v>0.4007474798638373</v>
      </c>
      <c r="R27">
        <f t="shared" si="4"/>
        <v>0.4007474798638373</v>
      </c>
      <c r="S27">
        <f t="shared" si="4"/>
        <v>0.4007474798638373</v>
      </c>
    </row>
    <row r="28" spans="1:19">
      <c r="B28">
        <f>1/SQRT($G$9)</f>
        <v>0.37785899565950187</v>
      </c>
      <c r="C28">
        <f t="shared" ref="C28:S28" si="5">1/SQRT($G$9)</f>
        <v>0.37785899565950187</v>
      </c>
      <c r="D28">
        <f>1/SQRT($G$9)</f>
        <v>0.37785899565950187</v>
      </c>
      <c r="E28">
        <f t="shared" si="5"/>
        <v>0.37785899565950187</v>
      </c>
      <c r="F28">
        <f t="shared" si="5"/>
        <v>0.37785899565950187</v>
      </c>
      <c r="G28">
        <f t="shared" si="5"/>
        <v>0.37785899565950187</v>
      </c>
      <c r="H28">
        <f t="shared" si="5"/>
        <v>0.37785899565950187</v>
      </c>
      <c r="I28">
        <f t="shared" si="5"/>
        <v>0.37785899565950187</v>
      </c>
      <c r="J28">
        <f t="shared" si="5"/>
        <v>0.37785899565950187</v>
      </c>
      <c r="K28">
        <f t="shared" si="5"/>
        <v>0.37785899565950187</v>
      </c>
      <c r="L28">
        <f t="shared" si="5"/>
        <v>0.37785899565950187</v>
      </c>
      <c r="M28">
        <f t="shared" si="5"/>
        <v>0.37785899565950187</v>
      </c>
      <c r="N28">
        <f t="shared" si="5"/>
        <v>0.37785899565950187</v>
      </c>
      <c r="O28">
        <f t="shared" si="5"/>
        <v>0.37785899565950187</v>
      </c>
      <c r="P28">
        <f t="shared" si="5"/>
        <v>0.37785899565950187</v>
      </c>
      <c r="Q28">
        <f t="shared" si="5"/>
        <v>0.37785899565950187</v>
      </c>
      <c r="R28">
        <f t="shared" si="5"/>
        <v>0.37785899565950187</v>
      </c>
      <c r="S28">
        <f t="shared" si="5"/>
        <v>0.37785899565950187</v>
      </c>
    </row>
    <row r="29" spans="1:19">
      <c r="B29">
        <f>1/SQRT($H$10)</f>
        <v>68.2720006246156</v>
      </c>
      <c r="C29">
        <f t="shared" ref="C29:S29" si="6">1/SQRT($H$10)</f>
        <v>68.2720006246156</v>
      </c>
      <c r="D29">
        <f t="shared" si="6"/>
        <v>68.2720006246156</v>
      </c>
      <c r="E29">
        <f t="shared" si="6"/>
        <v>68.2720006246156</v>
      </c>
      <c r="F29">
        <f t="shared" si="6"/>
        <v>68.2720006246156</v>
      </c>
      <c r="G29">
        <f t="shared" si="6"/>
        <v>68.2720006246156</v>
      </c>
      <c r="H29">
        <f t="shared" si="6"/>
        <v>68.2720006246156</v>
      </c>
      <c r="I29">
        <f t="shared" si="6"/>
        <v>68.2720006246156</v>
      </c>
      <c r="J29">
        <f t="shared" si="6"/>
        <v>68.2720006246156</v>
      </c>
      <c r="K29">
        <f t="shared" si="6"/>
        <v>68.2720006246156</v>
      </c>
      <c r="L29">
        <f t="shared" si="6"/>
        <v>68.2720006246156</v>
      </c>
      <c r="M29">
        <f t="shared" si="6"/>
        <v>68.2720006246156</v>
      </c>
      <c r="N29">
        <f t="shared" si="6"/>
        <v>68.2720006246156</v>
      </c>
      <c r="O29">
        <f t="shared" si="6"/>
        <v>68.2720006246156</v>
      </c>
      <c r="P29">
        <f t="shared" si="6"/>
        <v>68.2720006246156</v>
      </c>
      <c r="Q29">
        <f t="shared" si="6"/>
        <v>68.2720006246156</v>
      </c>
      <c r="R29">
        <f t="shared" si="6"/>
        <v>68.2720006246156</v>
      </c>
      <c r="S29">
        <f t="shared" si="6"/>
        <v>68.2720006246156</v>
      </c>
    </row>
    <row r="30" spans="1:19">
      <c r="B30">
        <f>1/SQRT($I$11)</f>
        <v>1.6951942519660654E-5</v>
      </c>
      <c r="C30">
        <f t="shared" ref="C30:S30" si="7">1/SQRT($I$11)</f>
        <v>1.6951942519660654E-5</v>
      </c>
      <c r="D30">
        <f t="shared" si="7"/>
        <v>1.6951942519660654E-5</v>
      </c>
      <c r="E30">
        <f t="shared" si="7"/>
        <v>1.6951942519660654E-5</v>
      </c>
      <c r="F30">
        <f t="shared" si="7"/>
        <v>1.6951942519660654E-5</v>
      </c>
      <c r="G30">
        <f t="shared" si="7"/>
        <v>1.6951942519660654E-5</v>
      </c>
      <c r="H30">
        <f t="shared" si="7"/>
        <v>1.6951942519660654E-5</v>
      </c>
      <c r="I30">
        <f t="shared" si="7"/>
        <v>1.6951942519660654E-5</v>
      </c>
      <c r="J30">
        <f t="shared" si="7"/>
        <v>1.6951942519660654E-5</v>
      </c>
      <c r="K30">
        <f t="shared" si="7"/>
        <v>1.6951942519660654E-5</v>
      </c>
      <c r="L30">
        <f t="shared" si="7"/>
        <v>1.6951942519660654E-5</v>
      </c>
      <c r="M30">
        <f t="shared" si="7"/>
        <v>1.6951942519660654E-5</v>
      </c>
      <c r="N30">
        <f t="shared" si="7"/>
        <v>1.6951942519660654E-5</v>
      </c>
      <c r="O30">
        <f t="shared" si="7"/>
        <v>1.6951942519660654E-5</v>
      </c>
      <c r="P30">
        <f t="shared" si="7"/>
        <v>1.6951942519660654E-5</v>
      </c>
      <c r="Q30">
        <f t="shared" si="7"/>
        <v>1.6951942519660654E-5</v>
      </c>
      <c r="R30">
        <f t="shared" si="7"/>
        <v>1.6951942519660654E-5</v>
      </c>
      <c r="S30">
        <f t="shared" si="7"/>
        <v>1.6951942519660654E-5</v>
      </c>
    </row>
    <row r="31" spans="1:19">
      <c r="B31">
        <f>1/SQRT($J$12)</f>
        <v>38.39167334901434</v>
      </c>
      <c r="C31">
        <f t="shared" ref="C31:S31" si="8">1/SQRT($J$12)</f>
        <v>38.39167334901434</v>
      </c>
      <c r="D31">
        <f t="shared" si="8"/>
        <v>38.39167334901434</v>
      </c>
      <c r="E31">
        <f t="shared" si="8"/>
        <v>38.39167334901434</v>
      </c>
      <c r="F31">
        <f t="shared" si="8"/>
        <v>38.39167334901434</v>
      </c>
      <c r="G31">
        <f t="shared" si="8"/>
        <v>38.39167334901434</v>
      </c>
      <c r="H31">
        <f t="shared" si="8"/>
        <v>38.39167334901434</v>
      </c>
      <c r="I31">
        <f t="shared" si="8"/>
        <v>38.39167334901434</v>
      </c>
      <c r="J31">
        <f t="shared" si="8"/>
        <v>38.39167334901434</v>
      </c>
      <c r="K31">
        <f t="shared" si="8"/>
        <v>38.39167334901434</v>
      </c>
      <c r="L31">
        <f t="shared" si="8"/>
        <v>38.39167334901434</v>
      </c>
      <c r="M31">
        <f t="shared" si="8"/>
        <v>38.39167334901434</v>
      </c>
      <c r="N31">
        <f t="shared" si="8"/>
        <v>38.39167334901434</v>
      </c>
      <c r="O31">
        <f t="shared" si="8"/>
        <v>38.39167334901434</v>
      </c>
      <c r="P31">
        <f t="shared" si="8"/>
        <v>38.39167334901434</v>
      </c>
      <c r="Q31">
        <f t="shared" si="8"/>
        <v>38.39167334901434</v>
      </c>
      <c r="R31">
        <f t="shared" si="8"/>
        <v>38.39167334901434</v>
      </c>
      <c r="S31">
        <f t="shared" si="8"/>
        <v>38.39167334901434</v>
      </c>
    </row>
    <row r="32" spans="1:19">
      <c r="B32">
        <f>1/SQRT($K$13)</f>
        <v>1.3037012632219958E-3</v>
      </c>
      <c r="C32">
        <f t="shared" ref="C32:S32" si="9">1/SQRT($K$13)</f>
        <v>1.3037012632219958E-3</v>
      </c>
      <c r="D32">
        <f t="shared" si="9"/>
        <v>1.3037012632219958E-3</v>
      </c>
      <c r="E32">
        <f t="shared" si="9"/>
        <v>1.3037012632219958E-3</v>
      </c>
      <c r="F32">
        <f t="shared" si="9"/>
        <v>1.3037012632219958E-3</v>
      </c>
      <c r="G32">
        <f t="shared" si="9"/>
        <v>1.3037012632219958E-3</v>
      </c>
      <c r="H32">
        <f t="shared" si="9"/>
        <v>1.3037012632219958E-3</v>
      </c>
      <c r="I32">
        <f t="shared" si="9"/>
        <v>1.3037012632219958E-3</v>
      </c>
      <c r="J32">
        <f t="shared" si="9"/>
        <v>1.3037012632219958E-3</v>
      </c>
      <c r="K32">
        <f t="shared" si="9"/>
        <v>1.3037012632219958E-3</v>
      </c>
      <c r="L32">
        <f t="shared" si="9"/>
        <v>1.3037012632219958E-3</v>
      </c>
      <c r="M32">
        <f t="shared" si="9"/>
        <v>1.3037012632219958E-3</v>
      </c>
      <c r="N32">
        <f t="shared" si="9"/>
        <v>1.3037012632219958E-3</v>
      </c>
      <c r="O32">
        <f t="shared" si="9"/>
        <v>1.3037012632219958E-3</v>
      </c>
      <c r="P32">
        <f t="shared" si="9"/>
        <v>1.3037012632219958E-3</v>
      </c>
      <c r="Q32">
        <f t="shared" si="9"/>
        <v>1.3037012632219958E-3</v>
      </c>
      <c r="R32">
        <f t="shared" si="9"/>
        <v>1.3037012632219958E-3</v>
      </c>
      <c r="S32">
        <f t="shared" si="9"/>
        <v>1.3037012632219958E-3</v>
      </c>
    </row>
    <row r="33" spans="2:19">
      <c r="B33">
        <f>1/SQRT($L$14)</f>
        <v>34.053583539486581</v>
      </c>
      <c r="C33">
        <f t="shared" ref="C33:S33" si="10">1/SQRT($L$14)</f>
        <v>34.053583539486581</v>
      </c>
      <c r="D33">
        <f t="shared" si="10"/>
        <v>34.053583539486581</v>
      </c>
      <c r="E33">
        <f t="shared" si="10"/>
        <v>34.053583539486581</v>
      </c>
      <c r="F33">
        <f t="shared" si="10"/>
        <v>34.053583539486581</v>
      </c>
      <c r="G33">
        <f t="shared" si="10"/>
        <v>34.053583539486581</v>
      </c>
      <c r="H33">
        <f t="shared" si="10"/>
        <v>34.053583539486581</v>
      </c>
      <c r="I33">
        <f t="shared" si="10"/>
        <v>34.053583539486581</v>
      </c>
      <c r="J33">
        <f t="shared" si="10"/>
        <v>34.053583539486581</v>
      </c>
      <c r="K33">
        <f t="shared" si="10"/>
        <v>34.053583539486581</v>
      </c>
      <c r="L33">
        <f t="shared" si="10"/>
        <v>34.053583539486581</v>
      </c>
      <c r="M33">
        <f t="shared" si="10"/>
        <v>34.053583539486581</v>
      </c>
      <c r="N33">
        <f t="shared" si="10"/>
        <v>34.053583539486581</v>
      </c>
      <c r="O33">
        <f t="shared" si="10"/>
        <v>34.053583539486581</v>
      </c>
      <c r="P33">
        <f t="shared" si="10"/>
        <v>34.053583539486581</v>
      </c>
      <c r="Q33">
        <f t="shared" si="10"/>
        <v>34.053583539486581</v>
      </c>
      <c r="R33">
        <f t="shared" si="10"/>
        <v>34.053583539486581</v>
      </c>
      <c r="S33">
        <f t="shared" si="10"/>
        <v>34.053583539486581</v>
      </c>
    </row>
    <row r="34" spans="2:19">
      <c r="B34">
        <f>1/SQRT($M$15)</f>
        <v>38.407287257215998</v>
      </c>
      <c r="C34">
        <f t="shared" ref="C34:S34" si="11">1/SQRT($M$15)</f>
        <v>38.407287257215998</v>
      </c>
      <c r="D34">
        <f t="shared" si="11"/>
        <v>38.407287257215998</v>
      </c>
      <c r="E34">
        <f t="shared" si="11"/>
        <v>38.407287257215998</v>
      </c>
      <c r="F34">
        <f t="shared" si="11"/>
        <v>38.407287257215998</v>
      </c>
      <c r="G34">
        <f t="shared" si="11"/>
        <v>38.407287257215998</v>
      </c>
      <c r="H34">
        <f t="shared" si="11"/>
        <v>38.407287257215998</v>
      </c>
      <c r="I34">
        <f t="shared" si="11"/>
        <v>38.407287257215998</v>
      </c>
      <c r="J34">
        <f t="shared" si="11"/>
        <v>38.407287257215998</v>
      </c>
      <c r="K34">
        <f t="shared" si="11"/>
        <v>38.407287257215998</v>
      </c>
      <c r="L34">
        <f t="shared" si="11"/>
        <v>38.407287257215998</v>
      </c>
      <c r="M34">
        <f t="shared" si="11"/>
        <v>38.407287257215998</v>
      </c>
      <c r="N34">
        <f t="shared" si="11"/>
        <v>38.407287257215998</v>
      </c>
      <c r="O34">
        <f t="shared" si="11"/>
        <v>38.407287257215998</v>
      </c>
      <c r="P34">
        <f t="shared" si="11"/>
        <v>38.407287257215998</v>
      </c>
      <c r="Q34">
        <f t="shared" si="11"/>
        <v>38.407287257215998</v>
      </c>
      <c r="R34">
        <f t="shared" si="11"/>
        <v>38.407287257215998</v>
      </c>
      <c r="S34">
        <f t="shared" si="11"/>
        <v>38.407287257215998</v>
      </c>
    </row>
    <row r="35" spans="2:19">
      <c r="B35">
        <f>1/SQRT($N$16)</f>
        <v>307.48662195120437</v>
      </c>
      <c r="C35">
        <f t="shared" ref="C35:S35" si="12">1/SQRT($N$16)</f>
        <v>307.48662195120437</v>
      </c>
      <c r="D35">
        <f t="shared" si="12"/>
        <v>307.48662195120437</v>
      </c>
      <c r="E35">
        <f t="shared" si="12"/>
        <v>307.48662195120437</v>
      </c>
      <c r="F35">
        <f t="shared" si="12"/>
        <v>307.48662195120437</v>
      </c>
      <c r="G35">
        <f t="shared" si="12"/>
        <v>307.48662195120437</v>
      </c>
      <c r="H35">
        <f t="shared" si="12"/>
        <v>307.48662195120437</v>
      </c>
      <c r="I35">
        <f t="shared" si="12"/>
        <v>307.48662195120437</v>
      </c>
      <c r="J35">
        <f t="shared" si="12"/>
        <v>307.48662195120437</v>
      </c>
      <c r="K35">
        <f t="shared" si="12"/>
        <v>307.48662195120437</v>
      </c>
      <c r="L35">
        <f t="shared" si="12"/>
        <v>307.48662195120437</v>
      </c>
      <c r="M35">
        <f t="shared" si="12"/>
        <v>307.48662195120437</v>
      </c>
      <c r="N35">
        <f t="shared" si="12"/>
        <v>307.48662195120437</v>
      </c>
      <c r="O35">
        <f t="shared" si="12"/>
        <v>307.48662195120437</v>
      </c>
      <c r="P35">
        <f t="shared" si="12"/>
        <v>307.48662195120437</v>
      </c>
      <c r="Q35">
        <f t="shared" si="12"/>
        <v>307.48662195120437</v>
      </c>
      <c r="R35">
        <f t="shared" si="12"/>
        <v>307.48662195120437</v>
      </c>
      <c r="S35">
        <f t="shared" si="12"/>
        <v>307.48662195120437</v>
      </c>
    </row>
    <row r="36" spans="2:19">
      <c r="B36">
        <f>1/SQRT($O$17)</f>
        <v>37426.299326779539</v>
      </c>
      <c r="C36">
        <f t="shared" ref="C36:S36" si="13">1/SQRT($O$17)</f>
        <v>37426.299326779539</v>
      </c>
      <c r="D36">
        <f t="shared" si="13"/>
        <v>37426.299326779539</v>
      </c>
      <c r="E36">
        <f t="shared" si="13"/>
        <v>37426.299326779539</v>
      </c>
      <c r="F36">
        <f t="shared" si="13"/>
        <v>37426.299326779539</v>
      </c>
      <c r="G36">
        <f t="shared" si="13"/>
        <v>37426.299326779539</v>
      </c>
      <c r="H36">
        <f t="shared" si="13"/>
        <v>37426.299326779539</v>
      </c>
      <c r="I36">
        <f t="shared" si="13"/>
        <v>37426.299326779539</v>
      </c>
      <c r="J36">
        <f t="shared" si="13"/>
        <v>37426.299326779539</v>
      </c>
      <c r="K36">
        <f t="shared" si="13"/>
        <v>37426.299326779539</v>
      </c>
      <c r="L36">
        <f t="shared" si="13"/>
        <v>37426.299326779539</v>
      </c>
      <c r="M36">
        <f t="shared" si="13"/>
        <v>37426.299326779539</v>
      </c>
      <c r="N36">
        <f t="shared" si="13"/>
        <v>37426.299326779539</v>
      </c>
      <c r="O36">
        <f t="shared" si="13"/>
        <v>37426.299326779539</v>
      </c>
      <c r="P36">
        <f t="shared" si="13"/>
        <v>37426.299326779539</v>
      </c>
      <c r="Q36">
        <f t="shared" si="13"/>
        <v>37426.299326779539</v>
      </c>
      <c r="R36">
        <f t="shared" si="13"/>
        <v>37426.299326779539</v>
      </c>
      <c r="S36">
        <f t="shared" si="13"/>
        <v>37426.299326779539</v>
      </c>
    </row>
    <row r="37" spans="2:19">
      <c r="B37">
        <f>1/SQRT($P$18)</f>
        <v>460.8831499444068</v>
      </c>
      <c r="C37">
        <f t="shared" ref="C37:S37" si="14">1/SQRT($P$18)</f>
        <v>460.8831499444068</v>
      </c>
      <c r="D37">
        <f t="shared" si="14"/>
        <v>460.8831499444068</v>
      </c>
      <c r="E37">
        <f t="shared" si="14"/>
        <v>460.8831499444068</v>
      </c>
      <c r="F37">
        <f t="shared" si="14"/>
        <v>460.8831499444068</v>
      </c>
      <c r="G37">
        <f t="shared" si="14"/>
        <v>460.8831499444068</v>
      </c>
      <c r="H37">
        <f t="shared" si="14"/>
        <v>460.8831499444068</v>
      </c>
      <c r="I37">
        <f t="shared" si="14"/>
        <v>460.8831499444068</v>
      </c>
      <c r="J37">
        <f t="shared" si="14"/>
        <v>460.8831499444068</v>
      </c>
      <c r="K37">
        <f t="shared" si="14"/>
        <v>460.8831499444068</v>
      </c>
      <c r="L37">
        <f t="shared" si="14"/>
        <v>460.8831499444068</v>
      </c>
      <c r="M37">
        <f t="shared" si="14"/>
        <v>460.8831499444068</v>
      </c>
      <c r="N37">
        <f t="shared" si="14"/>
        <v>460.8831499444068</v>
      </c>
      <c r="O37">
        <f t="shared" si="14"/>
        <v>460.8831499444068</v>
      </c>
      <c r="P37">
        <f t="shared" si="14"/>
        <v>460.8831499444068</v>
      </c>
      <c r="Q37">
        <f t="shared" si="14"/>
        <v>460.8831499444068</v>
      </c>
      <c r="R37">
        <f t="shared" si="14"/>
        <v>460.8831499444068</v>
      </c>
      <c r="S37">
        <f t="shared" si="14"/>
        <v>460.8831499444068</v>
      </c>
    </row>
    <row r="38" spans="2:19">
      <c r="B38">
        <f>1/SQRT($Q$19)</f>
        <v>28997.724668089071</v>
      </c>
      <c r="C38">
        <f t="shared" ref="C38:S38" si="15">1/SQRT($Q$19)</f>
        <v>28997.724668089071</v>
      </c>
      <c r="D38">
        <f t="shared" si="15"/>
        <v>28997.724668089071</v>
      </c>
      <c r="E38">
        <f t="shared" si="15"/>
        <v>28997.724668089071</v>
      </c>
      <c r="F38">
        <f t="shared" si="15"/>
        <v>28997.724668089071</v>
      </c>
      <c r="G38">
        <f t="shared" si="15"/>
        <v>28997.724668089071</v>
      </c>
      <c r="H38">
        <f t="shared" si="15"/>
        <v>28997.724668089071</v>
      </c>
      <c r="I38">
        <f t="shared" si="15"/>
        <v>28997.724668089071</v>
      </c>
      <c r="J38">
        <f t="shared" si="15"/>
        <v>28997.724668089071</v>
      </c>
      <c r="K38">
        <f t="shared" si="15"/>
        <v>28997.724668089071</v>
      </c>
      <c r="L38">
        <f t="shared" si="15"/>
        <v>28997.724668089071</v>
      </c>
      <c r="M38">
        <f t="shared" si="15"/>
        <v>28997.724668089071</v>
      </c>
      <c r="N38">
        <f t="shared" si="15"/>
        <v>28997.724668089071</v>
      </c>
      <c r="O38">
        <f t="shared" si="15"/>
        <v>28997.724668089071</v>
      </c>
      <c r="P38">
        <f t="shared" si="15"/>
        <v>28997.724668089071</v>
      </c>
      <c r="Q38">
        <f t="shared" si="15"/>
        <v>28997.724668089071</v>
      </c>
      <c r="R38">
        <f t="shared" si="15"/>
        <v>28997.724668089071</v>
      </c>
      <c r="S38">
        <f t="shared" si="15"/>
        <v>28997.724668089071</v>
      </c>
    </row>
    <row r="39" spans="2:19">
      <c r="B39">
        <f>1/SQRT($R$20)</f>
        <v>186.07555943093632</v>
      </c>
      <c r="C39">
        <f t="shared" ref="C39:S39" si="16">1/SQRT($R$20)</f>
        <v>186.07555943093632</v>
      </c>
      <c r="D39">
        <f t="shared" si="16"/>
        <v>186.07555943093632</v>
      </c>
      <c r="E39">
        <f t="shared" si="16"/>
        <v>186.07555943093632</v>
      </c>
      <c r="F39">
        <f t="shared" si="16"/>
        <v>186.07555943093632</v>
      </c>
      <c r="G39">
        <f t="shared" si="16"/>
        <v>186.07555943093632</v>
      </c>
      <c r="H39">
        <f t="shared" si="16"/>
        <v>186.07555943093632</v>
      </c>
      <c r="I39">
        <f t="shared" si="16"/>
        <v>186.07555943093632</v>
      </c>
      <c r="J39">
        <f t="shared" si="16"/>
        <v>186.07555943093632</v>
      </c>
      <c r="K39">
        <f t="shared" si="16"/>
        <v>186.07555943093632</v>
      </c>
      <c r="L39">
        <f t="shared" si="16"/>
        <v>186.07555943093632</v>
      </c>
      <c r="M39">
        <f t="shared" si="16"/>
        <v>186.07555943093632</v>
      </c>
      <c r="N39">
        <f t="shared" si="16"/>
        <v>186.07555943093632</v>
      </c>
      <c r="O39">
        <f t="shared" si="16"/>
        <v>186.07555943093632</v>
      </c>
      <c r="P39">
        <f t="shared" si="16"/>
        <v>186.07555943093632</v>
      </c>
      <c r="Q39">
        <f t="shared" si="16"/>
        <v>186.07555943093632</v>
      </c>
      <c r="R39">
        <f t="shared" si="16"/>
        <v>186.07555943093632</v>
      </c>
      <c r="S39">
        <f t="shared" si="16"/>
        <v>186.07555943093632</v>
      </c>
    </row>
    <row r="40" spans="2:19">
      <c r="B40">
        <f>1/SQRT($S$21)</f>
        <v>602.55635556128379</v>
      </c>
      <c r="C40">
        <f t="shared" ref="C40:S40" si="17">1/SQRT($S$21)</f>
        <v>602.55635556128379</v>
      </c>
      <c r="D40">
        <f t="shared" si="17"/>
        <v>602.55635556128379</v>
      </c>
      <c r="E40">
        <f t="shared" si="17"/>
        <v>602.55635556128379</v>
      </c>
      <c r="F40">
        <f t="shared" si="17"/>
        <v>602.55635556128379</v>
      </c>
      <c r="G40">
        <f t="shared" si="17"/>
        <v>602.55635556128379</v>
      </c>
      <c r="H40">
        <f t="shared" si="17"/>
        <v>602.55635556128379</v>
      </c>
      <c r="I40">
        <f t="shared" si="17"/>
        <v>602.55635556128379</v>
      </c>
      <c r="J40">
        <f t="shared" si="17"/>
        <v>602.55635556128379</v>
      </c>
      <c r="K40">
        <f t="shared" si="17"/>
        <v>602.55635556128379</v>
      </c>
      <c r="L40">
        <f t="shared" si="17"/>
        <v>602.55635556128379</v>
      </c>
      <c r="M40">
        <f t="shared" si="17"/>
        <v>602.55635556128379</v>
      </c>
      <c r="N40">
        <f t="shared" si="17"/>
        <v>602.55635556128379</v>
      </c>
      <c r="O40">
        <f t="shared" si="17"/>
        <v>602.55635556128379</v>
      </c>
      <c r="P40">
        <f t="shared" si="17"/>
        <v>602.55635556128379</v>
      </c>
      <c r="Q40">
        <f t="shared" si="17"/>
        <v>602.55635556128379</v>
      </c>
      <c r="R40">
        <f t="shared" si="17"/>
        <v>602.55635556128379</v>
      </c>
      <c r="S40">
        <f t="shared" si="17"/>
        <v>602.55635556128379</v>
      </c>
    </row>
    <row r="42" spans="2:19">
      <c r="B42">
        <f t="shared" ref="B42:B59" si="18">1/SQRT($B$4)</f>
        <v>19.170953833837547</v>
      </c>
      <c r="C42">
        <f t="shared" ref="C42:C59" si="19">1/SQRT($C$5)</f>
        <v>0.68275715924679226</v>
      </c>
      <c r="D42">
        <f t="shared" ref="D42:D59" si="20">1/SQRT($D$6)</f>
        <v>5.8074272609991766</v>
      </c>
      <c r="E42">
        <f t="shared" ref="E42:E59" si="21">1/SQRT($E$7)</f>
        <v>5.1940142792597253E-5</v>
      </c>
      <c r="F42">
        <f t="shared" ref="F42:F59" si="22">1/SQRT($F$8)</f>
        <v>0.4007474798638373</v>
      </c>
      <c r="G42">
        <f t="shared" ref="G42:G59" si="23">1/SQRT($G$9)</f>
        <v>0.37785899565950187</v>
      </c>
      <c r="H42">
        <f t="shared" ref="H42:H59" si="24">1/SQRT($H$10)</f>
        <v>68.2720006246156</v>
      </c>
      <c r="I42">
        <f t="shared" ref="I42:I59" si="25">1/SQRT($I$11)</f>
        <v>1.6951942519660654E-5</v>
      </c>
      <c r="J42">
        <f t="shared" ref="J42:J59" si="26">1/SQRT($J$12)</f>
        <v>38.39167334901434</v>
      </c>
      <c r="K42">
        <f t="shared" ref="K42:K59" si="27">1/SQRT($K$13)</f>
        <v>1.3037012632219958E-3</v>
      </c>
      <c r="L42">
        <f t="shared" ref="L42:L59" si="28">1/SQRT($L$14)</f>
        <v>34.053583539486581</v>
      </c>
      <c r="M42">
        <f t="shared" ref="M42:M59" si="29">1/SQRT($M$15)</f>
        <v>38.407287257215998</v>
      </c>
      <c r="N42">
        <f t="shared" ref="N42:N59" si="30">1/SQRT($N$16)</f>
        <v>307.48662195120437</v>
      </c>
      <c r="O42">
        <f t="shared" ref="O42:O59" si="31">1/SQRT($O$17)</f>
        <v>37426.299326779539</v>
      </c>
      <c r="P42">
        <f t="shared" ref="P42:P59" si="32">1/SQRT($P$18)</f>
        <v>460.8831499444068</v>
      </c>
      <c r="Q42">
        <f t="shared" ref="Q42:Q59" si="33">1/SQRT($Q$19)</f>
        <v>28997.724668089071</v>
      </c>
      <c r="R42">
        <f t="shared" ref="R42:R59" si="34">1/SQRT($R$20)</f>
        <v>186.07555943093632</v>
      </c>
      <c r="S42">
        <f t="shared" ref="S42:S59" si="35">1/SQRT($S$21)</f>
        <v>602.55635556128379</v>
      </c>
    </row>
    <row r="43" spans="2:19">
      <c r="B43">
        <f t="shared" si="18"/>
        <v>19.170953833837547</v>
      </c>
      <c r="C43">
        <f t="shared" si="19"/>
        <v>0.68275715924679226</v>
      </c>
      <c r="D43">
        <f t="shared" si="20"/>
        <v>5.8074272609991766</v>
      </c>
      <c r="E43">
        <f t="shared" si="21"/>
        <v>5.1940142792597253E-5</v>
      </c>
      <c r="F43">
        <f t="shared" si="22"/>
        <v>0.4007474798638373</v>
      </c>
      <c r="G43">
        <f t="shared" si="23"/>
        <v>0.37785899565950187</v>
      </c>
      <c r="H43">
        <f t="shared" si="24"/>
        <v>68.2720006246156</v>
      </c>
      <c r="I43">
        <f t="shared" si="25"/>
        <v>1.6951942519660654E-5</v>
      </c>
      <c r="J43">
        <f t="shared" si="26"/>
        <v>38.39167334901434</v>
      </c>
      <c r="K43">
        <f t="shared" si="27"/>
        <v>1.3037012632219958E-3</v>
      </c>
      <c r="L43">
        <f t="shared" si="28"/>
        <v>34.053583539486581</v>
      </c>
      <c r="M43">
        <f t="shared" si="29"/>
        <v>38.407287257215998</v>
      </c>
      <c r="N43">
        <f t="shared" si="30"/>
        <v>307.48662195120437</v>
      </c>
      <c r="O43">
        <f t="shared" si="31"/>
        <v>37426.299326779539</v>
      </c>
      <c r="P43">
        <f t="shared" si="32"/>
        <v>460.8831499444068</v>
      </c>
      <c r="Q43">
        <f t="shared" si="33"/>
        <v>28997.724668089071</v>
      </c>
      <c r="R43">
        <f t="shared" si="34"/>
        <v>186.07555943093632</v>
      </c>
      <c r="S43">
        <f t="shared" si="35"/>
        <v>602.55635556128379</v>
      </c>
    </row>
    <row r="44" spans="2:19">
      <c r="B44">
        <f t="shared" si="18"/>
        <v>19.170953833837547</v>
      </c>
      <c r="C44">
        <f t="shared" si="19"/>
        <v>0.68275715924679226</v>
      </c>
      <c r="D44">
        <f t="shared" si="20"/>
        <v>5.8074272609991766</v>
      </c>
      <c r="E44">
        <f t="shared" si="21"/>
        <v>5.1940142792597253E-5</v>
      </c>
      <c r="F44">
        <f t="shared" si="22"/>
        <v>0.4007474798638373</v>
      </c>
      <c r="G44">
        <f t="shared" si="23"/>
        <v>0.37785899565950187</v>
      </c>
      <c r="H44">
        <f t="shared" si="24"/>
        <v>68.2720006246156</v>
      </c>
      <c r="I44">
        <f t="shared" si="25"/>
        <v>1.6951942519660654E-5</v>
      </c>
      <c r="J44">
        <f t="shared" si="26"/>
        <v>38.39167334901434</v>
      </c>
      <c r="K44">
        <f t="shared" si="27"/>
        <v>1.3037012632219958E-3</v>
      </c>
      <c r="L44">
        <f t="shared" si="28"/>
        <v>34.053583539486581</v>
      </c>
      <c r="M44">
        <f t="shared" si="29"/>
        <v>38.407287257215998</v>
      </c>
      <c r="N44">
        <f t="shared" si="30"/>
        <v>307.48662195120437</v>
      </c>
      <c r="O44">
        <f t="shared" si="31"/>
        <v>37426.299326779539</v>
      </c>
      <c r="P44">
        <f t="shared" si="32"/>
        <v>460.8831499444068</v>
      </c>
      <c r="Q44">
        <f t="shared" si="33"/>
        <v>28997.724668089071</v>
      </c>
      <c r="R44">
        <f t="shared" si="34"/>
        <v>186.07555943093632</v>
      </c>
      <c r="S44">
        <f t="shared" si="35"/>
        <v>602.55635556128379</v>
      </c>
    </row>
    <row r="45" spans="2:19">
      <c r="B45">
        <f t="shared" si="18"/>
        <v>19.170953833837547</v>
      </c>
      <c r="C45">
        <f t="shared" si="19"/>
        <v>0.68275715924679226</v>
      </c>
      <c r="D45">
        <f t="shared" si="20"/>
        <v>5.8074272609991766</v>
      </c>
      <c r="E45">
        <f t="shared" si="21"/>
        <v>5.1940142792597253E-5</v>
      </c>
      <c r="F45">
        <f t="shared" si="22"/>
        <v>0.4007474798638373</v>
      </c>
      <c r="G45">
        <f t="shared" si="23"/>
        <v>0.37785899565950187</v>
      </c>
      <c r="H45">
        <f t="shared" si="24"/>
        <v>68.2720006246156</v>
      </c>
      <c r="I45">
        <f t="shared" si="25"/>
        <v>1.6951942519660654E-5</v>
      </c>
      <c r="J45">
        <f t="shared" si="26"/>
        <v>38.39167334901434</v>
      </c>
      <c r="K45">
        <f t="shared" si="27"/>
        <v>1.3037012632219958E-3</v>
      </c>
      <c r="L45">
        <f t="shared" si="28"/>
        <v>34.053583539486581</v>
      </c>
      <c r="M45">
        <f t="shared" si="29"/>
        <v>38.407287257215998</v>
      </c>
      <c r="N45">
        <f t="shared" si="30"/>
        <v>307.48662195120437</v>
      </c>
      <c r="O45">
        <f t="shared" si="31"/>
        <v>37426.299326779539</v>
      </c>
      <c r="P45">
        <f t="shared" si="32"/>
        <v>460.8831499444068</v>
      </c>
      <c r="Q45">
        <f t="shared" si="33"/>
        <v>28997.724668089071</v>
      </c>
      <c r="R45">
        <f t="shared" si="34"/>
        <v>186.07555943093632</v>
      </c>
      <c r="S45">
        <f t="shared" si="35"/>
        <v>602.55635556128379</v>
      </c>
    </row>
    <row r="46" spans="2:19">
      <c r="B46">
        <f t="shared" si="18"/>
        <v>19.170953833837547</v>
      </c>
      <c r="C46">
        <f t="shared" si="19"/>
        <v>0.68275715924679226</v>
      </c>
      <c r="D46">
        <f t="shared" si="20"/>
        <v>5.8074272609991766</v>
      </c>
      <c r="E46">
        <f t="shared" si="21"/>
        <v>5.1940142792597253E-5</v>
      </c>
      <c r="F46">
        <f t="shared" si="22"/>
        <v>0.4007474798638373</v>
      </c>
      <c r="G46">
        <f t="shared" si="23"/>
        <v>0.37785899565950187</v>
      </c>
      <c r="H46">
        <f t="shared" si="24"/>
        <v>68.2720006246156</v>
      </c>
      <c r="I46">
        <f t="shared" si="25"/>
        <v>1.6951942519660654E-5</v>
      </c>
      <c r="J46">
        <f t="shared" si="26"/>
        <v>38.39167334901434</v>
      </c>
      <c r="K46">
        <f t="shared" si="27"/>
        <v>1.3037012632219958E-3</v>
      </c>
      <c r="L46">
        <f t="shared" si="28"/>
        <v>34.053583539486581</v>
      </c>
      <c r="M46">
        <f t="shared" si="29"/>
        <v>38.407287257215998</v>
      </c>
      <c r="N46">
        <f t="shared" si="30"/>
        <v>307.48662195120437</v>
      </c>
      <c r="O46">
        <f t="shared" si="31"/>
        <v>37426.299326779539</v>
      </c>
      <c r="P46">
        <f t="shared" si="32"/>
        <v>460.8831499444068</v>
      </c>
      <c r="Q46">
        <f t="shared" si="33"/>
        <v>28997.724668089071</v>
      </c>
      <c r="R46">
        <f t="shared" si="34"/>
        <v>186.07555943093632</v>
      </c>
      <c r="S46">
        <f t="shared" si="35"/>
        <v>602.55635556128379</v>
      </c>
    </row>
    <row r="47" spans="2:19">
      <c r="B47">
        <f t="shared" si="18"/>
        <v>19.170953833837547</v>
      </c>
      <c r="C47">
        <f t="shared" si="19"/>
        <v>0.68275715924679226</v>
      </c>
      <c r="D47">
        <f>1/SQRT($D$6)</f>
        <v>5.8074272609991766</v>
      </c>
      <c r="E47">
        <f t="shared" si="21"/>
        <v>5.1940142792597253E-5</v>
      </c>
      <c r="F47">
        <f t="shared" si="22"/>
        <v>0.4007474798638373</v>
      </c>
      <c r="G47">
        <f t="shared" si="23"/>
        <v>0.37785899565950187</v>
      </c>
      <c r="H47">
        <f t="shared" si="24"/>
        <v>68.2720006246156</v>
      </c>
      <c r="I47">
        <f t="shared" si="25"/>
        <v>1.6951942519660654E-5</v>
      </c>
      <c r="J47">
        <f t="shared" si="26"/>
        <v>38.39167334901434</v>
      </c>
      <c r="K47">
        <f t="shared" si="27"/>
        <v>1.3037012632219958E-3</v>
      </c>
      <c r="L47">
        <f t="shared" si="28"/>
        <v>34.053583539486581</v>
      </c>
      <c r="M47">
        <f t="shared" si="29"/>
        <v>38.407287257215998</v>
      </c>
      <c r="N47">
        <f t="shared" si="30"/>
        <v>307.48662195120437</v>
      </c>
      <c r="O47">
        <f t="shared" si="31"/>
        <v>37426.299326779539</v>
      </c>
      <c r="P47">
        <f t="shared" si="32"/>
        <v>460.8831499444068</v>
      </c>
      <c r="Q47">
        <f t="shared" si="33"/>
        <v>28997.724668089071</v>
      </c>
      <c r="R47">
        <f t="shared" si="34"/>
        <v>186.07555943093632</v>
      </c>
      <c r="S47">
        <f t="shared" si="35"/>
        <v>602.55635556128379</v>
      </c>
    </row>
    <row r="48" spans="2:19">
      <c r="B48">
        <f t="shared" si="18"/>
        <v>19.170953833837547</v>
      </c>
      <c r="C48">
        <f t="shared" si="19"/>
        <v>0.68275715924679226</v>
      </c>
      <c r="D48">
        <f>1/SQRT($D$6)</f>
        <v>5.8074272609991766</v>
      </c>
      <c r="E48">
        <f t="shared" si="21"/>
        <v>5.1940142792597253E-5</v>
      </c>
      <c r="F48">
        <f t="shared" si="22"/>
        <v>0.4007474798638373</v>
      </c>
      <c r="G48">
        <f t="shared" si="23"/>
        <v>0.37785899565950187</v>
      </c>
      <c r="H48">
        <f t="shared" si="24"/>
        <v>68.2720006246156</v>
      </c>
      <c r="I48">
        <f t="shared" si="25"/>
        <v>1.6951942519660654E-5</v>
      </c>
      <c r="J48">
        <f t="shared" si="26"/>
        <v>38.39167334901434</v>
      </c>
      <c r="K48">
        <f t="shared" si="27"/>
        <v>1.3037012632219958E-3</v>
      </c>
      <c r="L48">
        <f t="shared" si="28"/>
        <v>34.053583539486581</v>
      </c>
      <c r="M48">
        <f t="shared" si="29"/>
        <v>38.407287257215998</v>
      </c>
      <c r="N48">
        <f t="shared" si="30"/>
        <v>307.48662195120437</v>
      </c>
      <c r="O48">
        <f t="shared" si="31"/>
        <v>37426.299326779539</v>
      </c>
      <c r="P48">
        <f t="shared" si="32"/>
        <v>460.8831499444068</v>
      </c>
      <c r="Q48">
        <f t="shared" si="33"/>
        <v>28997.724668089071</v>
      </c>
      <c r="R48">
        <f t="shared" si="34"/>
        <v>186.07555943093632</v>
      </c>
      <c r="S48">
        <f t="shared" si="35"/>
        <v>602.55635556128379</v>
      </c>
    </row>
    <row r="49" spans="2:19">
      <c r="B49">
        <f t="shared" si="18"/>
        <v>19.170953833837547</v>
      </c>
      <c r="C49">
        <f t="shared" si="19"/>
        <v>0.68275715924679226</v>
      </c>
      <c r="D49">
        <f>1/SQRT($D$6)</f>
        <v>5.8074272609991766</v>
      </c>
      <c r="E49">
        <f t="shared" si="21"/>
        <v>5.1940142792597253E-5</v>
      </c>
      <c r="F49">
        <f t="shared" si="22"/>
        <v>0.4007474798638373</v>
      </c>
      <c r="G49">
        <f t="shared" si="23"/>
        <v>0.37785899565950187</v>
      </c>
      <c r="H49">
        <f t="shared" si="24"/>
        <v>68.2720006246156</v>
      </c>
      <c r="I49">
        <f t="shared" si="25"/>
        <v>1.6951942519660654E-5</v>
      </c>
      <c r="J49">
        <f t="shared" si="26"/>
        <v>38.39167334901434</v>
      </c>
      <c r="K49">
        <f t="shared" si="27"/>
        <v>1.3037012632219958E-3</v>
      </c>
      <c r="L49">
        <f t="shared" si="28"/>
        <v>34.053583539486581</v>
      </c>
      <c r="M49">
        <f t="shared" si="29"/>
        <v>38.407287257215998</v>
      </c>
      <c r="N49">
        <f t="shared" si="30"/>
        <v>307.48662195120437</v>
      </c>
      <c r="O49">
        <f t="shared" si="31"/>
        <v>37426.299326779539</v>
      </c>
      <c r="P49">
        <f t="shared" si="32"/>
        <v>460.8831499444068</v>
      </c>
      <c r="Q49">
        <f t="shared" si="33"/>
        <v>28997.724668089071</v>
      </c>
      <c r="R49">
        <f t="shared" si="34"/>
        <v>186.07555943093632</v>
      </c>
      <c r="S49">
        <f t="shared" si="35"/>
        <v>602.55635556128379</v>
      </c>
    </row>
    <row r="50" spans="2:19">
      <c r="B50">
        <f t="shared" si="18"/>
        <v>19.170953833837547</v>
      </c>
      <c r="C50">
        <f t="shared" si="19"/>
        <v>0.68275715924679226</v>
      </c>
      <c r="D50">
        <f t="shared" si="20"/>
        <v>5.8074272609991766</v>
      </c>
      <c r="E50">
        <f t="shared" si="21"/>
        <v>5.1940142792597253E-5</v>
      </c>
      <c r="F50">
        <f t="shared" si="22"/>
        <v>0.4007474798638373</v>
      </c>
      <c r="G50">
        <f t="shared" si="23"/>
        <v>0.37785899565950187</v>
      </c>
      <c r="H50">
        <f t="shared" si="24"/>
        <v>68.2720006246156</v>
      </c>
      <c r="I50">
        <f t="shared" si="25"/>
        <v>1.6951942519660654E-5</v>
      </c>
      <c r="J50">
        <f t="shared" si="26"/>
        <v>38.39167334901434</v>
      </c>
      <c r="K50">
        <f t="shared" si="27"/>
        <v>1.3037012632219958E-3</v>
      </c>
      <c r="L50">
        <f t="shared" si="28"/>
        <v>34.053583539486581</v>
      </c>
      <c r="M50">
        <f t="shared" si="29"/>
        <v>38.407287257215998</v>
      </c>
      <c r="N50">
        <f t="shared" si="30"/>
        <v>307.48662195120437</v>
      </c>
      <c r="O50">
        <f t="shared" si="31"/>
        <v>37426.299326779539</v>
      </c>
      <c r="P50">
        <f t="shared" si="32"/>
        <v>460.8831499444068</v>
      </c>
      <c r="Q50">
        <f t="shared" si="33"/>
        <v>28997.724668089071</v>
      </c>
      <c r="R50">
        <f t="shared" si="34"/>
        <v>186.07555943093632</v>
      </c>
      <c r="S50">
        <f t="shared" si="35"/>
        <v>602.55635556128379</v>
      </c>
    </row>
    <row r="51" spans="2:19">
      <c r="B51">
        <f t="shared" si="18"/>
        <v>19.170953833837547</v>
      </c>
      <c r="C51">
        <f t="shared" si="19"/>
        <v>0.68275715924679226</v>
      </c>
      <c r="D51">
        <f t="shared" si="20"/>
        <v>5.8074272609991766</v>
      </c>
      <c r="E51">
        <f t="shared" si="21"/>
        <v>5.1940142792597253E-5</v>
      </c>
      <c r="F51">
        <f t="shared" si="22"/>
        <v>0.4007474798638373</v>
      </c>
      <c r="G51">
        <f t="shared" si="23"/>
        <v>0.37785899565950187</v>
      </c>
      <c r="H51">
        <f t="shared" si="24"/>
        <v>68.2720006246156</v>
      </c>
      <c r="I51">
        <f t="shared" si="25"/>
        <v>1.6951942519660654E-5</v>
      </c>
      <c r="J51">
        <f t="shared" si="26"/>
        <v>38.39167334901434</v>
      </c>
      <c r="K51">
        <f t="shared" si="27"/>
        <v>1.3037012632219958E-3</v>
      </c>
      <c r="L51">
        <f t="shared" si="28"/>
        <v>34.053583539486581</v>
      </c>
      <c r="M51">
        <f t="shared" si="29"/>
        <v>38.407287257215998</v>
      </c>
      <c r="N51">
        <f t="shared" si="30"/>
        <v>307.48662195120437</v>
      </c>
      <c r="O51">
        <f t="shared" si="31"/>
        <v>37426.299326779539</v>
      </c>
      <c r="P51">
        <f t="shared" si="32"/>
        <v>460.8831499444068</v>
      </c>
      <c r="Q51">
        <f t="shared" si="33"/>
        <v>28997.724668089071</v>
      </c>
      <c r="R51">
        <f t="shared" si="34"/>
        <v>186.07555943093632</v>
      </c>
      <c r="S51">
        <f t="shared" si="35"/>
        <v>602.55635556128379</v>
      </c>
    </row>
    <row r="52" spans="2:19">
      <c r="B52">
        <f t="shared" si="18"/>
        <v>19.170953833837547</v>
      </c>
      <c r="C52">
        <f t="shared" si="19"/>
        <v>0.68275715924679226</v>
      </c>
      <c r="D52">
        <f t="shared" si="20"/>
        <v>5.8074272609991766</v>
      </c>
      <c r="E52">
        <f t="shared" si="21"/>
        <v>5.1940142792597253E-5</v>
      </c>
      <c r="F52">
        <f t="shared" si="22"/>
        <v>0.4007474798638373</v>
      </c>
      <c r="G52">
        <f t="shared" si="23"/>
        <v>0.37785899565950187</v>
      </c>
      <c r="H52">
        <f t="shared" si="24"/>
        <v>68.2720006246156</v>
      </c>
      <c r="I52">
        <f t="shared" si="25"/>
        <v>1.6951942519660654E-5</v>
      </c>
      <c r="J52">
        <f t="shared" si="26"/>
        <v>38.39167334901434</v>
      </c>
      <c r="K52">
        <f t="shared" si="27"/>
        <v>1.3037012632219958E-3</v>
      </c>
      <c r="L52">
        <f t="shared" si="28"/>
        <v>34.053583539486581</v>
      </c>
      <c r="M52">
        <f t="shared" si="29"/>
        <v>38.407287257215998</v>
      </c>
      <c r="N52">
        <f t="shared" si="30"/>
        <v>307.48662195120437</v>
      </c>
      <c r="O52">
        <f t="shared" si="31"/>
        <v>37426.299326779539</v>
      </c>
      <c r="P52">
        <f t="shared" si="32"/>
        <v>460.8831499444068</v>
      </c>
      <c r="Q52">
        <f t="shared" si="33"/>
        <v>28997.724668089071</v>
      </c>
      <c r="R52">
        <f t="shared" si="34"/>
        <v>186.07555943093632</v>
      </c>
      <c r="S52">
        <f t="shared" si="35"/>
        <v>602.55635556128379</v>
      </c>
    </row>
    <row r="53" spans="2:19">
      <c r="B53">
        <f t="shared" si="18"/>
        <v>19.170953833837547</v>
      </c>
      <c r="C53">
        <f t="shared" si="19"/>
        <v>0.68275715924679226</v>
      </c>
      <c r="D53">
        <f t="shared" si="20"/>
        <v>5.8074272609991766</v>
      </c>
      <c r="E53">
        <f t="shared" si="21"/>
        <v>5.1940142792597253E-5</v>
      </c>
      <c r="F53">
        <f t="shared" si="22"/>
        <v>0.4007474798638373</v>
      </c>
      <c r="G53">
        <f t="shared" si="23"/>
        <v>0.37785899565950187</v>
      </c>
      <c r="H53">
        <f t="shared" si="24"/>
        <v>68.2720006246156</v>
      </c>
      <c r="I53">
        <f t="shared" si="25"/>
        <v>1.6951942519660654E-5</v>
      </c>
      <c r="J53">
        <f t="shared" si="26"/>
        <v>38.39167334901434</v>
      </c>
      <c r="K53">
        <f t="shared" si="27"/>
        <v>1.3037012632219958E-3</v>
      </c>
      <c r="L53">
        <f t="shared" si="28"/>
        <v>34.053583539486581</v>
      </c>
      <c r="M53">
        <f t="shared" si="29"/>
        <v>38.407287257215998</v>
      </c>
      <c r="N53">
        <f t="shared" si="30"/>
        <v>307.48662195120437</v>
      </c>
      <c r="O53">
        <f t="shared" si="31"/>
        <v>37426.299326779539</v>
      </c>
      <c r="P53">
        <f t="shared" si="32"/>
        <v>460.8831499444068</v>
      </c>
      <c r="Q53">
        <f t="shared" si="33"/>
        <v>28997.724668089071</v>
      </c>
      <c r="R53">
        <f t="shared" si="34"/>
        <v>186.07555943093632</v>
      </c>
      <c r="S53">
        <f t="shared" si="35"/>
        <v>602.55635556128379</v>
      </c>
    </row>
    <row r="54" spans="2:19">
      <c r="B54">
        <f t="shared" si="18"/>
        <v>19.170953833837547</v>
      </c>
      <c r="C54">
        <f t="shared" si="19"/>
        <v>0.68275715924679226</v>
      </c>
      <c r="D54">
        <f t="shared" si="20"/>
        <v>5.8074272609991766</v>
      </c>
      <c r="E54">
        <f t="shared" si="21"/>
        <v>5.1940142792597253E-5</v>
      </c>
      <c r="F54">
        <f t="shared" si="22"/>
        <v>0.4007474798638373</v>
      </c>
      <c r="G54">
        <f t="shared" si="23"/>
        <v>0.37785899565950187</v>
      </c>
      <c r="H54">
        <f t="shared" si="24"/>
        <v>68.2720006246156</v>
      </c>
      <c r="I54">
        <f t="shared" si="25"/>
        <v>1.6951942519660654E-5</v>
      </c>
      <c r="J54">
        <f t="shared" si="26"/>
        <v>38.39167334901434</v>
      </c>
      <c r="K54">
        <f t="shared" si="27"/>
        <v>1.3037012632219958E-3</v>
      </c>
      <c r="L54">
        <f t="shared" si="28"/>
        <v>34.053583539486581</v>
      </c>
      <c r="M54">
        <f t="shared" si="29"/>
        <v>38.407287257215998</v>
      </c>
      <c r="N54">
        <f t="shared" si="30"/>
        <v>307.48662195120437</v>
      </c>
      <c r="O54">
        <f t="shared" si="31"/>
        <v>37426.299326779539</v>
      </c>
      <c r="P54">
        <f t="shared" si="32"/>
        <v>460.8831499444068</v>
      </c>
      <c r="Q54">
        <f t="shared" si="33"/>
        <v>28997.724668089071</v>
      </c>
      <c r="R54">
        <f t="shared" si="34"/>
        <v>186.07555943093632</v>
      </c>
      <c r="S54">
        <f t="shared" si="35"/>
        <v>602.55635556128379</v>
      </c>
    </row>
    <row r="55" spans="2:19">
      <c r="B55">
        <f t="shared" si="18"/>
        <v>19.170953833837547</v>
      </c>
      <c r="C55">
        <f t="shared" si="19"/>
        <v>0.68275715924679226</v>
      </c>
      <c r="D55">
        <f t="shared" si="20"/>
        <v>5.8074272609991766</v>
      </c>
      <c r="E55">
        <f t="shared" si="21"/>
        <v>5.1940142792597253E-5</v>
      </c>
      <c r="F55">
        <f t="shared" si="22"/>
        <v>0.4007474798638373</v>
      </c>
      <c r="G55">
        <f t="shared" si="23"/>
        <v>0.37785899565950187</v>
      </c>
      <c r="H55">
        <f t="shared" si="24"/>
        <v>68.2720006246156</v>
      </c>
      <c r="I55">
        <f t="shared" si="25"/>
        <v>1.6951942519660654E-5</v>
      </c>
      <c r="J55">
        <f t="shared" si="26"/>
        <v>38.39167334901434</v>
      </c>
      <c r="K55">
        <f t="shared" si="27"/>
        <v>1.3037012632219958E-3</v>
      </c>
      <c r="L55">
        <f t="shared" si="28"/>
        <v>34.053583539486581</v>
      </c>
      <c r="M55">
        <f t="shared" si="29"/>
        <v>38.407287257215998</v>
      </c>
      <c r="N55">
        <f t="shared" si="30"/>
        <v>307.48662195120437</v>
      </c>
      <c r="O55">
        <f t="shared" si="31"/>
        <v>37426.299326779539</v>
      </c>
      <c r="P55">
        <f t="shared" si="32"/>
        <v>460.8831499444068</v>
      </c>
      <c r="Q55">
        <f t="shared" si="33"/>
        <v>28997.724668089071</v>
      </c>
      <c r="R55">
        <f t="shared" si="34"/>
        <v>186.07555943093632</v>
      </c>
      <c r="S55">
        <f t="shared" si="35"/>
        <v>602.55635556128379</v>
      </c>
    </row>
    <row r="56" spans="2:19">
      <c r="B56">
        <f t="shared" si="18"/>
        <v>19.170953833837547</v>
      </c>
      <c r="C56">
        <f t="shared" si="19"/>
        <v>0.68275715924679226</v>
      </c>
      <c r="D56">
        <f t="shared" si="20"/>
        <v>5.8074272609991766</v>
      </c>
      <c r="E56">
        <f t="shared" si="21"/>
        <v>5.1940142792597253E-5</v>
      </c>
      <c r="F56">
        <f t="shared" si="22"/>
        <v>0.4007474798638373</v>
      </c>
      <c r="G56">
        <f t="shared" si="23"/>
        <v>0.37785899565950187</v>
      </c>
      <c r="H56">
        <f t="shared" si="24"/>
        <v>68.2720006246156</v>
      </c>
      <c r="I56">
        <f t="shared" si="25"/>
        <v>1.6951942519660654E-5</v>
      </c>
      <c r="J56">
        <f t="shared" si="26"/>
        <v>38.39167334901434</v>
      </c>
      <c r="K56">
        <f t="shared" si="27"/>
        <v>1.3037012632219958E-3</v>
      </c>
      <c r="L56">
        <f t="shared" si="28"/>
        <v>34.053583539486581</v>
      </c>
      <c r="M56">
        <f t="shared" si="29"/>
        <v>38.407287257215998</v>
      </c>
      <c r="N56">
        <f t="shared" si="30"/>
        <v>307.48662195120437</v>
      </c>
      <c r="O56">
        <f t="shared" si="31"/>
        <v>37426.299326779539</v>
      </c>
      <c r="P56">
        <f t="shared" si="32"/>
        <v>460.8831499444068</v>
      </c>
      <c r="Q56">
        <f t="shared" si="33"/>
        <v>28997.724668089071</v>
      </c>
      <c r="R56">
        <f t="shared" si="34"/>
        <v>186.07555943093632</v>
      </c>
      <c r="S56">
        <f t="shared" si="35"/>
        <v>602.55635556128379</v>
      </c>
    </row>
    <row r="57" spans="2:19">
      <c r="B57">
        <f t="shared" si="18"/>
        <v>19.170953833837547</v>
      </c>
      <c r="C57">
        <f t="shared" si="19"/>
        <v>0.68275715924679226</v>
      </c>
      <c r="D57">
        <f t="shared" si="20"/>
        <v>5.8074272609991766</v>
      </c>
      <c r="E57">
        <f t="shared" si="21"/>
        <v>5.1940142792597253E-5</v>
      </c>
      <c r="F57">
        <f t="shared" si="22"/>
        <v>0.4007474798638373</v>
      </c>
      <c r="G57">
        <f t="shared" si="23"/>
        <v>0.37785899565950187</v>
      </c>
      <c r="H57">
        <f t="shared" si="24"/>
        <v>68.2720006246156</v>
      </c>
      <c r="I57">
        <f t="shared" si="25"/>
        <v>1.6951942519660654E-5</v>
      </c>
      <c r="J57">
        <f t="shared" si="26"/>
        <v>38.39167334901434</v>
      </c>
      <c r="K57">
        <f t="shared" si="27"/>
        <v>1.3037012632219958E-3</v>
      </c>
      <c r="L57">
        <f t="shared" si="28"/>
        <v>34.053583539486581</v>
      </c>
      <c r="M57">
        <f t="shared" si="29"/>
        <v>38.407287257215998</v>
      </c>
      <c r="N57">
        <f t="shared" si="30"/>
        <v>307.48662195120437</v>
      </c>
      <c r="O57">
        <f t="shared" si="31"/>
        <v>37426.299326779539</v>
      </c>
      <c r="P57">
        <f t="shared" si="32"/>
        <v>460.8831499444068</v>
      </c>
      <c r="Q57">
        <f t="shared" si="33"/>
        <v>28997.724668089071</v>
      </c>
      <c r="R57">
        <f t="shared" si="34"/>
        <v>186.07555943093632</v>
      </c>
      <c r="S57">
        <f t="shared" si="35"/>
        <v>602.55635556128379</v>
      </c>
    </row>
    <row r="58" spans="2:19">
      <c r="B58">
        <f t="shared" si="18"/>
        <v>19.170953833837547</v>
      </c>
      <c r="C58">
        <f t="shared" si="19"/>
        <v>0.68275715924679226</v>
      </c>
      <c r="D58">
        <f t="shared" si="20"/>
        <v>5.8074272609991766</v>
      </c>
      <c r="E58">
        <f t="shared" si="21"/>
        <v>5.1940142792597253E-5</v>
      </c>
      <c r="F58">
        <f t="shared" si="22"/>
        <v>0.4007474798638373</v>
      </c>
      <c r="G58">
        <f t="shared" si="23"/>
        <v>0.37785899565950187</v>
      </c>
      <c r="H58">
        <f t="shared" si="24"/>
        <v>68.2720006246156</v>
      </c>
      <c r="I58">
        <f t="shared" si="25"/>
        <v>1.6951942519660654E-5</v>
      </c>
      <c r="J58">
        <f t="shared" si="26"/>
        <v>38.39167334901434</v>
      </c>
      <c r="K58">
        <f t="shared" si="27"/>
        <v>1.3037012632219958E-3</v>
      </c>
      <c r="L58">
        <f t="shared" si="28"/>
        <v>34.053583539486581</v>
      </c>
      <c r="M58">
        <f t="shared" si="29"/>
        <v>38.407287257215998</v>
      </c>
      <c r="N58">
        <f t="shared" si="30"/>
        <v>307.48662195120437</v>
      </c>
      <c r="O58">
        <f t="shared" si="31"/>
        <v>37426.299326779539</v>
      </c>
      <c r="P58">
        <f t="shared" si="32"/>
        <v>460.8831499444068</v>
      </c>
      <c r="Q58">
        <f t="shared" si="33"/>
        <v>28997.724668089071</v>
      </c>
      <c r="R58">
        <f t="shared" si="34"/>
        <v>186.07555943093632</v>
      </c>
      <c r="S58">
        <f t="shared" si="35"/>
        <v>602.55635556128379</v>
      </c>
    </row>
    <row r="59" spans="2:19">
      <c r="B59">
        <f t="shared" si="18"/>
        <v>19.170953833837547</v>
      </c>
      <c r="C59">
        <f t="shared" si="19"/>
        <v>0.68275715924679226</v>
      </c>
      <c r="D59">
        <f t="shared" si="20"/>
        <v>5.8074272609991766</v>
      </c>
      <c r="E59">
        <f t="shared" si="21"/>
        <v>5.1940142792597253E-5</v>
      </c>
      <c r="F59">
        <f t="shared" si="22"/>
        <v>0.4007474798638373</v>
      </c>
      <c r="G59">
        <f t="shared" si="23"/>
        <v>0.37785899565950187</v>
      </c>
      <c r="H59">
        <f t="shared" si="24"/>
        <v>68.2720006246156</v>
      </c>
      <c r="I59">
        <f t="shared" si="25"/>
        <v>1.6951942519660654E-5</v>
      </c>
      <c r="J59">
        <f t="shared" si="26"/>
        <v>38.39167334901434</v>
      </c>
      <c r="K59">
        <f t="shared" si="27"/>
        <v>1.3037012632219958E-3</v>
      </c>
      <c r="L59">
        <f t="shared" si="28"/>
        <v>34.053583539486581</v>
      </c>
      <c r="M59">
        <f t="shared" si="29"/>
        <v>38.407287257215998</v>
      </c>
      <c r="N59">
        <f t="shared" si="30"/>
        <v>307.48662195120437</v>
      </c>
      <c r="O59">
        <f t="shared" si="31"/>
        <v>37426.299326779539</v>
      </c>
      <c r="P59">
        <f t="shared" si="32"/>
        <v>460.8831499444068</v>
      </c>
      <c r="Q59">
        <f t="shared" si="33"/>
        <v>28997.724668089071</v>
      </c>
      <c r="R59">
        <f t="shared" si="34"/>
        <v>186.07555943093632</v>
      </c>
      <c r="S59">
        <f t="shared" si="35"/>
        <v>602.55635556128379</v>
      </c>
    </row>
  </sheetData>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8:BF222"/>
  <sheetViews>
    <sheetView showGridLines="0" zoomScale="90" zoomScaleNormal="90" workbookViewId="0">
      <selection activeCell="A115" sqref="A115"/>
    </sheetView>
  </sheetViews>
  <sheetFormatPr defaultColWidth="11" defaultRowHeight="15.6"/>
  <cols>
    <col min="1" max="1" width="11" style="13"/>
    <col min="2" max="19" width="10.69921875" style="13" customWidth="1"/>
    <col min="20" max="20" width="14.19921875" style="13" bestFit="1" customWidth="1"/>
    <col min="21" max="21" width="11.69921875" style="13" bestFit="1" customWidth="1"/>
    <col min="22" max="24" width="11" style="13"/>
    <col min="25" max="25" width="11.69921875" style="13" customWidth="1"/>
    <col min="26" max="26" width="11.69921875" style="13" bestFit="1" customWidth="1"/>
    <col min="27" max="29" width="11" style="13"/>
    <col min="30" max="30" width="15" style="13" customWidth="1"/>
    <col min="31" max="36" width="11" style="13"/>
    <col min="37" max="37" width="13.19921875" style="13" customWidth="1"/>
    <col min="38" max="39" width="12" style="13" customWidth="1"/>
    <col min="40" max="40" width="13.19921875" style="13" customWidth="1"/>
    <col min="41" max="43" width="12" style="13" customWidth="1"/>
    <col min="44" max="45" width="11" style="13"/>
    <col min="46" max="48" width="11.69921875" style="13" bestFit="1" customWidth="1"/>
    <col min="49" max="49" width="14.19921875" style="13" bestFit="1" customWidth="1"/>
    <col min="50" max="51" width="11" style="13"/>
    <col min="52" max="52" width="14.19921875" style="13" bestFit="1" customWidth="1"/>
    <col min="53" max="53" width="11.69921875" style="13" bestFit="1" customWidth="1"/>
    <col min="54" max="54" width="11.69921875" style="13" customWidth="1"/>
    <col min="55" max="16384" width="11" style="13"/>
  </cols>
  <sheetData>
    <row r="18" spans="5:6">
      <c r="E18" s="196"/>
    </row>
    <row r="19" spans="5:6">
      <c r="E19" s="196"/>
    </row>
    <row r="20" spans="5:6">
      <c r="E20" s="196"/>
    </row>
    <row r="21" spans="5:6">
      <c r="E21" s="196"/>
    </row>
    <row r="22" spans="5:6">
      <c r="E22" s="196"/>
    </row>
    <row r="23" spans="5:6">
      <c r="E23" s="196"/>
    </row>
    <row r="24" spans="5:6">
      <c r="E24" s="196"/>
    </row>
    <row r="25" spans="5:6">
      <c r="E25" s="196"/>
    </row>
    <row r="26" spans="5:6">
      <c r="E26" s="196"/>
    </row>
    <row r="27" spans="5:6">
      <c r="E27" s="196"/>
    </row>
    <row r="28" spans="5:6">
      <c r="E28" s="196"/>
      <c r="F28" s="196"/>
    </row>
    <row r="29" spans="5:6">
      <c r="E29" s="196"/>
      <c r="F29" s="196"/>
    </row>
    <row r="30" spans="5:6">
      <c r="E30" s="196"/>
      <c r="F30" s="196"/>
    </row>
    <row r="31" spans="5:6">
      <c r="E31" s="196"/>
      <c r="F31" s="196"/>
    </row>
    <row r="32" spans="5:6">
      <c r="E32" s="196"/>
      <c r="F32" s="196"/>
    </row>
    <row r="33" spans="1:22">
      <c r="E33" s="196"/>
      <c r="F33" s="196"/>
    </row>
    <row r="34" spans="1:22">
      <c r="E34" s="196"/>
      <c r="F34" s="196"/>
    </row>
    <row r="35" spans="1:22">
      <c r="E35" s="196"/>
      <c r="F35" s="196"/>
    </row>
    <row r="36" spans="1:22" s="197" customFormat="1">
      <c r="E36" s="198"/>
      <c r="F36" s="198"/>
    </row>
    <row r="37" spans="1:22" s="85" customFormat="1">
      <c r="A37" s="85" t="s">
        <v>13</v>
      </c>
      <c r="B37" s="85" t="s">
        <v>14</v>
      </c>
      <c r="C37" s="85" t="s">
        <v>157</v>
      </c>
      <c r="D37" s="85" t="s">
        <v>153</v>
      </c>
      <c r="E37" s="85" t="s">
        <v>154</v>
      </c>
      <c r="G37" s="192" t="s">
        <v>155</v>
      </c>
      <c r="H37" s="85" t="s">
        <v>156</v>
      </c>
      <c r="I37" s="86" t="s">
        <v>201</v>
      </c>
      <c r="J37" s="85" t="s">
        <v>0</v>
      </c>
      <c r="K37" s="324" t="s">
        <v>202</v>
      </c>
      <c r="L37" s="324"/>
      <c r="M37" s="324"/>
      <c r="N37" s="324"/>
      <c r="O37" s="324"/>
      <c r="P37" s="325" t="s">
        <v>203</v>
      </c>
      <c r="Q37" s="325"/>
      <c r="R37" s="325"/>
      <c r="S37" s="325"/>
      <c r="T37" s="325"/>
    </row>
    <row r="38" spans="1:22" s="85" customFormat="1">
      <c r="G38" s="192"/>
      <c r="I38" s="86"/>
      <c r="K38" s="191"/>
      <c r="L38" s="191"/>
      <c r="M38" s="191"/>
      <c r="N38" s="191"/>
      <c r="O38" s="191"/>
      <c r="P38" s="192"/>
      <c r="Q38" s="192"/>
      <c r="R38" s="192"/>
      <c r="S38" s="192"/>
      <c r="T38" s="192"/>
    </row>
    <row r="39" spans="1:22" s="197" customFormat="1">
      <c r="G39" s="199"/>
      <c r="I39" s="200"/>
      <c r="K39" s="201"/>
      <c r="L39" s="201"/>
      <c r="M39" s="201"/>
      <c r="N39" s="201"/>
      <c r="O39" s="201"/>
      <c r="P39" s="199"/>
      <c r="Q39" s="199"/>
      <c r="R39" s="199"/>
      <c r="S39" s="199"/>
      <c r="T39" s="199"/>
    </row>
    <row r="40" spans="1:22" s="197" customFormat="1">
      <c r="G40" s="199"/>
      <c r="I40" s="200"/>
      <c r="K40" s="201"/>
      <c r="L40" s="201"/>
      <c r="M40" s="201"/>
      <c r="N40" s="201"/>
      <c r="O40" s="201"/>
      <c r="P40" s="199"/>
      <c r="Q40" s="199"/>
      <c r="R40" s="199"/>
      <c r="S40" s="199"/>
      <c r="T40" s="199"/>
    </row>
    <row r="41" spans="1:22" s="197" customFormat="1">
      <c r="G41" s="199"/>
      <c r="I41" s="200"/>
      <c r="K41" s="201"/>
      <c r="L41" s="201"/>
      <c r="M41" s="201"/>
      <c r="N41" s="201"/>
      <c r="O41" s="201"/>
      <c r="P41" s="199"/>
      <c r="Q41" s="199"/>
      <c r="R41" s="199"/>
      <c r="S41" s="199"/>
      <c r="T41" s="199"/>
    </row>
    <row r="42" spans="1:22" s="197" customFormat="1">
      <c r="G42" s="199"/>
      <c r="I42" s="200"/>
      <c r="K42" s="201"/>
      <c r="L42" s="201"/>
      <c r="M42" s="201"/>
      <c r="N42" s="201"/>
      <c r="O42" s="201"/>
      <c r="P42" s="199"/>
      <c r="Q42" s="199"/>
      <c r="R42" s="199"/>
      <c r="S42" s="199"/>
      <c r="T42" s="199"/>
    </row>
    <row r="43" spans="1:22" s="197" customFormat="1">
      <c r="G43" s="199"/>
      <c r="I43" s="200"/>
      <c r="K43" s="201"/>
      <c r="L43" s="201"/>
      <c r="M43" s="201"/>
      <c r="N43" s="201"/>
      <c r="O43" s="201"/>
      <c r="P43" s="199"/>
      <c r="Q43" s="199"/>
      <c r="R43" s="199"/>
      <c r="S43" s="199"/>
      <c r="T43" s="199"/>
    </row>
    <row r="44" spans="1:22" s="197" customFormat="1">
      <c r="G44" s="199"/>
      <c r="I44" s="200"/>
      <c r="K44" s="201"/>
      <c r="L44" s="201"/>
      <c r="M44" s="201"/>
      <c r="N44" s="201"/>
      <c r="O44" s="201"/>
      <c r="P44" s="199"/>
      <c r="Q44" s="199"/>
      <c r="R44" s="199"/>
      <c r="S44" s="199"/>
      <c r="T44" s="199"/>
    </row>
    <row r="45" spans="1:22" s="197" customFormat="1">
      <c r="G45" s="199"/>
      <c r="I45" s="200"/>
      <c r="K45" s="201"/>
      <c r="L45" s="201"/>
      <c r="M45" s="201"/>
      <c r="N45" s="201"/>
      <c r="O45" s="201"/>
      <c r="P45" s="199"/>
      <c r="Q45" s="199"/>
      <c r="R45" s="199"/>
      <c r="S45" s="199"/>
      <c r="T45" s="199"/>
    </row>
    <row r="46" spans="1:22" s="197" customFormat="1">
      <c r="G46" s="199"/>
      <c r="I46" s="200"/>
      <c r="K46" s="201"/>
      <c r="L46" s="201"/>
      <c r="M46" s="201"/>
      <c r="N46" s="201"/>
      <c r="O46" s="201"/>
      <c r="P46" s="201"/>
      <c r="Q46" s="201"/>
      <c r="R46" s="199"/>
      <c r="S46" s="199"/>
      <c r="T46" s="199"/>
      <c r="U46" s="199"/>
      <c r="V46" s="199"/>
    </row>
    <row r="47" spans="1:22" s="197" customFormat="1">
      <c r="G47" s="199"/>
      <c r="I47" s="200"/>
      <c r="K47" s="201"/>
      <c r="L47" s="201"/>
      <c r="M47" s="201"/>
      <c r="N47" s="201"/>
      <c r="O47" s="201"/>
      <c r="P47" s="201"/>
      <c r="Q47" s="201"/>
      <c r="R47" s="199"/>
      <c r="S47" s="199"/>
      <c r="T47" s="199"/>
      <c r="U47" s="199"/>
      <c r="V47" s="199"/>
    </row>
    <row r="48" spans="1:22" s="197" customFormat="1">
      <c r="G48" s="199"/>
      <c r="I48" s="200"/>
      <c r="K48" s="201"/>
      <c r="L48" s="201"/>
      <c r="M48" s="201"/>
      <c r="N48" s="201"/>
      <c r="O48" s="201"/>
      <c r="P48" s="201"/>
      <c r="Q48" s="201"/>
      <c r="R48" s="199"/>
      <c r="S48" s="199"/>
      <c r="T48" s="199"/>
      <c r="U48" s="199"/>
      <c r="V48" s="199"/>
    </row>
    <row r="49" spans="6:31" s="197" customFormat="1">
      <c r="G49" s="199"/>
      <c r="I49" s="200"/>
      <c r="K49" s="201"/>
      <c r="L49" s="201"/>
      <c r="M49" s="201"/>
      <c r="N49" s="201"/>
      <c r="O49" s="201"/>
      <c r="P49" s="201"/>
      <c r="Q49" s="201"/>
      <c r="R49" s="199"/>
      <c r="S49" s="199"/>
      <c r="T49" s="199"/>
      <c r="U49" s="199"/>
      <c r="V49" s="199"/>
    </row>
    <row r="50" spans="6:31" s="197" customFormat="1">
      <c r="F50" s="199"/>
      <c r="H50" s="200"/>
      <c r="J50" s="201"/>
      <c r="K50" s="201"/>
      <c r="L50" s="201"/>
      <c r="M50" s="201"/>
      <c r="N50" s="201"/>
      <c r="O50" s="201"/>
      <c r="P50" s="201"/>
      <c r="Q50" s="199"/>
      <c r="R50" s="199"/>
      <c r="S50" s="199"/>
      <c r="T50" s="199"/>
      <c r="U50" s="199"/>
    </row>
    <row r="51" spans="6:31" s="197" customFormat="1">
      <c r="G51" s="199"/>
      <c r="I51" s="200"/>
      <c r="K51" s="201"/>
      <c r="L51" s="201"/>
      <c r="M51" s="201"/>
      <c r="N51" s="201"/>
      <c r="O51" s="201"/>
      <c r="P51" s="201"/>
      <c r="Q51" s="201"/>
      <c r="R51" s="199"/>
      <c r="S51" s="199"/>
      <c r="T51" s="199"/>
      <c r="U51" s="199"/>
      <c r="V51" s="199"/>
    </row>
    <row r="52" spans="6:31" s="197" customFormat="1">
      <c r="G52" s="199"/>
      <c r="I52" s="200"/>
      <c r="K52" s="201"/>
      <c r="L52" s="201"/>
      <c r="M52" s="201"/>
      <c r="N52" s="201"/>
      <c r="O52" s="201"/>
      <c r="P52" s="201"/>
      <c r="Q52" s="201"/>
      <c r="R52" s="199"/>
      <c r="S52" s="199"/>
      <c r="T52" s="199"/>
      <c r="U52" s="199"/>
      <c r="V52" s="199"/>
    </row>
    <row r="53" spans="6:31" s="197" customFormat="1">
      <c r="G53" s="199"/>
      <c r="I53" s="200"/>
      <c r="K53" s="201"/>
      <c r="L53" s="201"/>
      <c r="M53" s="201"/>
      <c r="N53" s="201"/>
      <c r="O53" s="201"/>
      <c r="P53" s="201"/>
      <c r="Q53" s="201"/>
      <c r="R53" s="199"/>
      <c r="S53" s="199"/>
      <c r="T53" s="199"/>
      <c r="U53" s="199"/>
      <c r="V53" s="199"/>
    </row>
    <row r="54" spans="6:31" s="197" customFormat="1">
      <c r="G54" s="199"/>
      <c r="I54" s="200"/>
      <c r="K54" s="201"/>
      <c r="L54" s="201"/>
      <c r="M54" s="201"/>
      <c r="N54" s="201"/>
      <c r="O54" s="201"/>
      <c r="P54" s="201"/>
      <c r="Q54" s="201"/>
      <c r="R54" s="199"/>
      <c r="S54" s="199"/>
      <c r="T54" s="199"/>
      <c r="U54" s="199"/>
      <c r="V54" s="199"/>
    </row>
    <row r="55" spans="6:31" s="197" customFormat="1">
      <c r="G55" s="199"/>
      <c r="M55" s="200"/>
      <c r="N55" s="200"/>
      <c r="O55" s="200"/>
      <c r="Q55" s="201"/>
      <c r="R55" s="201"/>
      <c r="S55" s="201"/>
      <c r="T55" s="201"/>
      <c r="U55" s="201"/>
      <c r="V55" s="201"/>
      <c r="W55" s="199"/>
      <c r="X55" s="199"/>
      <c r="Y55" s="199"/>
      <c r="Z55" s="199"/>
      <c r="AA55" s="199"/>
      <c r="AB55" s="199"/>
      <c r="AC55" s="199"/>
      <c r="AD55" s="199"/>
      <c r="AE55" s="199"/>
    </row>
    <row r="56" spans="6:31" s="197" customFormat="1">
      <c r="G56" s="199"/>
      <c r="M56" s="200"/>
      <c r="N56" s="200"/>
      <c r="O56" s="200"/>
      <c r="Q56" s="201"/>
      <c r="R56" s="201"/>
      <c r="S56" s="201"/>
      <c r="T56" s="201"/>
      <c r="U56" s="201"/>
      <c r="V56" s="201"/>
      <c r="W56" s="199"/>
      <c r="X56" s="199"/>
      <c r="Y56" s="199"/>
      <c r="Z56" s="199"/>
      <c r="AA56" s="199"/>
      <c r="AB56" s="199"/>
      <c r="AC56" s="199"/>
      <c r="AD56" s="199"/>
      <c r="AE56" s="199"/>
    </row>
    <row r="57" spans="6:31" s="197" customFormat="1">
      <c r="G57" s="199"/>
      <c r="M57" s="200"/>
      <c r="N57" s="200"/>
      <c r="O57" s="200"/>
      <c r="Q57" s="201"/>
      <c r="R57" s="201"/>
      <c r="S57" s="201"/>
      <c r="T57" s="201"/>
      <c r="U57" s="201"/>
      <c r="V57" s="201"/>
      <c r="W57" s="199"/>
      <c r="X57" s="199"/>
      <c r="Y57" s="199"/>
      <c r="Z57" s="199"/>
      <c r="AA57" s="199"/>
      <c r="AB57" s="199"/>
      <c r="AC57" s="199"/>
      <c r="AD57" s="199"/>
      <c r="AE57" s="199"/>
    </row>
    <row r="58" spans="6:31" s="197" customFormat="1">
      <c r="G58" s="199"/>
      <c r="M58" s="200"/>
      <c r="N58" s="200"/>
      <c r="O58" s="200"/>
      <c r="Q58" s="201"/>
      <c r="R58" s="201"/>
      <c r="S58" s="201"/>
      <c r="T58" s="201"/>
      <c r="U58" s="201"/>
      <c r="V58" s="201"/>
      <c r="W58" s="199"/>
      <c r="X58" s="199"/>
      <c r="Y58" s="199"/>
      <c r="Z58" s="199"/>
      <c r="AA58" s="199"/>
      <c r="AB58" s="199"/>
      <c r="AC58" s="199"/>
      <c r="AD58" s="199"/>
      <c r="AE58" s="199"/>
    </row>
    <row r="59" spans="6:31" s="197" customFormat="1">
      <c r="G59" s="199"/>
      <c r="M59" s="200"/>
      <c r="N59" s="200"/>
      <c r="O59" s="200"/>
      <c r="Q59" s="201"/>
      <c r="R59" s="201"/>
      <c r="S59" s="201"/>
      <c r="T59" s="201"/>
      <c r="U59" s="201"/>
      <c r="V59" s="201"/>
      <c r="W59" s="199"/>
      <c r="X59" s="199"/>
      <c r="Y59" s="199"/>
      <c r="Z59" s="199"/>
      <c r="AA59" s="199"/>
      <c r="AB59" s="199"/>
      <c r="AC59" s="199"/>
      <c r="AD59" s="199"/>
      <c r="AE59" s="199"/>
    </row>
    <row r="60" spans="6:31" s="197" customFormat="1">
      <c r="G60" s="199"/>
      <c r="M60" s="200"/>
      <c r="N60" s="200"/>
      <c r="O60" s="200"/>
      <c r="Q60" s="201"/>
      <c r="R60" s="201"/>
      <c r="S60" s="201"/>
      <c r="T60" s="201"/>
      <c r="U60" s="201"/>
      <c r="V60" s="201"/>
      <c r="W60" s="199"/>
      <c r="X60" s="199"/>
      <c r="Y60" s="199"/>
      <c r="Z60" s="199"/>
      <c r="AA60" s="199"/>
      <c r="AB60" s="199"/>
      <c r="AC60" s="199"/>
      <c r="AD60" s="199"/>
      <c r="AE60" s="199"/>
    </row>
    <row r="61" spans="6:31" s="197" customFormat="1">
      <c r="G61" s="199"/>
      <c r="M61" s="200"/>
      <c r="N61" s="200"/>
      <c r="O61" s="200"/>
      <c r="Q61" s="201"/>
      <c r="R61" s="201"/>
      <c r="S61" s="201"/>
      <c r="T61" s="201"/>
      <c r="U61" s="201"/>
      <c r="V61" s="201"/>
      <c r="W61" s="199"/>
      <c r="X61" s="199"/>
      <c r="Y61" s="199"/>
      <c r="Z61" s="199"/>
      <c r="AA61" s="199"/>
      <c r="AB61" s="199"/>
      <c r="AC61" s="199"/>
      <c r="AD61" s="199"/>
      <c r="AE61" s="199"/>
    </row>
    <row r="62" spans="6:31" s="197" customFormat="1">
      <c r="G62" s="199"/>
      <c r="M62" s="200"/>
      <c r="N62" s="200"/>
      <c r="O62" s="200"/>
      <c r="Q62" s="201"/>
      <c r="R62" s="201"/>
      <c r="S62" s="201"/>
      <c r="T62" s="201"/>
      <c r="U62" s="201"/>
      <c r="V62" s="201"/>
      <c r="W62" s="199"/>
      <c r="X62" s="199"/>
      <c r="Y62" s="199"/>
      <c r="Z62" s="199"/>
      <c r="AA62" s="199"/>
      <c r="AB62" s="199"/>
      <c r="AC62" s="199"/>
      <c r="AD62" s="199"/>
      <c r="AE62" s="199"/>
    </row>
    <row r="63" spans="6:31" s="197" customFormat="1">
      <c r="G63" s="199"/>
      <c r="M63" s="200"/>
      <c r="N63" s="200"/>
      <c r="O63" s="200"/>
      <c r="Q63" s="201"/>
      <c r="R63" s="201"/>
      <c r="S63" s="201"/>
      <c r="T63" s="201"/>
      <c r="U63" s="201"/>
      <c r="V63" s="201"/>
      <c r="W63" s="199"/>
      <c r="X63" s="199"/>
      <c r="Y63" s="199"/>
      <c r="Z63" s="199"/>
      <c r="AA63" s="199"/>
      <c r="AB63" s="199"/>
      <c r="AC63" s="199"/>
      <c r="AD63" s="199"/>
      <c r="AE63" s="199"/>
    </row>
    <row r="64" spans="6:31" s="197" customFormat="1">
      <c r="G64" s="199"/>
      <c r="M64" s="200"/>
      <c r="N64" s="200"/>
      <c r="O64" s="200"/>
      <c r="Q64" s="201"/>
      <c r="R64" s="201"/>
      <c r="S64" s="201"/>
      <c r="T64" s="201"/>
      <c r="U64" s="201"/>
      <c r="V64" s="201"/>
      <c r="W64" s="199"/>
      <c r="X64" s="199"/>
      <c r="Y64" s="199"/>
      <c r="Z64" s="199"/>
      <c r="AA64" s="199"/>
      <c r="AB64" s="199"/>
      <c r="AC64" s="199"/>
      <c r="AD64" s="199"/>
      <c r="AE64" s="199"/>
    </row>
    <row r="65" spans="7:31" s="197" customFormat="1">
      <c r="G65" s="199"/>
      <c r="M65" s="200"/>
      <c r="N65" s="200"/>
      <c r="O65" s="200"/>
      <c r="Q65" s="201"/>
      <c r="R65" s="201"/>
      <c r="S65" s="201"/>
      <c r="T65" s="201"/>
      <c r="U65" s="201"/>
      <c r="V65" s="201"/>
      <c r="W65" s="199"/>
      <c r="X65" s="199"/>
      <c r="Y65" s="199"/>
      <c r="Z65" s="199"/>
      <c r="AA65" s="199"/>
      <c r="AB65" s="199"/>
      <c r="AC65" s="199"/>
      <c r="AD65" s="199"/>
      <c r="AE65" s="199"/>
    </row>
    <row r="66" spans="7:31" s="197" customFormat="1">
      <c r="G66" s="199"/>
      <c r="M66" s="200"/>
      <c r="N66" s="200"/>
      <c r="O66" s="200"/>
      <c r="Q66" s="201"/>
      <c r="R66" s="201"/>
      <c r="S66" s="201"/>
      <c r="T66" s="201"/>
      <c r="U66" s="201"/>
      <c r="V66" s="201"/>
      <c r="W66" s="199"/>
      <c r="X66" s="199"/>
      <c r="Y66" s="199"/>
      <c r="Z66" s="199"/>
      <c r="AA66" s="199"/>
      <c r="AB66" s="199"/>
      <c r="AC66" s="199"/>
      <c r="AD66" s="199"/>
      <c r="AE66" s="199"/>
    </row>
    <row r="67" spans="7:31" s="197" customFormat="1">
      <c r="G67" s="199"/>
      <c r="M67" s="200"/>
      <c r="N67" s="200"/>
      <c r="O67" s="200"/>
      <c r="Q67" s="201"/>
      <c r="R67" s="201"/>
      <c r="S67" s="201"/>
      <c r="T67" s="201"/>
      <c r="U67" s="201"/>
      <c r="V67" s="201"/>
      <c r="W67" s="199"/>
      <c r="X67" s="199"/>
      <c r="Y67" s="199"/>
      <c r="Z67" s="199"/>
      <c r="AA67" s="199"/>
      <c r="AB67" s="199"/>
      <c r="AC67" s="199"/>
      <c r="AD67" s="199"/>
      <c r="AE67" s="199"/>
    </row>
    <row r="68" spans="7:31" s="197" customFormat="1">
      <c r="G68" s="199"/>
      <c r="M68" s="200"/>
      <c r="N68" s="200"/>
      <c r="O68" s="200"/>
      <c r="Q68" s="201"/>
      <c r="R68" s="201"/>
      <c r="S68" s="201"/>
      <c r="T68" s="201"/>
      <c r="U68" s="201"/>
      <c r="V68" s="201"/>
      <c r="W68" s="199"/>
      <c r="X68" s="199"/>
      <c r="Y68" s="199"/>
      <c r="Z68" s="199"/>
      <c r="AA68" s="199"/>
      <c r="AB68" s="199"/>
      <c r="AC68" s="199"/>
      <c r="AD68" s="199"/>
      <c r="AE68" s="199"/>
    </row>
    <row r="69" spans="7:31" s="197" customFormat="1">
      <c r="G69" s="199"/>
      <c r="M69" s="200"/>
      <c r="N69" s="200"/>
      <c r="O69" s="200"/>
      <c r="Q69" s="201"/>
      <c r="R69" s="201"/>
      <c r="S69" s="201"/>
      <c r="T69" s="201"/>
      <c r="U69" s="201"/>
      <c r="V69" s="201"/>
      <c r="W69" s="199"/>
      <c r="X69" s="199"/>
      <c r="Y69" s="199"/>
      <c r="Z69" s="199"/>
      <c r="AA69" s="199"/>
      <c r="AB69" s="199"/>
      <c r="AC69" s="199"/>
      <c r="AD69" s="199"/>
      <c r="AE69" s="199"/>
    </row>
    <row r="70" spans="7:31" s="197" customFormat="1">
      <c r="G70" s="199"/>
      <c r="M70" s="200"/>
      <c r="N70" s="200"/>
      <c r="O70" s="200"/>
      <c r="Q70" s="201"/>
      <c r="R70" s="201"/>
      <c r="S70" s="201"/>
      <c r="T70" s="201"/>
      <c r="U70" s="201"/>
      <c r="V70" s="201"/>
      <c r="W70" s="199"/>
      <c r="X70" s="199"/>
      <c r="Y70" s="199"/>
      <c r="Z70" s="199"/>
      <c r="AA70" s="199"/>
      <c r="AB70" s="199"/>
      <c r="AC70" s="199"/>
      <c r="AD70" s="199"/>
      <c r="AE70" s="199"/>
    </row>
    <row r="71" spans="7:31" s="197" customFormat="1">
      <c r="G71" s="199"/>
      <c r="M71" s="200"/>
      <c r="N71" s="200"/>
      <c r="O71" s="200"/>
      <c r="Q71" s="201"/>
      <c r="R71" s="201"/>
      <c r="S71" s="201"/>
      <c r="T71" s="201"/>
      <c r="U71" s="201"/>
      <c r="V71" s="201"/>
      <c r="W71" s="199"/>
      <c r="X71" s="199"/>
      <c r="Y71" s="199"/>
      <c r="Z71" s="199"/>
      <c r="AA71" s="199"/>
      <c r="AB71" s="199"/>
      <c r="AC71" s="199"/>
      <c r="AD71" s="199"/>
      <c r="AE71" s="199"/>
    </row>
    <row r="72" spans="7:31" s="197" customFormat="1">
      <c r="G72" s="199"/>
      <c r="M72" s="200"/>
      <c r="N72" s="200"/>
      <c r="O72" s="200"/>
      <c r="Q72" s="201"/>
      <c r="R72" s="201"/>
      <c r="S72" s="201"/>
      <c r="T72" s="201"/>
      <c r="U72" s="201"/>
      <c r="V72" s="201"/>
      <c r="W72" s="199"/>
      <c r="X72" s="199"/>
      <c r="Y72" s="199"/>
      <c r="Z72" s="199"/>
      <c r="AA72" s="199"/>
      <c r="AB72" s="199"/>
      <c r="AC72" s="199"/>
      <c r="AD72" s="199"/>
      <c r="AE72" s="199"/>
    </row>
    <row r="73" spans="7:31" s="197" customFormat="1">
      <c r="G73" s="199"/>
      <c r="M73" s="200"/>
      <c r="N73" s="200"/>
      <c r="O73" s="200"/>
      <c r="Q73" s="201"/>
      <c r="R73" s="201"/>
      <c r="S73" s="201"/>
      <c r="T73" s="201"/>
      <c r="U73" s="201"/>
      <c r="V73" s="201"/>
      <c r="W73" s="199"/>
      <c r="X73" s="199"/>
      <c r="Y73" s="199"/>
      <c r="Z73" s="199"/>
      <c r="AA73" s="199"/>
      <c r="AB73" s="199"/>
      <c r="AC73" s="199"/>
      <c r="AD73" s="199"/>
      <c r="AE73" s="199"/>
    </row>
    <row r="74" spans="7:31" s="197" customFormat="1">
      <c r="G74" s="199"/>
      <c r="M74" s="200"/>
      <c r="N74" s="200"/>
      <c r="O74" s="200"/>
      <c r="Q74" s="201"/>
      <c r="R74" s="201"/>
      <c r="S74" s="201"/>
      <c r="T74" s="201"/>
      <c r="U74" s="201"/>
      <c r="V74" s="201"/>
      <c r="W74" s="199"/>
      <c r="X74" s="199"/>
      <c r="Y74" s="199"/>
      <c r="Z74" s="199"/>
      <c r="AA74" s="199"/>
      <c r="AB74" s="199"/>
      <c r="AC74" s="199"/>
      <c r="AD74" s="199"/>
      <c r="AE74" s="199"/>
    </row>
    <row r="75" spans="7:31" s="197" customFormat="1">
      <c r="G75" s="199"/>
      <c r="M75" s="200"/>
      <c r="N75" s="200"/>
      <c r="O75" s="200"/>
      <c r="Q75" s="201"/>
      <c r="R75" s="201"/>
      <c r="S75" s="201"/>
      <c r="T75" s="201"/>
      <c r="U75" s="201"/>
      <c r="V75" s="201"/>
      <c r="W75" s="199"/>
      <c r="X75" s="199"/>
      <c r="Y75" s="199"/>
      <c r="Z75" s="199"/>
      <c r="AA75" s="199"/>
      <c r="AB75" s="199"/>
      <c r="AC75" s="199"/>
      <c r="AD75" s="199"/>
      <c r="AE75" s="199"/>
    </row>
    <row r="76" spans="7:31" s="197" customFormat="1">
      <c r="G76" s="199"/>
      <c r="M76" s="200"/>
      <c r="N76" s="200"/>
      <c r="O76" s="200"/>
      <c r="Q76" s="201"/>
      <c r="R76" s="201"/>
      <c r="S76" s="201"/>
      <c r="T76" s="201"/>
      <c r="U76" s="201"/>
      <c r="V76" s="201"/>
      <c r="W76" s="199"/>
      <c r="X76" s="199"/>
      <c r="Y76" s="199"/>
      <c r="Z76" s="199"/>
      <c r="AA76" s="199"/>
      <c r="AB76" s="199"/>
      <c r="AC76" s="199"/>
      <c r="AD76" s="199"/>
      <c r="AE76" s="199"/>
    </row>
    <row r="77" spans="7:31" s="197" customFormat="1">
      <c r="G77" s="199"/>
      <c r="M77" s="200"/>
      <c r="N77" s="200"/>
      <c r="O77" s="200"/>
      <c r="Q77" s="201"/>
      <c r="R77" s="201"/>
      <c r="S77" s="201"/>
      <c r="T77" s="201"/>
      <c r="U77" s="201"/>
      <c r="V77" s="201"/>
      <c r="W77" s="199"/>
      <c r="X77" s="199"/>
      <c r="Y77" s="199"/>
      <c r="Z77" s="199"/>
      <c r="AA77" s="199"/>
      <c r="AB77" s="199"/>
      <c r="AC77" s="199"/>
      <c r="AD77" s="199"/>
      <c r="AE77" s="199"/>
    </row>
    <row r="78" spans="7:31" s="197" customFormat="1">
      <c r="G78" s="199"/>
      <c r="M78" s="200"/>
      <c r="N78" s="200"/>
      <c r="O78" s="200"/>
      <c r="Q78" s="201"/>
      <c r="R78" s="201"/>
      <c r="S78" s="201"/>
      <c r="T78" s="201"/>
      <c r="U78" s="201"/>
      <c r="V78" s="201"/>
      <c r="W78" s="199"/>
      <c r="X78" s="199"/>
      <c r="Y78" s="199"/>
      <c r="Z78" s="199"/>
      <c r="AA78" s="199"/>
      <c r="AB78" s="199"/>
      <c r="AC78" s="199"/>
      <c r="AD78" s="199"/>
      <c r="AE78" s="199"/>
    </row>
    <row r="79" spans="7:31" s="197" customFormat="1">
      <c r="G79" s="199"/>
      <c r="M79" s="200"/>
      <c r="N79" s="200"/>
      <c r="O79" s="200"/>
      <c r="Q79" s="201"/>
      <c r="R79" s="201"/>
      <c r="S79" s="201"/>
      <c r="T79" s="201"/>
      <c r="U79" s="201"/>
      <c r="V79" s="201"/>
      <c r="W79" s="199"/>
      <c r="X79" s="199"/>
      <c r="Y79" s="199"/>
      <c r="Z79" s="199"/>
      <c r="AA79" s="199"/>
      <c r="AB79" s="199"/>
      <c r="AC79" s="199"/>
      <c r="AD79" s="199"/>
      <c r="AE79" s="199"/>
    </row>
    <row r="80" spans="7:31" s="197" customFormat="1">
      <c r="G80" s="199"/>
      <c r="M80" s="200"/>
      <c r="N80" s="200"/>
      <c r="O80" s="200"/>
      <c r="Q80" s="201"/>
      <c r="R80" s="201"/>
      <c r="S80" s="201"/>
      <c r="T80" s="201"/>
      <c r="U80" s="201"/>
      <c r="V80" s="201"/>
      <c r="W80" s="199"/>
      <c r="X80" s="199"/>
      <c r="Y80" s="199"/>
      <c r="Z80" s="199"/>
      <c r="AA80" s="199"/>
      <c r="AB80" s="199"/>
      <c r="AC80" s="199"/>
      <c r="AD80" s="199"/>
      <c r="AE80" s="199"/>
    </row>
    <row r="81" spans="1:31" s="197" customFormat="1">
      <c r="G81" s="199"/>
      <c r="M81" s="200"/>
      <c r="N81" s="200"/>
      <c r="O81" s="200"/>
      <c r="Q81" s="201"/>
      <c r="R81" s="201"/>
      <c r="S81" s="201"/>
      <c r="T81" s="201"/>
      <c r="U81" s="201"/>
      <c r="V81" s="201"/>
      <c r="W81" s="199"/>
      <c r="X81" s="199"/>
      <c r="Y81" s="199"/>
      <c r="Z81" s="199"/>
      <c r="AA81" s="199"/>
      <c r="AB81" s="199"/>
      <c r="AC81" s="199"/>
      <c r="AD81" s="199"/>
      <c r="AE81" s="199"/>
    </row>
    <row r="82" spans="1:31" s="197" customFormat="1">
      <c r="G82" s="199"/>
      <c r="M82" s="200"/>
      <c r="N82" s="200"/>
      <c r="O82" s="200"/>
      <c r="Q82" s="201"/>
      <c r="R82" s="201"/>
      <c r="S82" s="201"/>
      <c r="T82" s="201"/>
      <c r="U82" s="201"/>
      <c r="V82" s="201"/>
      <c r="W82" s="199"/>
      <c r="X82" s="199"/>
      <c r="Y82" s="199"/>
      <c r="Z82" s="199"/>
      <c r="AA82" s="199"/>
      <c r="AB82" s="199"/>
      <c r="AC82" s="199"/>
      <c r="AD82" s="199"/>
      <c r="AE82" s="199"/>
    </row>
    <row r="83" spans="1:31" s="197" customFormat="1" ht="23.4" hidden="1">
      <c r="B83" s="202" t="s">
        <v>259</v>
      </c>
      <c r="G83" s="199"/>
      <c r="M83" s="200"/>
      <c r="N83" s="200"/>
      <c r="O83" s="200"/>
      <c r="Q83" s="201"/>
      <c r="R83" s="201"/>
      <c r="S83" s="201"/>
      <c r="T83" s="201"/>
      <c r="U83" s="201"/>
      <c r="V83" s="201"/>
      <c r="W83" s="199"/>
      <c r="X83" s="199"/>
      <c r="Y83" s="199"/>
      <c r="Z83" s="199"/>
      <c r="AA83" s="199"/>
      <c r="AB83" s="199"/>
      <c r="AC83" s="199"/>
      <c r="AD83" s="199"/>
      <c r="AE83" s="199"/>
    </row>
    <row r="84" spans="1:31" s="197" customFormat="1" hidden="1">
      <c r="G84" s="199"/>
      <c r="M84" s="200"/>
      <c r="N84" s="200"/>
      <c r="O84" s="200"/>
      <c r="Q84" s="201"/>
      <c r="R84" s="201"/>
      <c r="S84" s="201"/>
      <c r="T84" s="201"/>
      <c r="U84" s="201"/>
      <c r="V84" s="201"/>
      <c r="W84" s="199"/>
      <c r="X84" s="199"/>
      <c r="Y84" s="199"/>
      <c r="Z84" s="199"/>
      <c r="AA84" s="199"/>
      <c r="AB84" s="199"/>
      <c r="AC84" s="199"/>
      <c r="AD84" s="199"/>
      <c r="AE84" s="199"/>
    </row>
    <row r="85" spans="1:31" s="203" customFormat="1" ht="42" hidden="1" thickBot="1">
      <c r="B85" s="204" t="s">
        <v>251</v>
      </c>
      <c r="C85" s="205" t="s">
        <v>14</v>
      </c>
      <c r="D85" s="205" t="s">
        <v>238</v>
      </c>
      <c r="E85" s="205" t="s">
        <v>210</v>
      </c>
      <c r="F85" s="205" t="s">
        <v>153</v>
      </c>
      <c r="G85" s="205" t="s">
        <v>254</v>
      </c>
      <c r="H85" s="205" t="s">
        <v>239</v>
      </c>
      <c r="I85" s="205" t="s">
        <v>257</v>
      </c>
      <c r="J85" s="205" t="s">
        <v>207</v>
      </c>
      <c r="K85" s="205" t="s">
        <v>209</v>
      </c>
      <c r="L85" s="205" t="s">
        <v>226</v>
      </c>
      <c r="M85" s="205" t="s">
        <v>227</v>
      </c>
      <c r="N85" s="206" t="s">
        <v>2</v>
      </c>
      <c r="O85" s="206" t="s">
        <v>3</v>
      </c>
      <c r="P85" s="206" t="s">
        <v>4</v>
      </c>
      <c r="Q85" s="206" t="s">
        <v>217</v>
      </c>
      <c r="R85" s="206" t="s">
        <v>220</v>
      </c>
      <c r="S85" s="207" t="s">
        <v>0</v>
      </c>
      <c r="T85" s="208"/>
      <c r="U85" s="208"/>
      <c r="V85" s="208"/>
    </row>
    <row r="86" spans="1:31" s="216" customFormat="1" ht="28.2" hidden="1" customHeight="1" thickTop="1" thickBot="1">
      <c r="A86" s="209" t="s">
        <v>251</v>
      </c>
      <c r="B86" s="210">
        <f>correla!B4*correla!B23*correla!B42</f>
        <v>1</v>
      </c>
      <c r="C86" s="211">
        <f>correla!C4*correla!C23*correla!C42</f>
        <v>-0.19074320670965569</v>
      </c>
      <c r="D86" s="212">
        <f>correla!D4*correla!D23*correla!D42</f>
        <v>0.66545647108893891</v>
      </c>
      <c r="E86" s="212">
        <f>correla!E4*correla!E23*correla!E42</f>
        <v>-0.54352059044597589</v>
      </c>
      <c r="F86" s="212">
        <f>correla!F4*correla!F23*correla!F42</f>
        <v>0.56398986401099371</v>
      </c>
      <c r="G86" s="212">
        <f>correla!G4*correla!G23*correla!G42</f>
        <v>0.63773577531252523</v>
      </c>
      <c r="H86" s="212">
        <f>correla!H4*correla!H23*correla!H42</f>
        <v>0.52350002843035737</v>
      </c>
      <c r="I86" s="212">
        <f>correla!I4*correla!I23*correla!I42</f>
        <v>-0.41781209876841524</v>
      </c>
      <c r="J86" s="212">
        <f>correla!J4*correla!J23*correla!J42</f>
        <v>0.35579657138434234</v>
      </c>
      <c r="K86" s="212">
        <f>correla!K4*correla!K23*correla!K42</f>
        <v>0.53878858190057788</v>
      </c>
      <c r="L86" s="212">
        <f>correla!L4*correla!L23*correla!L42</f>
        <v>0.42696031393089734</v>
      </c>
      <c r="M86" s="212">
        <f>correla!M4*correla!M23*correla!M42</f>
        <v>0.40849293116576385</v>
      </c>
      <c r="N86" s="212">
        <f>correla!N4*correla!N23*correla!N42</f>
        <v>0.87386093417064192</v>
      </c>
      <c r="O86" s="212">
        <f>correla!O4*correla!O23*correla!O42</f>
        <v>0.54194858974822369</v>
      </c>
      <c r="P86" s="212">
        <f>correla!P4*correla!P23*correla!P42</f>
        <v>0.61691207961248073</v>
      </c>
      <c r="Q86" s="212">
        <f>correla!Q4*correla!Q23*correla!Q42</f>
        <v>0.41998085995950757</v>
      </c>
      <c r="R86" s="212">
        <f>correla!R4*correla!R23*correla!R42</f>
        <v>0.51389633304203231</v>
      </c>
      <c r="S86" s="213">
        <f>correla!S4*correla!S23*correla!S42</f>
        <v>0.72126154331855952</v>
      </c>
      <c r="T86" s="214"/>
      <c r="U86" s="214"/>
      <c r="V86" s="214"/>
      <c r="W86" s="215"/>
      <c r="X86" s="215"/>
      <c r="Y86" s="215"/>
      <c r="Z86" s="215"/>
      <c r="AA86" s="215"/>
      <c r="AB86" s="215"/>
      <c r="AC86" s="215"/>
      <c r="AD86" s="215"/>
      <c r="AE86" s="215"/>
    </row>
    <row r="87" spans="1:31" s="216" customFormat="1" ht="28.2" hidden="1" customHeight="1" thickBot="1">
      <c r="A87" s="217" t="s">
        <v>14</v>
      </c>
      <c r="B87" s="218">
        <f>correla!B5*correla!B24*correla!B43</f>
        <v>-0.19074320670965569</v>
      </c>
      <c r="C87" s="210">
        <f>correla!C5*correla!C24*correla!C43</f>
        <v>0.99999999999999978</v>
      </c>
      <c r="D87" s="219">
        <f>correla!D5*correla!D24*correla!D43</f>
        <v>-0.34155417021380058</v>
      </c>
      <c r="E87" s="220">
        <f>correla!E5*correla!E24*correla!E43</f>
        <v>0.24312215717031269</v>
      </c>
      <c r="F87" s="220">
        <f>correla!F5*correla!F24*correla!F43</f>
        <v>-0.42532790028470541</v>
      </c>
      <c r="G87" s="220">
        <f>correla!G5*correla!G24*correla!G43</f>
        <v>-0.40864802294806291</v>
      </c>
      <c r="H87" s="220">
        <f>correla!H5*correla!H24*correla!H43</f>
        <v>-0.30992118499129673</v>
      </c>
      <c r="I87" s="220">
        <f>correla!I5*correla!I24*correla!I43</f>
        <v>9.6658904048692859E-2</v>
      </c>
      <c r="J87" s="220">
        <f>correla!J5*correla!J24*correla!J43</f>
        <v>-0.11367785081349759</v>
      </c>
      <c r="K87" s="220">
        <f>correla!K5*correla!K24*correla!K43</f>
        <v>-0.29703876321902822</v>
      </c>
      <c r="L87" s="220">
        <f>correla!L5*correla!L24*correla!L43</f>
        <v>-0.16175124445014652</v>
      </c>
      <c r="M87" s="220">
        <f>correla!M5*correla!M24*correla!M43</f>
        <v>-0.12050938518803889</v>
      </c>
      <c r="N87" s="220">
        <f>correla!N5*correla!N24*correla!N43</f>
        <v>-0.30650123839278787</v>
      </c>
      <c r="O87" s="220">
        <f>correla!O5*correla!O24*correla!O43</f>
        <v>-0.23699416814404559</v>
      </c>
      <c r="P87" s="220">
        <f>correla!P5*correla!P24*correla!P43</f>
        <v>-0.39723187250772574</v>
      </c>
      <c r="Q87" s="220">
        <f>correla!Q5*correla!Q24*correla!Q43</f>
        <v>-9.5666445243402481E-2</v>
      </c>
      <c r="R87" s="220">
        <f>correla!R5*correla!R24*correla!R43</f>
        <v>-0.25038808240617227</v>
      </c>
      <c r="S87" s="221">
        <f>correla!S5*correla!S24*correla!S43</f>
        <v>-0.35080458868928388</v>
      </c>
      <c r="T87" s="214"/>
      <c r="U87" s="214"/>
      <c r="V87" s="214"/>
      <c r="W87" s="215"/>
      <c r="X87" s="215"/>
      <c r="Y87" s="215"/>
      <c r="Z87" s="215"/>
      <c r="AA87" s="215"/>
      <c r="AB87" s="215"/>
      <c r="AC87" s="215"/>
      <c r="AD87" s="215"/>
      <c r="AE87" s="215"/>
    </row>
    <row r="88" spans="1:31" s="216" customFormat="1" ht="28.2" hidden="1" customHeight="1" thickBot="1">
      <c r="A88" s="217" t="s">
        <v>238</v>
      </c>
      <c r="B88" s="222">
        <f>correla!B6*correla!B25*correla!B44</f>
        <v>0.66545647108893891</v>
      </c>
      <c r="C88" s="223">
        <f>correla!C6*correla!C25*correla!C44</f>
        <v>-0.34155417021380058</v>
      </c>
      <c r="D88" s="210">
        <f>correla!D6*correla!D25*correla!D44</f>
        <v>0.99999999999999989</v>
      </c>
      <c r="E88" s="219">
        <f>correla!E6*correla!E25*correla!E44</f>
        <v>-0.77911831953781863</v>
      </c>
      <c r="F88" s="220">
        <f>correla!F6*correla!F25*correla!F44</f>
        <v>0.9205604321371077</v>
      </c>
      <c r="G88" s="220">
        <f>correla!G6*correla!G25*correla!G44</f>
        <v>0.89453409392124417</v>
      </c>
      <c r="H88" s="220">
        <f>correla!H6*correla!H25*correla!H44</f>
        <v>0.77153955161635435</v>
      </c>
      <c r="I88" s="220">
        <f>correla!I6*correla!I25*correla!I44</f>
        <v>-0.70791824349192412</v>
      </c>
      <c r="J88" s="220">
        <f>correla!J6*correla!J25*correla!J44</f>
        <v>0.506217932493088</v>
      </c>
      <c r="K88" s="220">
        <f>correla!K6*correla!K25*correla!K44</f>
        <v>0.69537550327997599</v>
      </c>
      <c r="L88" s="220">
        <f>correla!L6*correla!L25*correla!L44</f>
        <v>0.60123258560545967</v>
      </c>
      <c r="M88" s="220">
        <f>correla!M6*correla!M25*correla!M44</f>
        <v>0.56981879229551635</v>
      </c>
      <c r="N88" s="220">
        <f>correla!N6*correla!N25*correla!N44</f>
        <v>0.94441597459364179</v>
      </c>
      <c r="O88" s="220">
        <f>correla!O6*correla!O25*correla!O44</f>
        <v>0.77834714543211947</v>
      </c>
      <c r="P88" s="220">
        <f>correla!P6*correla!P25*correla!P44</f>
        <v>0.90655928451992152</v>
      </c>
      <c r="Q88" s="220">
        <f>correla!Q6*correla!Q25*correla!Q44</f>
        <v>0.71234740780849104</v>
      </c>
      <c r="R88" s="220">
        <f>correla!R6*correla!R25*correla!R44</f>
        <v>0.68191961312653493</v>
      </c>
      <c r="S88" s="221">
        <f>correla!S6*correla!S25*correla!S44</f>
        <v>0.93222906683924456</v>
      </c>
      <c r="T88" s="214"/>
      <c r="U88" s="214"/>
      <c r="V88" s="214"/>
      <c r="W88" s="215"/>
      <c r="X88" s="215"/>
      <c r="Y88" s="215"/>
      <c r="Z88" s="215"/>
      <c r="AA88" s="215"/>
      <c r="AB88" s="215"/>
      <c r="AC88" s="215"/>
      <c r="AD88" s="215"/>
      <c r="AE88" s="215"/>
    </row>
    <row r="89" spans="1:31" s="216" customFormat="1" ht="28.2" hidden="1" customHeight="1" thickBot="1">
      <c r="A89" s="217" t="s">
        <v>210</v>
      </c>
      <c r="B89" s="222">
        <f>correla!B7*correla!B26*correla!B45</f>
        <v>-0.54352059044597589</v>
      </c>
      <c r="C89" s="220">
        <f>correla!C7*correla!C26*correla!C45</f>
        <v>0.24312215717031271</v>
      </c>
      <c r="D89" s="223">
        <f>correla!D7*correla!D26*correla!D45</f>
        <v>-0.77911831953781852</v>
      </c>
      <c r="E89" s="210">
        <f>correla!E7*correla!E26*correla!E45</f>
        <v>0.99999999999999978</v>
      </c>
      <c r="F89" s="219">
        <f>correla!F7*correla!F26*correla!F45</f>
        <v>-0.8189769794689219</v>
      </c>
      <c r="G89" s="220">
        <f>correla!G7*correla!G26*correla!G45</f>
        <v>-0.84511278667421263</v>
      </c>
      <c r="H89" s="220">
        <f>correla!H7*correla!H26*correla!H45</f>
        <v>-0.61838652024748353</v>
      </c>
      <c r="I89" s="220">
        <f>correla!I7*correla!I26*correla!I45</f>
        <v>0.84811290398360228</v>
      </c>
      <c r="J89" s="220">
        <f>correla!J7*correla!J26*correla!J45</f>
        <v>-0.37567904786838258</v>
      </c>
      <c r="K89" s="220">
        <f>correla!K7*correla!K26*correla!K45</f>
        <v>-0.52115245652291242</v>
      </c>
      <c r="L89" s="220">
        <f>correla!L7*correla!L26*correla!L45</f>
        <v>-0.42575847921567078</v>
      </c>
      <c r="M89" s="220">
        <f>correla!M7*correla!M26*correla!M45</f>
        <v>-0.39751819349298162</v>
      </c>
      <c r="N89" s="220">
        <f>correla!N7*correla!N26*correla!N45</f>
        <v>-0.74870322154526625</v>
      </c>
      <c r="O89" s="220">
        <f>correla!O7*correla!O26*correla!O45</f>
        <v>-1.0040952570009414</v>
      </c>
      <c r="P89" s="220">
        <f>correla!P7*correla!P26*correla!P45</f>
        <v>-0.80004721647134203</v>
      </c>
      <c r="Q89" s="220">
        <f>correla!Q7*correla!Q26*correla!Q45</f>
        <v>-0.85458017335514946</v>
      </c>
      <c r="R89" s="220">
        <f>correla!R7*correla!R26*correla!R45</f>
        <v>-0.50343190476640531</v>
      </c>
      <c r="S89" s="221">
        <f>correla!S7*correla!S26*correla!S45</f>
        <v>-0.76756035510458798</v>
      </c>
      <c r="T89" s="214"/>
      <c r="U89" s="214"/>
      <c r="V89" s="214"/>
      <c r="W89" s="215"/>
      <c r="X89" s="215"/>
      <c r="Y89" s="215"/>
      <c r="Z89" s="215"/>
      <c r="AA89" s="215"/>
      <c r="AB89" s="215"/>
      <c r="AC89" s="215"/>
      <c r="AD89" s="215"/>
      <c r="AE89" s="215"/>
    </row>
    <row r="90" spans="1:31" s="216" customFormat="1" ht="28.2" hidden="1" customHeight="1" thickBot="1">
      <c r="A90" s="217" t="s">
        <v>153</v>
      </c>
      <c r="B90" s="222">
        <f>correla!B8*correla!B27*correla!B46</f>
        <v>0.56398986401099371</v>
      </c>
      <c r="C90" s="220">
        <f>correla!C8*correla!C27*correla!C46</f>
        <v>-0.42532790028470541</v>
      </c>
      <c r="D90" s="220">
        <f>correla!D8*correla!D27*correla!D46</f>
        <v>0.9205604321371077</v>
      </c>
      <c r="E90" s="223">
        <f>correla!E8*correla!E27*correla!E46</f>
        <v>-0.8189769794689219</v>
      </c>
      <c r="F90" s="210">
        <f>correla!F8*correla!F27*correla!F46</f>
        <v>1</v>
      </c>
      <c r="G90" s="219">
        <f>correla!G8*correla!G27*correla!G46</f>
        <v>0.97117675585285623</v>
      </c>
      <c r="H90" s="220">
        <f>correla!H8*correla!H27*correla!H46</f>
        <v>0.78668943162885496</v>
      </c>
      <c r="I90" s="220">
        <f>correla!I8*correla!I27*correla!I46</f>
        <v>-0.71853127248323845</v>
      </c>
      <c r="J90" s="220">
        <f>correla!J8*correla!J27*correla!J46</f>
        <v>0.47475103085597692</v>
      </c>
      <c r="K90" s="220">
        <f>correla!K8*correla!K27*correla!K46</f>
        <v>0.69120957838179553</v>
      </c>
      <c r="L90" s="220">
        <f>correla!L8*correla!L27*correla!L46</f>
        <v>0.54996039321874646</v>
      </c>
      <c r="M90" s="220">
        <f>correla!M8*correla!M27*correla!M46</f>
        <v>0.52536032596535331</v>
      </c>
      <c r="N90" s="220">
        <f>correla!N8*correla!N27*correla!N46</f>
        <v>0.84798918931777323</v>
      </c>
      <c r="O90" s="220">
        <f>correla!O8*correla!O27*correla!O46</f>
        <v>0.82269765385593141</v>
      </c>
      <c r="P90" s="220">
        <f>correla!P8*correla!P27*correla!P46</f>
        <v>0.96295505283472715</v>
      </c>
      <c r="Q90" s="220">
        <f>correla!Q8*correla!Q27*correla!Q46</f>
        <v>0.72484289334564889</v>
      </c>
      <c r="R90" s="220">
        <f>correla!R8*correla!R27*correla!R46</f>
        <v>0.66202359730424309</v>
      </c>
      <c r="S90" s="221">
        <f>correla!S8*correla!S27*correla!S46</f>
        <v>0.91506744876805468</v>
      </c>
      <c r="T90" s="214"/>
      <c r="U90" s="214"/>
      <c r="V90" s="214"/>
      <c r="W90" s="215"/>
      <c r="X90" s="215"/>
      <c r="Y90" s="215"/>
      <c r="Z90" s="215"/>
      <c r="AA90" s="215"/>
      <c r="AB90" s="215"/>
      <c r="AC90" s="215"/>
      <c r="AD90" s="215"/>
      <c r="AE90" s="215"/>
    </row>
    <row r="91" spans="1:31" s="216" customFormat="1" ht="28.2" hidden="1" customHeight="1" thickBot="1">
      <c r="A91" s="217" t="s">
        <v>254</v>
      </c>
      <c r="B91" s="222">
        <f>correla!B9*correla!B28*correla!B47</f>
        <v>0.63773577531252523</v>
      </c>
      <c r="C91" s="220">
        <f>correla!C9*correla!C28*correla!C47</f>
        <v>-0.40864802294806291</v>
      </c>
      <c r="D91" s="220">
        <f>correla!D9*correla!D28*correla!D47</f>
        <v>0.89453409392124417</v>
      </c>
      <c r="E91" s="220">
        <f>correla!E9*correla!E28*correla!E47</f>
        <v>-0.84511278667421275</v>
      </c>
      <c r="F91" s="223">
        <f>correla!F9*correla!F28*correla!F47</f>
        <v>0.97117675585285612</v>
      </c>
      <c r="G91" s="210">
        <f>correla!G9*correla!G28*correla!G47</f>
        <v>1</v>
      </c>
      <c r="H91" s="219">
        <f>correla!H9*correla!H28*correla!H47</f>
        <v>0.74849355154414243</v>
      </c>
      <c r="I91" s="220">
        <f>correla!I9*correla!I28*correla!I47</f>
        <v>-0.72380597495201904</v>
      </c>
      <c r="J91" s="220">
        <f>correla!J9*correla!J28*correla!J47</f>
        <v>0.44913531968099374</v>
      </c>
      <c r="K91" s="220">
        <f>correla!K9*correla!K28*correla!K47</f>
        <v>0.66692877802110939</v>
      </c>
      <c r="L91" s="220">
        <f>correla!L9*correla!L28*correla!L47</f>
        <v>0.52096229839690622</v>
      </c>
      <c r="M91" s="220">
        <f>correla!M9*correla!M28*correla!M47</f>
        <v>0.49410019034874647</v>
      </c>
      <c r="N91" s="220">
        <f>correla!N9*correla!N28*correla!N47</f>
        <v>0.86419410535063701</v>
      </c>
      <c r="O91" s="220">
        <f>correla!O9*correla!O28*correla!O47</f>
        <v>0.84697509582086972</v>
      </c>
      <c r="P91" s="220">
        <f>correla!P9*correla!P28*correla!P47</f>
        <v>0.95413160749532089</v>
      </c>
      <c r="Q91" s="220">
        <f>correla!Q9*correla!Q28*correla!Q47</f>
        <v>0.7292907348203681</v>
      </c>
      <c r="R91" s="220">
        <f>correla!R9*correla!R28*correla!R47</f>
        <v>0.63475987502265674</v>
      </c>
      <c r="S91" s="221">
        <f>correla!S9*correla!S28*correla!S47</f>
        <v>0.90700017314751813</v>
      </c>
      <c r="T91" s="214"/>
      <c r="U91" s="214"/>
      <c r="V91" s="214"/>
      <c r="W91" s="215"/>
      <c r="X91" s="215"/>
      <c r="Y91" s="215"/>
      <c r="Z91" s="215"/>
      <c r="AA91" s="215"/>
      <c r="AB91" s="215"/>
      <c r="AC91" s="215"/>
      <c r="AD91" s="215"/>
      <c r="AE91" s="215"/>
    </row>
    <row r="92" spans="1:31" s="216" customFormat="1" ht="28.2" hidden="1" customHeight="1" thickBot="1">
      <c r="A92" s="217" t="s">
        <v>239</v>
      </c>
      <c r="B92" s="222">
        <f>correla!B10*correla!B29*correla!B48</f>
        <v>0.52350002843035737</v>
      </c>
      <c r="C92" s="220">
        <f>correla!C10*correla!C29*correla!C48</f>
        <v>-0.30992118499129673</v>
      </c>
      <c r="D92" s="220">
        <f>correla!D10*correla!D29*correla!D48</f>
        <v>0.77153955161635424</v>
      </c>
      <c r="E92" s="220">
        <f>correla!E10*correla!E29*correla!E48</f>
        <v>-0.61838652024748353</v>
      </c>
      <c r="F92" s="220">
        <f>correla!F10*correla!F29*correla!F48</f>
        <v>0.78668943162885507</v>
      </c>
      <c r="G92" s="223">
        <f>correla!G10*correla!G29*correla!G48</f>
        <v>0.74849355154414243</v>
      </c>
      <c r="H92" s="210">
        <f>correla!H10*correla!H29*correla!H48</f>
        <v>0.99999999999999989</v>
      </c>
      <c r="I92" s="219">
        <f>correla!I10*correla!I29*correla!I48</f>
        <v>-0.6286926973800242</v>
      </c>
      <c r="J92" s="220">
        <f>correla!J10*correla!J29*correla!J48</f>
        <v>0.59211885163502509</v>
      </c>
      <c r="K92" s="220">
        <f>correla!K10*correla!K29*correla!K48</f>
        <v>0.86546692845682194</v>
      </c>
      <c r="L92" s="220">
        <f>correla!L10*correla!L29*correla!L48</f>
        <v>0.67332956800236021</v>
      </c>
      <c r="M92" s="220">
        <f>correla!M10*correla!M29*correla!M48</f>
        <v>0.6615034096348601</v>
      </c>
      <c r="N92" s="220">
        <f>correla!N10*correla!N29*correla!N48</f>
        <v>0.7330926841602291</v>
      </c>
      <c r="O92" s="220">
        <f>correla!O10*correla!O29*correla!O48</f>
        <v>0.62699364480740338</v>
      </c>
      <c r="P92" s="220">
        <f>correla!P10*correla!P29*correla!P48</f>
        <v>0.91057782250933816</v>
      </c>
      <c r="Q92" s="220">
        <f>correla!Q10*correla!Q29*correla!Q48</f>
        <v>0.63699218698730053</v>
      </c>
      <c r="R92" s="220">
        <f>correla!R10*correla!R29*correla!R48</f>
        <v>0.82623709985521854</v>
      </c>
      <c r="S92" s="221">
        <f>correla!S10*correla!S29*correla!S48</f>
        <v>0.90182447735573079</v>
      </c>
      <c r="T92" s="214"/>
      <c r="U92" s="214"/>
      <c r="V92" s="214"/>
      <c r="W92" s="215"/>
      <c r="X92" s="215"/>
      <c r="Y92" s="215"/>
      <c r="Z92" s="215"/>
      <c r="AA92" s="215"/>
      <c r="AB92" s="215"/>
      <c r="AC92" s="215"/>
      <c r="AD92" s="215"/>
      <c r="AE92" s="215"/>
    </row>
    <row r="93" spans="1:31" s="216" customFormat="1" ht="28.2" hidden="1" customHeight="1" thickBot="1">
      <c r="A93" s="217" t="s">
        <v>257</v>
      </c>
      <c r="B93" s="222">
        <f>correla!B11*correla!B30*correla!B49</f>
        <v>-0.41781209876841524</v>
      </c>
      <c r="C93" s="220">
        <f>correla!C11*correla!C30*correla!C49</f>
        <v>9.6658904048692873E-2</v>
      </c>
      <c r="D93" s="220">
        <f>correla!D11*correla!D30*correla!D49</f>
        <v>-0.70791824349192412</v>
      </c>
      <c r="E93" s="220">
        <f>correla!E11*correla!E30*correla!E49</f>
        <v>0.84811290398360228</v>
      </c>
      <c r="F93" s="220">
        <f>correla!F11*correla!F30*correla!F49</f>
        <v>-0.71853127248323845</v>
      </c>
      <c r="G93" s="220">
        <f>correla!G11*correla!G30*correla!G49</f>
        <v>-0.72380597495201904</v>
      </c>
      <c r="H93" s="223">
        <f>correla!H11*correla!H30*correla!H49</f>
        <v>-0.6286926973800242</v>
      </c>
      <c r="I93" s="210">
        <f>correla!I11*correla!I30*correla!I49</f>
        <v>0.99999999999999989</v>
      </c>
      <c r="J93" s="219">
        <f>correla!J11*correla!J30*correla!J49</f>
        <v>-0.44739888618950874</v>
      </c>
      <c r="K93" s="220">
        <f>correla!K11*correla!K30*correla!K49</f>
        <v>-0.53102456249294405</v>
      </c>
      <c r="L93" s="220">
        <f>correla!L11*correla!L30*correla!L49</f>
        <v>-0.51023744421370509</v>
      </c>
      <c r="M93" s="220">
        <f>correla!M11*correla!M30*correla!M49</f>
        <v>-0.48643641682582278</v>
      </c>
      <c r="N93" s="220">
        <f>correla!N11*correla!N30*correla!N49</f>
        <v>-0.64509992975930486</v>
      </c>
      <c r="O93" s="220">
        <f>correla!O11*correla!O30*correla!O49</f>
        <v>-0.86048972625872455</v>
      </c>
      <c r="P93" s="220">
        <f>correla!P11*correla!P30*correla!P49</f>
        <v>-0.73017862581592907</v>
      </c>
      <c r="Q93" s="220">
        <f>correla!Q11*correla!Q30*correla!Q49</f>
        <v>-1.0110387296281855</v>
      </c>
      <c r="R93" s="220">
        <f>correla!R11*correla!R30*correla!R49</f>
        <v>-0.54206815265231845</v>
      </c>
      <c r="S93" s="221">
        <f>correla!S11*correla!S30*correla!S49</f>
        <v>-0.72209603308941128</v>
      </c>
      <c r="T93" s="214"/>
      <c r="U93" s="214"/>
      <c r="V93" s="214"/>
      <c r="W93" s="215"/>
      <c r="X93" s="215"/>
      <c r="Y93" s="215"/>
      <c r="Z93" s="215"/>
      <c r="AA93" s="215"/>
      <c r="AB93" s="215"/>
      <c r="AC93" s="215"/>
      <c r="AD93" s="215"/>
      <c r="AE93" s="215"/>
    </row>
    <row r="94" spans="1:31" s="216" customFormat="1" ht="28.2" hidden="1" customHeight="1" thickBot="1">
      <c r="A94" s="217" t="s">
        <v>207</v>
      </c>
      <c r="B94" s="222">
        <f>correla!B12*correla!B31*correla!B50</f>
        <v>0.3557965713843424</v>
      </c>
      <c r="C94" s="220">
        <f>correla!C12*correla!C31*correla!C50</f>
        <v>-0.11367785081349757</v>
      </c>
      <c r="D94" s="220">
        <f>correla!D12*correla!D31*correla!D50</f>
        <v>0.506217932493088</v>
      </c>
      <c r="E94" s="220">
        <f>correla!E12*correla!E31*correla!E50</f>
        <v>-0.37567904786838258</v>
      </c>
      <c r="F94" s="220">
        <f>correla!F12*correla!F31*correla!F50</f>
        <v>0.47475103085597686</v>
      </c>
      <c r="G94" s="220">
        <f>correla!G12*correla!G31*correla!G50</f>
        <v>0.44913531968099374</v>
      </c>
      <c r="H94" s="220">
        <f>correla!H12*correla!H31*correla!H50</f>
        <v>0.5921188516350252</v>
      </c>
      <c r="I94" s="223">
        <f>correla!I12*correla!I31*correla!I50</f>
        <v>-0.44739888618950874</v>
      </c>
      <c r="J94" s="210">
        <f>correla!J12*correla!J31*correla!J50</f>
        <v>0.99999999999999978</v>
      </c>
      <c r="K94" s="219">
        <f>correla!K12*correla!K31*correla!K50</f>
        <v>0.73233787268975692</v>
      </c>
      <c r="L94" s="220">
        <f>correla!L12*correla!L31*correla!L50</f>
        <v>0.96688253930476242</v>
      </c>
      <c r="M94" s="220">
        <f>correla!M12*correla!M31*correla!M50</f>
        <v>0.9528411825459473</v>
      </c>
      <c r="N94" s="220">
        <f>correla!N12*correla!N31*correla!N50</f>
        <v>0.48304092621387024</v>
      </c>
      <c r="O94" s="220">
        <f>correla!O12*correla!O31*correla!O50</f>
        <v>0.37766145987819405</v>
      </c>
      <c r="P94" s="220">
        <f>correla!P12*correla!P31*correla!P50</f>
        <v>0.54359726779156792</v>
      </c>
      <c r="Q94" s="220">
        <f>correla!Q12*correla!Q31*correla!Q50</f>
        <v>0.45382283589784428</v>
      </c>
      <c r="R94" s="220">
        <f>correla!R12*correla!R31*correla!R50</f>
        <v>0.86750771785015723</v>
      </c>
      <c r="S94" s="221">
        <f>correla!S12*correla!S31*correla!S50</f>
        <v>0.65059906846033821</v>
      </c>
      <c r="T94" s="214"/>
      <c r="U94" s="214"/>
      <c r="V94" s="214"/>
      <c r="W94" s="215"/>
      <c r="X94" s="215"/>
      <c r="Y94" s="215"/>
      <c r="Z94" s="215"/>
      <c r="AA94" s="215"/>
      <c r="AB94" s="215"/>
      <c r="AC94" s="215"/>
      <c r="AD94" s="215"/>
      <c r="AE94" s="215"/>
    </row>
    <row r="95" spans="1:31" s="216" customFormat="1" ht="28.2" hidden="1" customHeight="1" thickBot="1">
      <c r="A95" s="217" t="s">
        <v>209</v>
      </c>
      <c r="B95" s="222">
        <f>correla!B13*correla!B32*correla!B51</f>
        <v>0.53878858190057788</v>
      </c>
      <c r="C95" s="220">
        <f>correla!C13*correla!C32*correla!C51</f>
        <v>-0.29703876321902828</v>
      </c>
      <c r="D95" s="220">
        <f>correla!D13*correla!D32*correla!D51</f>
        <v>0.6953755032799761</v>
      </c>
      <c r="E95" s="220">
        <f>correla!E13*correla!E32*correla!E51</f>
        <v>-0.52115245652291253</v>
      </c>
      <c r="F95" s="220">
        <f>correla!F13*correla!F32*correla!F51</f>
        <v>0.69120957838179564</v>
      </c>
      <c r="G95" s="220">
        <f>correla!G13*correla!G32*correla!G51</f>
        <v>0.66692877802110939</v>
      </c>
      <c r="H95" s="220">
        <f>correla!H13*correla!H32*correla!H51</f>
        <v>0.86546692845682194</v>
      </c>
      <c r="I95" s="220">
        <f>correla!I13*correla!I32*correla!I51</f>
        <v>-0.53102456249294405</v>
      </c>
      <c r="J95" s="223">
        <f>correla!J13*correla!J32*correla!J51</f>
        <v>0.73233787268975703</v>
      </c>
      <c r="K95" s="210">
        <f>correla!K13*correla!K32*correla!K51</f>
        <v>0.99999999999999978</v>
      </c>
      <c r="L95" s="219">
        <f>correla!L13*correla!L32*correla!L51</f>
        <v>0.81938818921430434</v>
      </c>
      <c r="M95" s="220">
        <f>correla!M13*correla!M32*correla!M51</f>
        <v>0.80894222058712939</v>
      </c>
      <c r="N95" s="220">
        <f>correla!N13*correla!N32*correla!N51</f>
        <v>0.69724718336288183</v>
      </c>
      <c r="O95" s="220">
        <f>correla!O13*correla!O32*correla!O51</f>
        <v>0.52793815032974811</v>
      </c>
      <c r="P95" s="220">
        <f>correla!P13*correla!P32*correla!P51</f>
        <v>0.79869203017382417</v>
      </c>
      <c r="Q95" s="220">
        <f>correla!Q13*correla!Q32*correla!Q51</f>
        <v>0.5381170999488053</v>
      </c>
      <c r="R95" s="220">
        <f>correla!R13*correla!R32*correla!R51</f>
        <v>0.97208955400193597</v>
      </c>
      <c r="S95" s="221">
        <f>correla!S13*correla!S32*correla!S51</f>
        <v>0.88122005878032661</v>
      </c>
      <c r="T95" s="214"/>
      <c r="U95" s="214"/>
      <c r="V95" s="214"/>
      <c r="W95" s="215"/>
      <c r="X95" s="215"/>
      <c r="Y95" s="215"/>
      <c r="Z95" s="215"/>
      <c r="AA95" s="215"/>
      <c r="AB95" s="215"/>
      <c r="AC95" s="215"/>
      <c r="AD95" s="215"/>
      <c r="AE95" s="215"/>
    </row>
    <row r="96" spans="1:31" s="216" customFormat="1" ht="28.2" hidden="1" customHeight="1" thickBot="1">
      <c r="A96" s="217" t="s">
        <v>226</v>
      </c>
      <c r="B96" s="222">
        <f>correla!B14*correla!B33*correla!B52</f>
        <v>0.42696031393089734</v>
      </c>
      <c r="C96" s="220">
        <f>correla!C14*correla!C33*correla!C52</f>
        <v>-0.16175124445014652</v>
      </c>
      <c r="D96" s="220">
        <f>correla!D14*correla!D33*correla!D52</f>
        <v>0.60123258560545967</v>
      </c>
      <c r="E96" s="220">
        <f>correla!E14*correla!E33*correla!E52</f>
        <v>-0.42575847921567078</v>
      </c>
      <c r="F96" s="220">
        <f>correla!F14*correla!F33*correla!F52</f>
        <v>0.54996039321874657</v>
      </c>
      <c r="G96" s="220">
        <f>correla!G14*correla!G33*correla!G52</f>
        <v>0.52096229839690622</v>
      </c>
      <c r="H96" s="220">
        <f>correla!H14*correla!H33*correla!H52</f>
        <v>0.6733295680023601</v>
      </c>
      <c r="I96" s="220">
        <f>correla!I14*correla!I33*correla!I52</f>
        <v>-0.51023744421370509</v>
      </c>
      <c r="J96" s="220">
        <f>correla!J14*correla!J33*correla!J52</f>
        <v>0.96688253930476242</v>
      </c>
      <c r="K96" s="223">
        <f>correla!K14*correla!K33*correla!K52</f>
        <v>0.81938818921430434</v>
      </c>
      <c r="L96" s="210">
        <f>correla!L14*correla!L33*correla!L52</f>
        <v>1</v>
      </c>
      <c r="M96" s="219">
        <f>correla!M14*correla!M33*correla!M52</f>
        <v>0.97888643331876435</v>
      </c>
      <c r="N96" s="220">
        <f>correla!N14*correla!N33*correla!N52</f>
        <v>0.57964499803458136</v>
      </c>
      <c r="O96" s="220">
        <f>correla!O14*correla!O33*correla!O52</f>
        <v>0.42913594835808366</v>
      </c>
      <c r="P96" s="220">
        <f>correla!P14*correla!P33*correla!P52</f>
        <v>0.62473004858612902</v>
      </c>
      <c r="Q96" s="220">
        <f>correla!Q14*correla!Q33*correla!Q52</f>
        <v>0.51735523785981685</v>
      </c>
      <c r="R96" s="220">
        <f>correla!R14*correla!R33*correla!R52</f>
        <v>0.92937151728850886</v>
      </c>
      <c r="S96" s="221">
        <f>correla!S14*correla!S33*correla!S52</f>
        <v>0.7411292400571271</v>
      </c>
      <c r="T96" s="214"/>
      <c r="U96" s="214"/>
      <c r="V96" s="214"/>
      <c r="W96" s="215"/>
      <c r="X96" s="215"/>
      <c r="Y96" s="215"/>
      <c r="Z96" s="215"/>
      <c r="AA96" s="215"/>
      <c r="AB96" s="215"/>
      <c r="AC96" s="215"/>
      <c r="AD96" s="215"/>
      <c r="AE96" s="215"/>
    </row>
    <row r="97" spans="1:31" s="216" customFormat="1" ht="28.2" hidden="1" customHeight="1" thickBot="1">
      <c r="A97" s="217" t="s">
        <v>227</v>
      </c>
      <c r="B97" s="222">
        <f>correla!B15*correla!B34*correla!B53</f>
        <v>0.40849293116576385</v>
      </c>
      <c r="C97" s="220">
        <f>correla!C15*correla!C34*correla!C53</f>
        <v>-0.12050938518803887</v>
      </c>
      <c r="D97" s="220">
        <f>correla!D15*correla!D34*correla!D53</f>
        <v>0.56981879229551646</v>
      </c>
      <c r="E97" s="220">
        <f>correla!E15*correla!E34*correla!E53</f>
        <v>-0.39751819349298156</v>
      </c>
      <c r="F97" s="220">
        <f>correla!F15*correla!F34*correla!F53</f>
        <v>0.52536032596535331</v>
      </c>
      <c r="G97" s="220">
        <f>correla!G15*correla!G34*correla!G53</f>
        <v>0.49410019034874647</v>
      </c>
      <c r="H97" s="220">
        <f>correla!H15*correla!H34*correla!H53</f>
        <v>0.66150340963486021</v>
      </c>
      <c r="I97" s="220">
        <f>correla!I15*correla!I34*correla!I53</f>
        <v>-0.48643641682582278</v>
      </c>
      <c r="J97" s="220">
        <f>correla!J15*correla!J34*correla!J53</f>
        <v>0.9528411825459473</v>
      </c>
      <c r="K97" s="220">
        <f>correla!K15*correla!K34*correla!K53</f>
        <v>0.80894222058712939</v>
      </c>
      <c r="L97" s="223">
        <f>correla!L15*correla!L34*correla!L53</f>
        <v>0.97888643331876435</v>
      </c>
      <c r="M97" s="210">
        <f>correla!M15*correla!M34*correla!M53</f>
        <v>1</v>
      </c>
      <c r="N97" s="219">
        <f>correla!N15*correla!N34*correla!N53</f>
        <v>0.54907023831488233</v>
      </c>
      <c r="O97" s="220">
        <f>correla!O15*correla!O34*correla!O53</f>
        <v>0.39987890209985966</v>
      </c>
      <c r="P97" s="220">
        <f>correla!P15*correla!P34*correla!P53</f>
        <v>0.60286994738293243</v>
      </c>
      <c r="Q97" s="220">
        <f>correla!Q15*correla!Q34*correla!Q53</f>
        <v>0.49334666265265614</v>
      </c>
      <c r="R97" s="220">
        <f>correla!R15*correla!R34*correla!R53</f>
        <v>0.91890905124023481</v>
      </c>
      <c r="S97" s="221">
        <f>correla!S15*correla!S34*correla!S53</f>
        <v>0.71519582373336388</v>
      </c>
      <c r="T97" s="214"/>
      <c r="U97" s="214"/>
      <c r="V97" s="214"/>
      <c r="W97" s="215"/>
      <c r="X97" s="215"/>
      <c r="Y97" s="215"/>
      <c r="Z97" s="215"/>
      <c r="AA97" s="215"/>
      <c r="AB97" s="215"/>
      <c r="AC97" s="215"/>
      <c r="AD97" s="215"/>
      <c r="AE97" s="215"/>
    </row>
    <row r="98" spans="1:31" s="216" customFormat="1" ht="28.2" hidden="1" customHeight="1" thickBot="1">
      <c r="A98" s="224" t="s">
        <v>2</v>
      </c>
      <c r="B98" s="222">
        <f>correla!B16*correla!B35*correla!B54</f>
        <v>0.87828490039982698</v>
      </c>
      <c r="C98" s="220">
        <f>correla!C16*correla!C35*correla!C54</f>
        <v>-0.30650123839278787</v>
      </c>
      <c r="D98" s="220">
        <f>correla!D16*correla!D35*correla!D54</f>
        <v>0.9444159745936419</v>
      </c>
      <c r="E98" s="220">
        <f>correla!E16*correla!E35*correla!E54</f>
        <v>-0.74870322154526625</v>
      </c>
      <c r="F98" s="220">
        <f>correla!F16*correla!F35*correla!F54</f>
        <v>0.84798918931777323</v>
      </c>
      <c r="G98" s="220">
        <f>correla!G16*correla!G35*correla!G54</f>
        <v>0.8635173100914646</v>
      </c>
      <c r="H98" s="220">
        <f>correla!H16*correla!H35*correla!H54</f>
        <v>0.7330926841602291</v>
      </c>
      <c r="I98" s="220">
        <f>correla!I16*correla!I35*correla!I54</f>
        <v>-0.64509992975930497</v>
      </c>
      <c r="J98" s="220">
        <f>correla!J16*correla!J35*correla!J54</f>
        <v>0.48641604157461243</v>
      </c>
      <c r="K98" s="220">
        <f>correla!K16*correla!K35*correla!K54</f>
        <v>0.69021890815753417</v>
      </c>
      <c r="L98" s="220">
        <f>correla!L16*correla!L35*correla!L54</f>
        <v>0.57964499803458147</v>
      </c>
      <c r="M98" s="223">
        <f>correla!M16*correla!M35*correla!M54</f>
        <v>0.55104972691580312</v>
      </c>
      <c r="N98" s="210">
        <f>correla!N16*correla!N35*correla!N54</f>
        <v>1</v>
      </c>
      <c r="O98" s="219">
        <f>correla!O16*correla!O35*correla!O54</f>
        <v>0.74564959482182391</v>
      </c>
      <c r="P98" s="220">
        <f>correla!P16*correla!P35*correla!P54</f>
        <v>0.86217773790501095</v>
      </c>
      <c r="Q98" s="220">
        <f>correla!Q16*correla!Q35*correla!Q54</f>
        <v>0.64893987909401951</v>
      </c>
      <c r="R98" s="220">
        <f>correla!R16*correla!R35*correla!R54</f>
        <v>0.67049003484939407</v>
      </c>
      <c r="S98" s="221">
        <f>correla!S16*correla!S35*correla!S54</f>
        <v>0.92485424548553208</v>
      </c>
      <c r="T98" s="214"/>
      <c r="U98" s="214"/>
      <c r="V98" s="214"/>
      <c r="W98" s="215"/>
      <c r="X98" s="215"/>
      <c r="Y98" s="215"/>
      <c r="Z98" s="215"/>
      <c r="AA98" s="215"/>
      <c r="AB98" s="215"/>
      <c r="AC98" s="215"/>
      <c r="AD98" s="215"/>
      <c r="AE98" s="215"/>
    </row>
    <row r="99" spans="1:31" s="216" customFormat="1" ht="28.2" hidden="1" customHeight="1" thickBot="1">
      <c r="A99" s="224" t="s">
        <v>3</v>
      </c>
      <c r="B99" s="222">
        <f>correla!B17*correla!B36*correla!B55</f>
        <v>0.54194858974822369</v>
      </c>
      <c r="C99" s="220">
        <f>correla!C17*correla!C36*correla!C55</f>
        <v>-0.23699416814404559</v>
      </c>
      <c r="D99" s="220">
        <f>correla!D17*correla!D36*correla!D55</f>
        <v>0.77834714543211947</v>
      </c>
      <c r="E99" s="220">
        <f>correla!E17*correla!E36*correla!E55</f>
        <v>-1.0040952570009414</v>
      </c>
      <c r="F99" s="220">
        <f>correla!F17*correla!F36*correla!F55</f>
        <v>0.82269765385593141</v>
      </c>
      <c r="G99" s="220">
        <f>correla!G17*correla!G36*correla!G55</f>
        <v>0.84697509582086972</v>
      </c>
      <c r="H99" s="220">
        <f>correla!H17*correla!H36*correla!H55</f>
        <v>0.62699364480740338</v>
      </c>
      <c r="I99" s="220">
        <f>correla!I17*correla!I36*correla!I55</f>
        <v>-0.86048972625872466</v>
      </c>
      <c r="J99" s="220">
        <f>correla!J17*correla!J36*correla!J55</f>
        <v>0.37766145987819405</v>
      </c>
      <c r="K99" s="220">
        <f>correla!K17*correla!K36*correla!K55</f>
        <v>0.52793815032974822</v>
      </c>
      <c r="L99" s="220">
        <f>correla!L17*correla!L36*correla!L55</f>
        <v>0.42913594835808366</v>
      </c>
      <c r="M99" s="220">
        <f>correla!M17*correla!M36*correla!M55</f>
        <v>0.3998789020998596</v>
      </c>
      <c r="N99" s="223">
        <f>correla!N17*correla!N36*correla!N55</f>
        <v>0.7456495948218238</v>
      </c>
      <c r="O99" s="210">
        <f>correla!O17*correla!O36*correla!O55</f>
        <v>1</v>
      </c>
      <c r="P99" s="219">
        <f>correla!P17*correla!P36*correla!P55</f>
        <v>0.80523008952301101</v>
      </c>
      <c r="Q99" s="220">
        <f>correla!Q17*correla!Q36*correla!Q55</f>
        <v>0.85109472173748923</v>
      </c>
      <c r="R99" s="220">
        <f>correla!R17*correla!R36*correla!R55</f>
        <v>0.50898379621415646</v>
      </c>
      <c r="S99" s="221">
        <f>correla!S17*correla!S36*correla!S55</f>
        <v>0.76442981853848979</v>
      </c>
      <c r="T99" s="214"/>
      <c r="U99" s="214"/>
      <c r="V99" s="214"/>
      <c r="W99" s="215"/>
      <c r="X99" s="215"/>
      <c r="Y99" s="215"/>
      <c r="Z99" s="215"/>
      <c r="AA99" s="215"/>
      <c r="AB99" s="215"/>
      <c r="AC99" s="215"/>
      <c r="AD99" s="215"/>
      <c r="AE99" s="215"/>
    </row>
    <row r="100" spans="1:31" s="216" customFormat="1" ht="28.2" hidden="1" customHeight="1" thickBot="1">
      <c r="A100" s="224" t="s">
        <v>4</v>
      </c>
      <c r="B100" s="222">
        <f>correla!B18*correla!B37*correla!B56</f>
        <v>0.61691207961248073</v>
      </c>
      <c r="C100" s="220">
        <f>correla!C18*correla!C37*correla!C56</f>
        <v>-0.39723187250772568</v>
      </c>
      <c r="D100" s="220">
        <f>correla!D18*correla!D37*correla!D56</f>
        <v>0.9065592845199214</v>
      </c>
      <c r="E100" s="220">
        <f>correla!E18*correla!E37*correla!E56</f>
        <v>-0.80004721647134203</v>
      </c>
      <c r="F100" s="220">
        <f>correla!F18*correla!F37*correla!F56</f>
        <v>0.96295505283472704</v>
      </c>
      <c r="G100" s="220">
        <f>correla!G18*correla!G37*correla!G56</f>
        <v>0.95413160749532078</v>
      </c>
      <c r="H100" s="220">
        <f>correla!H18*correla!H37*correla!H56</f>
        <v>0.91057782250933827</v>
      </c>
      <c r="I100" s="220">
        <f>correla!I18*correla!I37*correla!I56</f>
        <v>-0.73017862581592907</v>
      </c>
      <c r="J100" s="220">
        <f>correla!J18*correla!J37*correla!J56</f>
        <v>0.54359726779156792</v>
      </c>
      <c r="K100" s="220">
        <f>correla!K18*correla!K37*correla!K56</f>
        <v>0.79869203017382417</v>
      </c>
      <c r="L100" s="220">
        <f>correla!L18*correla!L37*correla!L56</f>
        <v>0.62473004858612902</v>
      </c>
      <c r="M100" s="220">
        <f>correla!M18*correla!M37*correla!M56</f>
        <v>0.60286994738293243</v>
      </c>
      <c r="N100" s="220">
        <f>correla!N18*correla!N37*correla!N56</f>
        <v>0.86640190219445401</v>
      </c>
      <c r="O100" s="223">
        <f>correla!O18*correla!O37*correla!O56</f>
        <v>0.80523008952301101</v>
      </c>
      <c r="P100" s="210">
        <f>correla!P18*correla!P37*correla!P56</f>
        <v>1</v>
      </c>
      <c r="Q100" s="219">
        <f>correla!Q18*correla!Q37*correla!Q56</f>
        <v>0.7373671716960537</v>
      </c>
      <c r="R100" s="220">
        <f>correla!R18*correla!R37*correla!R56</f>
        <v>0.76204496176372682</v>
      </c>
      <c r="S100" s="221">
        <f>correla!S18*correla!S37*correla!S56</f>
        <v>0.96574634819684835</v>
      </c>
      <c r="T100" s="214"/>
      <c r="U100" s="214"/>
      <c r="V100" s="214"/>
      <c r="W100" s="215"/>
      <c r="X100" s="215"/>
      <c r="Y100" s="215"/>
      <c r="Z100" s="215"/>
      <c r="AA100" s="215"/>
      <c r="AB100" s="215"/>
      <c r="AC100" s="215"/>
      <c r="AD100" s="215"/>
      <c r="AE100" s="215"/>
    </row>
    <row r="101" spans="1:31" s="216" customFormat="1" ht="28.2" hidden="1" customHeight="1" thickBot="1">
      <c r="A101" s="224" t="s">
        <v>217</v>
      </c>
      <c r="B101" s="222">
        <f>correla!B19*correla!B38*correla!B57</f>
        <v>0.41998085995950751</v>
      </c>
      <c r="C101" s="220">
        <f>correla!C19*correla!C38*correla!C57</f>
        <v>-9.5666445243402481E-2</v>
      </c>
      <c r="D101" s="220">
        <f>correla!D19*correla!D38*correla!D57</f>
        <v>0.71234740780849104</v>
      </c>
      <c r="E101" s="220">
        <f>correla!E19*correla!E38*correla!E57</f>
        <v>-0.85458017335514946</v>
      </c>
      <c r="F101" s="220">
        <f>correla!F19*correla!F38*correla!F57</f>
        <v>0.72484289334564889</v>
      </c>
      <c r="G101" s="220">
        <f>correla!G19*correla!G38*correla!G57</f>
        <v>0.7292907348203681</v>
      </c>
      <c r="H101" s="220">
        <f>correla!H19*correla!H38*correla!H57</f>
        <v>0.63699218698730042</v>
      </c>
      <c r="I101" s="220">
        <f>correla!I19*correla!I38*correla!I57</f>
        <v>-1.0110387296281858</v>
      </c>
      <c r="J101" s="220">
        <f>correla!J19*correla!J38*correla!J57</f>
        <v>0.45382283589784433</v>
      </c>
      <c r="K101" s="220">
        <f>correla!K19*correla!K38*correla!K57</f>
        <v>0.5381170999488053</v>
      </c>
      <c r="L101" s="220">
        <f>correla!L19*correla!L38*correla!L57</f>
        <v>0.51735523785981674</v>
      </c>
      <c r="M101" s="220">
        <f>correla!M19*correla!M38*correla!M57</f>
        <v>0.49334666265265614</v>
      </c>
      <c r="N101" s="220">
        <f>correla!N19*correla!N38*correla!N57</f>
        <v>0.64893987909401962</v>
      </c>
      <c r="O101" s="220">
        <f>correla!O19*correla!O38*correla!O57</f>
        <v>0.85109472173748912</v>
      </c>
      <c r="P101" s="223">
        <f>correla!P19*correla!P38*correla!P57</f>
        <v>0.7373671716960537</v>
      </c>
      <c r="Q101" s="210">
        <f>correla!Q19*correla!Q38*correla!Q57</f>
        <v>1</v>
      </c>
      <c r="R101" s="219">
        <f>correla!R19*correla!R38*correla!R57</f>
        <v>0.54945532225573823</v>
      </c>
      <c r="S101" s="221">
        <f>correla!S19*correla!S38*correla!S57</f>
        <v>0.71421203948830569</v>
      </c>
      <c r="T101" s="214"/>
      <c r="U101" s="214"/>
      <c r="V101" s="214"/>
      <c r="W101" s="215"/>
      <c r="X101" s="215"/>
      <c r="Y101" s="215"/>
      <c r="Z101" s="215"/>
      <c r="AA101" s="215"/>
      <c r="AB101" s="215"/>
      <c r="AC101" s="215"/>
      <c r="AD101" s="215"/>
      <c r="AE101" s="215"/>
    </row>
    <row r="102" spans="1:31" s="216" customFormat="1" ht="28.2" hidden="1" customHeight="1" thickBot="1">
      <c r="A102" s="224" t="s">
        <v>220</v>
      </c>
      <c r="B102" s="222">
        <f>correla!B20*correla!B39*correla!B58</f>
        <v>0.51389633304203231</v>
      </c>
      <c r="C102" s="220">
        <f>correla!C20*correla!C39*correla!C58</f>
        <v>-0.25038808240617227</v>
      </c>
      <c r="D102" s="220">
        <f>correla!D20*correla!D39*correla!D58</f>
        <v>0.68191961312653493</v>
      </c>
      <c r="E102" s="220">
        <f>correla!E20*correla!E39*correla!E58</f>
        <v>-0.50343190476640531</v>
      </c>
      <c r="F102" s="220">
        <f>correla!F20*correla!F39*correla!F58</f>
        <v>0.66202359730424309</v>
      </c>
      <c r="G102" s="220">
        <f>correla!G20*correla!G39*correla!G58</f>
        <v>0.63475987502265674</v>
      </c>
      <c r="H102" s="220">
        <f>correla!H20*correla!H39*correla!H58</f>
        <v>0.82623709985521854</v>
      </c>
      <c r="I102" s="220">
        <f>correla!I20*correla!I39*correla!I58</f>
        <v>-0.54206815265231845</v>
      </c>
      <c r="J102" s="220">
        <f>correla!J20*correla!J39*correla!J58</f>
        <v>0.86750771785015712</v>
      </c>
      <c r="K102" s="220">
        <f>correla!K20*correla!K39*correla!K58</f>
        <v>0.97208955400193586</v>
      </c>
      <c r="L102" s="220">
        <f>correla!L20*correla!L39*correla!L58</f>
        <v>0.92937151728850886</v>
      </c>
      <c r="M102" s="220">
        <f>correla!M20*correla!M39*correla!M58</f>
        <v>0.91890905124023481</v>
      </c>
      <c r="N102" s="220">
        <f>correla!N20*correla!N39*correla!N58</f>
        <v>0.67454635162660714</v>
      </c>
      <c r="O102" s="220">
        <f>correla!O20*correla!O39*correla!O58</f>
        <v>0.50898379621415646</v>
      </c>
      <c r="P102" s="220">
        <f>correla!P20*correla!P39*correla!P58</f>
        <v>0.76204496176372682</v>
      </c>
      <c r="Q102" s="223">
        <f>correla!Q20*correla!Q39*correla!Q58</f>
        <v>0.54945532225573812</v>
      </c>
      <c r="R102" s="210">
        <f>correla!R20*correla!R39*correla!R58</f>
        <v>1</v>
      </c>
      <c r="S102" s="225">
        <f>correla!S20*correla!S39*correla!S58</f>
        <v>0.86090478524832192</v>
      </c>
      <c r="T102" s="214"/>
      <c r="U102" s="214"/>
      <c r="V102" s="214"/>
      <c r="W102" s="215"/>
      <c r="X102" s="215"/>
      <c r="Y102" s="215"/>
      <c r="Z102" s="215"/>
      <c r="AA102" s="215"/>
      <c r="AB102" s="215"/>
      <c r="AC102" s="215"/>
      <c r="AD102" s="215"/>
      <c r="AE102" s="215"/>
    </row>
    <row r="103" spans="1:31" s="216" customFormat="1" ht="28.2" hidden="1" customHeight="1" thickBot="1">
      <c r="A103" s="226" t="s">
        <v>0</v>
      </c>
      <c r="B103" s="227">
        <f>correla!B21*correla!B40*correla!B59</f>
        <v>0.72126154331855963</v>
      </c>
      <c r="C103" s="228">
        <f>correla!C21*correla!C40*correla!C59</f>
        <v>-0.35080458868928388</v>
      </c>
      <c r="D103" s="228">
        <f>correla!D21*correla!D40*correla!D59</f>
        <v>0.93222906683924467</v>
      </c>
      <c r="E103" s="228">
        <f>correla!E21*correla!E40*correla!E59</f>
        <v>-0.76756035510458798</v>
      </c>
      <c r="F103" s="228">
        <f>correla!F21*correla!F40*correla!F59</f>
        <v>0.91506744876805457</v>
      </c>
      <c r="G103" s="228">
        <f>correla!G21*correla!G40*correla!G59</f>
        <v>0.90700017314751802</v>
      </c>
      <c r="H103" s="228">
        <f>correla!H21*correla!H40*correla!H59</f>
        <v>0.90182447735573079</v>
      </c>
      <c r="I103" s="228">
        <f>correla!I21*correla!I40*correla!I59</f>
        <v>-0.72209603308941139</v>
      </c>
      <c r="J103" s="228">
        <f>correla!J21*correla!J40*correla!J59</f>
        <v>0.65059906846033833</v>
      </c>
      <c r="K103" s="228">
        <f>correla!K21*correla!K40*correla!K59</f>
        <v>0.88122005878032661</v>
      </c>
      <c r="L103" s="228">
        <f>correla!L21*correla!L40*correla!L59</f>
        <v>0.74112924005712721</v>
      </c>
      <c r="M103" s="228">
        <f>correla!M21*correla!M40*correla!M59</f>
        <v>0.71519582373336388</v>
      </c>
      <c r="N103" s="228">
        <f>correla!N21*correla!N40*correla!N59</f>
        <v>0.92485424548553208</v>
      </c>
      <c r="O103" s="228">
        <f>correla!O21*correla!O40*correla!O59</f>
        <v>0.76442981853848979</v>
      </c>
      <c r="P103" s="228">
        <f>correla!P21*correla!P40*correla!P59</f>
        <v>0.96574634819684824</v>
      </c>
      <c r="Q103" s="228">
        <f>correla!Q21*correla!Q40*correla!Q59</f>
        <v>0.71421203948830569</v>
      </c>
      <c r="R103" s="229">
        <f>correla!R21*correla!R40*correla!R59</f>
        <v>0.86090478524832192</v>
      </c>
      <c r="S103" s="210">
        <f>correla!S21*correla!S40*correla!S59</f>
        <v>1.0000000000000002</v>
      </c>
      <c r="T103" s="214"/>
      <c r="U103" s="214"/>
      <c r="V103" s="214"/>
      <c r="W103" s="215"/>
      <c r="X103" s="215"/>
      <c r="Y103" s="215"/>
      <c r="Z103" s="215"/>
      <c r="AA103" s="215"/>
      <c r="AB103" s="215"/>
      <c r="AC103" s="215"/>
      <c r="AD103" s="215"/>
      <c r="AE103" s="215"/>
    </row>
    <row r="104" spans="1:31" s="197" customFormat="1" ht="16.2" hidden="1" thickTop="1">
      <c r="G104" s="199"/>
      <c r="M104" s="200"/>
      <c r="N104" s="200"/>
      <c r="O104" s="200"/>
      <c r="Q104" s="201"/>
      <c r="R104" s="201"/>
      <c r="S104" s="201"/>
      <c r="T104" s="201"/>
      <c r="U104" s="201"/>
      <c r="V104" s="201"/>
      <c r="W104" s="199"/>
      <c r="X104" s="199"/>
      <c r="Y104" s="199"/>
      <c r="Z104" s="199"/>
      <c r="AA104" s="199"/>
      <c r="AB104" s="199"/>
      <c r="AC104" s="199"/>
      <c r="AD104" s="199"/>
      <c r="AE104" s="199"/>
    </row>
    <row r="105" spans="1:31" s="197" customFormat="1">
      <c r="G105" s="199"/>
      <c r="M105" s="200"/>
      <c r="N105" s="200"/>
      <c r="O105" s="200"/>
      <c r="Q105" s="201"/>
      <c r="R105" s="201"/>
      <c r="S105" s="201"/>
      <c r="T105" s="201"/>
      <c r="U105" s="201"/>
      <c r="V105" s="201"/>
      <c r="W105" s="199"/>
      <c r="X105" s="199"/>
      <c r="Y105" s="199"/>
      <c r="Z105" s="199"/>
      <c r="AA105" s="199"/>
      <c r="AB105" s="199"/>
      <c r="AC105" s="199"/>
      <c r="AD105" s="199"/>
      <c r="AE105" s="199"/>
    </row>
    <row r="106" spans="1:31" s="197" customFormat="1">
      <c r="G106" s="199"/>
      <c r="M106" s="200"/>
      <c r="N106" s="200"/>
      <c r="O106" s="200"/>
      <c r="Q106" s="201"/>
      <c r="R106" s="201"/>
      <c r="S106" s="201"/>
      <c r="T106" s="201"/>
      <c r="U106" s="201"/>
      <c r="V106" s="201"/>
      <c r="W106" s="199"/>
      <c r="X106" s="199"/>
      <c r="Y106" s="199"/>
      <c r="Z106" s="199"/>
      <c r="AA106" s="199"/>
      <c r="AB106" s="199"/>
      <c r="AC106" s="199"/>
      <c r="AD106" s="199"/>
      <c r="AE106" s="199"/>
    </row>
    <row r="107" spans="1:31" s="197" customFormat="1">
      <c r="G107" s="199"/>
      <c r="M107" s="200"/>
      <c r="N107" s="200"/>
      <c r="O107" s="200"/>
      <c r="Q107" s="201"/>
      <c r="R107" s="201"/>
      <c r="S107" s="201"/>
      <c r="T107" s="201"/>
      <c r="U107" s="201"/>
      <c r="V107" s="201"/>
      <c r="W107" s="199"/>
      <c r="X107" s="199"/>
      <c r="Y107" s="199"/>
      <c r="Z107" s="199"/>
      <c r="AA107" s="199"/>
      <c r="AB107" s="199"/>
      <c r="AC107" s="199"/>
      <c r="AD107" s="199"/>
      <c r="AE107" s="199"/>
    </row>
    <row r="108" spans="1:31" s="197" customFormat="1">
      <c r="G108" s="199"/>
      <c r="M108" s="200"/>
      <c r="N108" s="200"/>
      <c r="O108" s="200"/>
      <c r="Q108" s="201"/>
      <c r="R108" s="201"/>
      <c r="S108" s="201"/>
      <c r="T108" s="201"/>
      <c r="U108" s="201"/>
      <c r="V108" s="201"/>
      <c r="W108" s="199"/>
      <c r="X108" s="199"/>
      <c r="Y108" s="199"/>
      <c r="Z108" s="199"/>
      <c r="AA108" s="199"/>
      <c r="AB108" s="199"/>
      <c r="AC108" s="199"/>
      <c r="AD108" s="199"/>
      <c r="AE108" s="199"/>
    </row>
    <row r="109" spans="1:31" s="197" customFormat="1">
      <c r="G109" s="199"/>
      <c r="M109" s="200"/>
      <c r="N109" s="200"/>
      <c r="O109" s="200"/>
      <c r="Q109" s="201"/>
      <c r="R109" s="201"/>
      <c r="S109" s="201"/>
      <c r="T109" s="201"/>
      <c r="U109" s="201"/>
      <c r="V109" s="201"/>
      <c r="W109" s="199"/>
      <c r="X109" s="199"/>
      <c r="Y109" s="199"/>
      <c r="Z109" s="199"/>
      <c r="AA109" s="199"/>
      <c r="AB109" s="199"/>
      <c r="AC109" s="199"/>
      <c r="AD109" s="199"/>
      <c r="AE109" s="199"/>
    </row>
    <row r="110" spans="1:31" s="197" customFormat="1">
      <c r="G110" s="199"/>
      <c r="M110" s="200"/>
      <c r="N110" s="200"/>
      <c r="O110" s="200"/>
      <c r="Q110" s="201"/>
      <c r="R110" s="201"/>
      <c r="S110" s="201"/>
      <c r="T110" s="201"/>
      <c r="U110" s="201"/>
      <c r="V110" s="201"/>
      <c r="W110" s="199"/>
      <c r="X110" s="199"/>
      <c r="Y110" s="199"/>
      <c r="Z110" s="199"/>
      <c r="AA110" s="199"/>
      <c r="AB110" s="199"/>
      <c r="AC110" s="199"/>
      <c r="AD110" s="199"/>
      <c r="AE110" s="199"/>
    </row>
    <row r="111" spans="1:31" s="197" customFormat="1">
      <c r="G111" s="199"/>
      <c r="M111" s="200"/>
      <c r="N111" s="200"/>
      <c r="O111" s="200"/>
      <c r="Q111" s="201"/>
      <c r="R111" s="201"/>
      <c r="S111" s="201"/>
      <c r="T111" s="201"/>
      <c r="U111" s="201"/>
      <c r="V111" s="201"/>
      <c r="W111" s="199"/>
      <c r="X111" s="199"/>
      <c r="Y111" s="199"/>
      <c r="Z111" s="199"/>
      <c r="AA111" s="199"/>
      <c r="AB111" s="199"/>
      <c r="AC111" s="199"/>
      <c r="AD111" s="199"/>
      <c r="AE111" s="199"/>
    </row>
    <row r="112" spans="1:31" s="197" customFormat="1">
      <c r="G112" s="199"/>
      <c r="M112" s="200"/>
      <c r="N112" s="200"/>
      <c r="O112" s="200"/>
      <c r="Q112" s="201"/>
      <c r="R112" s="201"/>
      <c r="S112" s="201"/>
      <c r="T112" s="201"/>
      <c r="U112" s="201"/>
      <c r="V112" s="201"/>
      <c r="W112" s="199"/>
      <c r="X112" s="199"/>
      <c r="Y112" s="199"/>
      <c r="Z112" s="199"/>
      <c r="AA112" s="199"/>
      <c r="AB112" s="199"/>
      <c r="AC112" s="199"/>
      <c r="AD112" s="199"/>
      <c r="AE112" s="199"/>
    </row>
    <row r="113" spans="1:58" s="197" customFormat="1">
      <c r="H113" s="199"/>
      <c r="N113" s="200"/>
      <c r="O113" s="200"/>
      <c r="P113" s="200"/>
      <c r="R113" s="201"/>
      <c r="S113" s="201"/>
      <c r="T113" s="201"/>
      <c r="U113" s="201"/>
      <c r="V113" s="201"/>
      <c r="W113" s="201"/>
      <c r="X113" s="199"/>
      <c r="Y113" s="199"/>
      <c r="Z113" s="199"/>
      <c r="AA113" s="199"/>
      <c r="AB113" s="199"/>
      <c r="AC113" s="199"/>
      <c r="AD113" s="199"/>
      <c r="AE113" s="199"/>
      <c r="AF113" s="199"/>
    </row>
    <row r="114" spans="1:58" s="230" customFormat="1" ht="64.2" customHeight="1">
      <c r="A114" s="230" t="s">
        <v>13</v>
      </c>
      <c r="B114" s="230" t="s">
        <v>212</v>
      </c>
      <c r="C114" s="230" t="s">
        <v>238</v>
      </c>
      <c r="D114" s="230" t="s">
        <v>207</v>
      </c>
      <c r="E114" s="230" t="s">
        <v>209</v>
      </c>
      <c r="F114" s="230" t="s">
        <v>210</v>
      </c>
      <c r="G114" s="231" t="s">
        <v>213</v>
      </c>
      <c r="H114" s="231" t="s">
        <v>228</v>
      </c>
      <c r="I114" s="230" t="s">
        <v>214</v>
      </c>
      <c r="J114" s="230" t="s">
        <v>2</v>
      </c>
      <c r="K114" s="230" t="s">
        <v>208</v>
      </c>
      <c r="L114" s="230" t="s">
        <v>4</v>
      </c>
      <c r="M114" s="230" t="s">
        <v>5</v>
      </c>
      <c r="N114" s="231" t="s">
        <v>216</v>
      </c>
      <c r="O114" s="231" t="s">
        <v>226</v>
      </c>
      <c r="P114" s="231" t="s">
        <v>227</v>
      </c>
      <c r="Q114" s="231" t="s">
        <v>244</v>
      </c>
      <c r="R114" s="231" t="s">
        <v>0</v>
      </c>
      <c r="S114" s="231" t="s">
        <v>248</v>
      </c>
      <c r="T114" s="326" t="s">
        <v>245</v>
      </c>
      <c r="U114" s="326"/>
      <c r="V114" s="231" t="s">
        <v>247</v>
      </c>
      <c r="W114" s="231" t="s">
        <v>246</v>
      </c>
      <c r="X114" s="231"/>
      <c r="Y114" s="326" t="s">
        <v>274</v>
      </c>
      <c r="Z114" s="326"/>
      <c r="AA114" s="231" t="s">
        <v>275</v>
      </c>
      <c r="AB114" s="231" t="s">
        <v>280</v>
      </c>
      <c r="AC114" s="231" t="s">
        <v>273</v>
      </c>
      <c r="AE114" s="230" t="s">
        <v>215</v>
      </c>
      <c r="AK114" s="230" t="s">
        <v>250</v>
      </c>
      <c r="AL114" s="230" t="s">
        <v>249</v>
      </c>
      <c r="AM114" s="230" t="s">
        <v>283</v>
      </c>
      <c r="AN114" s="230">
        <v>2016</v>
      </c>
      <c r="AO114" s="230" t="s">
        <v>276</v>
      </c>
      <c r="AP114" s="230" t="s">
        <v>281</v>
      </c>
      <c r="AQ114" s="230" t="s">
        <v>277</v>
      </c>
      <c r="AS114" s="327" t="s">
        <v>279</v>
      </c>
      <c r="AT114" s="327"/>
      <c r="AU114" s="327" t="s">
        <v>278</v>
      </c>
      <c r="AV114" s="327"/>
      <c r="AW114" s="230">
        <v>2016</v>
      </c>
      <c r="AZ114" s="230" t="s">
        <v>282</v>
      </c>
      <c r="BA114" s="230">
        <v>2016</v>
      </c>
    </row>
    <row r="115" spans="1:58" s="197" customFormat="1">
      <c r="A115" s="236">
        <f>MIN(Tabla2[Tasa Inmigrantes])</f>
        <v>1.7546754675467548E-2</v>
      </c>
      <c r="B115" s="233">
        <f>MIN(Tabla2[Esperanza de Vida])</f>
        <v>78.36</v>
      </c>
      <c r="C115" s="234">
        <f>MIN(Tabla2[Sin Estudios o Primarios])</f>
        <v>0.13226584777363457</v>
      </c>
      <c r="D115" s="235">
        <f>MIN(Tabla2[Tasa demanda Dependientes])</f>
        <v>9.351803144543808E-3</v>
      </c>
      <c r="E115" s="233">
        <f>MIN(Tabla2[Familas perceptoras renta mínima])</f>
        <v>73</v>
      </c>
      <c r="F115" s="233">
        <f>MIN(Tabla2[Renta media hogar])</f>
        <v>19587.094904064368</v>
      </c>
      <c r="G115" s="232">
        <f>MIN(Tabla2[Tasa Paro Absoluto])</f>
        <v>2.94</v>
      </c>
      <c r="H115" s="232">
        <f>MIN(Tabla2[Tasa Paro mayores 45])</f>
        <v>3.7</v>
      </c>
      <c r="I115" s="199">
        <f>MIN(Tabla2[Tasa de Parados Sin Prestación])</f>
        <v>2.8481565612441029E-2</v>
      </c>
      <c r="J115" s="236">
        <f>MIN(Tabla2[Población])</f>
        <v>3.1935373223066187E-3</v>
      </c>
      <c r="K115" s="236">
        <f>MIN(Tabla2[Estatus Socio-Económico])</f>
        <v>7.5370649433810491E-3</v>
      </c>
      <c r="L115" s="236">
        <f>MIN(Tabla2[Actividad Económica])</f>
        <v>3.8677573220674494E-3</v>
      </c>
      <c r="M115" s="236">
        <f>MIN(Tabla2[Desarrollo Urbanístico])</f>
        <v>7.4688178989360541E-3</v>
      </c>
      <c r="N115" s="199">
        <f>MIN(Tabla2[Valor Catastral])</f>
        <v>26876.799999999999</v>
      </c>
      <c r="O115" s="236">
        <f>MIN(Tabla2[Tasa SAD Dependencia])</f>
        <v>8.2554367029648908E-3</v>
      </c>
      <c r="P115" s="236">
        <f>MIN(Tabla2[Tasa Teleasistencia Dependencia])</f>
        <v>9.2315369261477039E-3</v>
      </c>
      <c r="Q115" s="237" t="e">
        <f>MIN(#REF!)</f>
        <v>#REF!</v>
      </c>
      <c r="R115" s="236">
        <f>MIN(Tabla2[Vulnerabilidad])</f>
        <v>5.28463299454697E-3</v>
      </c>
      <c r="S115" s="237" t="e">
        <f>MIN(#REF!)</f>
        <v>#REF!</v>
      </c>
      <c r="T115" s="237" t="e">
        <f>MAX(#REF!)</f>
        <v>#REF!</v>
      </c>
      <c r="U115" s="238" t="e">
        <f>MIN(#REF!)</f>
        <v>#REF!</v>
      </c>
      <c r="V115" s="198" t="e">
        <f>(T115-U115)/10</f>
        <v>#REF!</v>
      </c>
      <c r="Y115" s="237" t="e">
        <f>MAX(#REF!)</f>
        <v>#REF!</v>
      </c>
      <c r="Z115" s="238" t="e">
        <f>MIN(#REF!)</f>
        <v>#REF!</v>
      </c>
      <c r="AA115" s="198" t="e">
        <f>(Y115-Z115)/10</f>
        <v>#REF!</v>
      </c>
      <c r="AB115" s="198"/>
      <c r="AC115" s="198"/>
      <c r="AD115" s="239">
        <f>MAX(aux!AJ5:AJ132)</f>
        <v>1.1807831237438712E-2</v>
      </c>
      <c r="AE115" s="239">
        <f>MIN(aux!AJ5:AJ132)</f>
        <v>5.28463299454697E-3</v>
      </c>
      <c r="AF115" s="240">
        <f>(AD115-AE115)/10</f>
        <v>6.5231982428917419E-4</v>
      </c>
      <c r="AI115" s="197" t="e">
        <f>MID(#REF!,5,LEN(#REF!)-4)</f>
        <v>#REF!</v>
      </c>
      <c r="AJ115" s="197" t="e">
        <f>#REF!</f>
        <v>#REF!</v>
      </c>
      <c r="AK115" s="197" t="e">
        <f>_xlfn.RANK.EQ(#REF!,#REF!)</f>
        <v>#REF!</v>
      </c>
      <c r="AL115" s="198" t="e">
        <f>#REF!</f>
        <v>#REF!</v>
      </c>
      <c r="AM115" s="241" t="e">
        <f>_xlfn.RANK.EQ(#REF!,#REF!)</f>
        <v>#REF!</v>
      </c>
      <c r="AN115" s="198">
        <v>1495786.0356759471</v>
      </c>
      <c r="AO115" s="197" t="e">
        <f>_xlfn.RANK.EQ(#REF!,#REF!)</f>
        <v>#REF!</v>
      </c>
      <c r="AP115" s="197">
        <v>10</v>
      </c>
      <c r="AQ115" s="198" t="e">
        <f>#REF!</f>
        <v>#REF!</v>
      </c>
      <c r="AR115" s="197">
        <v>1</v>
      </c>
      <c r="AS115" s="197" t="e">
        <f t="shared" ref="AS115:AS135" si="0">INDEX(AI$115:AI$135,MATCH(AR115,AK$115:AK$135,0))</f>
        <v>#N/A</v>
      </c>
      <c r="AT115" s="198" t="e">
        <f t="shared" ref="AT115:AT135" si="1">INDEX(AL$115:AL$135,MATCH(AR115,AK$115:AK$135,0))</f>
        <v>#N/A</v>
      </c>
      <c r="AU115" s="197" t="e">
        <f t="shared" ref="AU115:AU135" si="2">INDEX(AI$115:AI$135,MATCH(AR115,AO$115:AO$135,0))</f>
        <v>#N/A</v>
      </c>
      <c r="AV115" s="198" t="e">
        <f t="shared" ref="AV115:AV135" si="3">INDEX(AQ$115:AQ$135,MATCH(AR115,AO$115:AO$135,0))</f>
        <v>#N/A</v>
      </c>
      <c r="AW115" s="198" t="e">
        <f t="shared" ref="AW115:AW135" si="4">INDEX(AN$115:AN$135,MATCH(AU115,AI$115:AI$135,0))</f>
        <v>#N/A</v>
      </c>
      <c r="AY115" s="197" t="e">
        <f t="shared" ref="AY115:AY135" si="5">INDEX(AI$115:AI$135,MATCH(AR115,AP$115:AP$135,0))</f>
        <v>#REF!</v>
      </c>
      <c r="AZ115" s="198" t="e">
        <f t="shared" ref="AZ115:AZ135" si="6">INDEX(AQ$115:AQ$135,MATCH(AR115,AP$115:AP$135,0))</f>
        <v>#REF!</v>
      </c>
      <c r="BA115" s="198">
        <f t="shared" ref="BA115:BA135" si="7">INDEX(AN$115:AN$135,MATCH(AR115,AP$115:AP$135,0))</f>
        <v>2192631.8434095425</v>
      </c>
      <c r="BB115" s="198" t="e">
        <f>INDEX(AI$115:AI$135,MATCH(AR115,AP$115:AP$135,0))</f>
        <v>#REF!</v>
      </c>
      <c r="BC115" s="197" t="e">
        <f>INDEX(AJ$115:AJ$135,MATCH(AY115,AI$115:AI$135,0))</f>
        <v>#REF!</v>
      </c>
    </row>
    <row r="116" spans="1:58" s="197" customFormat="1">
      <c r="A116" s="236">
        <f>_xlfn.QUARTILE.INC(Tabla2[Tasa Inmigrantes],1)</f>
        <v>4.7825387691041471E-2</v>
      </c>
      <c r="B116" s="233">
        <f>_xlfn.QUARTILE.INC(Tabla2[Esperanza de Vida],1)</f>
        <v>82.375</v>
      </c>
      <c r="C116" s="234">
        <f>_xlfn.QUARTILE.INC(Tabla2[Sin Estudios o Primarios],1)</f>
        <v>0.21775125586931718</v>
      </c>
      <c r="D116" s="235">
        <f>_xlfn.QUARTILE.INC(Tabla2[Tasa demanda Dependientes],1)</f>
        <v>3.4718569174118884E-2</v>
      </c>
      <c r="E116" s="233">
        <f>_xlfn.QUARTILE.INC(Tabla2[Familas perceptoras renta mínima],1)</f>
        <v>242</v>
      </c>
      <c r="F116" s="233">
        <f>_xlfn.QUARTILE.INC(Tabla2[Renta media hogar],1)</f>
        <v>28581.377928610666</v>
      </c>
      <c r="G116" s="232">
        <f>_xlfn.QUARTILE.INC(Tabla2[Tasa Paro Absoluto],1)</f>
        <v>5.73</v>
      </c>
      <c r="H116" s="232">
        <f>_xlfn.QUARTILE.INC(Tabla2[Tasa Paro mayores 45],1)</f>
        <v>7.34</v>
      </c>
      <c r="I116" s="199">
        <f>_xlfn.QUARTILE.INC(Tabla2[Tasa de Parados Sin Prestación],1)</f>
        <v>3.3185413852980898E-2</v>
      </c>
      <c r="J116" s="236">
        <f>_xlfn.QUARTILE.INC(Tabla2[Población],1)</f>
        <v>5.0470379591119208E-3</v>
      </c>
      <c r="K116" s="236">
        <f>_xlfn.QUARTILE.INC(Tabla2[Estatus Socio-Económico],1)</f>
        <v>7.6264276089303678E-3</v>
      </c>
      <c r="L116" s="236">
        <f>_xlfn.QUARTILE.INC(Tabla2[Actividad Económica],1)</f>
        <v>5.7835399595977475E-3</v>
      </c>
      <c r="M116" s="236">
        <f>_xlfn.QUARTILE.INC(Tabla2[Desarrollo Urbanístico],1)</f>
        <v>7.6251893461627262E-3</v>
      </c>
      <c r="N116" s="199">
        <f>_xlfn.QUARTILE.INC(Tabla2[Valor Catastral],1)</f>
        <v>61131.395000000004</v>
      </c>
      <c r="O116" s="236">
        <f>_xlfn.QUARTILE.INC(Tabla2[Tasa SAD Dependencia],1)</f>
        <v>2.5119655648710288E-2</v>
      </c>
      <c r="P116" s="236">
        <f>_xlfn.QUARTILE.INC(Tabla2[Tasa Teleasistencia Dependencia],1)</f>
        <v>2.8817365269461079E-2</v>
      </c>
      <c r="Q116" s="237" t="e">
        <f>_xlfn.QUARTILE.INC(#REF!:#REF!,1)</f>
        <v>#REF!</v>
      </c>
      <c r="R116" s="236">
        <f>_xlfn.QUARTILE.INC(Tabla2[Vulnerabilidad],1)</f>
        <v>6.1989575589843507E-3</v>
      </c>
      <c r="S116" s="237" t="e">
        <f>_xlfn.QUARTILE.INC(#REF!:#REF!,1)</f>
        <v>#REF!</v>
      </c>
      <c r="U116" s="242" t="e">
        <f>MIN(#REF!)</f>
        <v>#REF!</v>
      </c>
      <c r="V116" s="197" t="e">
        <f ca="1">COUNTIF(#REF!,CONCATENATE("=",TEXT(OFFSET(U116,0,0),"0")))</f>
        <v>#REF!</v>
      </c>
      <c r="W116" s="197" t="e">
        <f ca="1">TEXT(OFFSET(U116,0,0),"#.##0€")</f>
        <v>#REF!</v>
      </c>
      <c r="Z116" s="238" t="e">
        <f>MIN(#REF!)</f>
        <v>#REF!</v>
      </c>
      <c r="AA116" s="197" t="e">
        <f ca="1">COUNTIF(#REF!,CONCATENATE("=",TEXT(OFFSET(Z116,0,0),"0")))</f>
        <v>#REF!</v>
      </c>
      <c r="AB116" s="197" t="e">
        <f ca="1">COUNTIF(#REF!,CONCATENATE("=",TEXT(OFFSET(Z116,0,0),"0")))</f>
        <v>#REF!</v>
      </c>
      <c r="AC116" s="197" t="e">
        <f ca="1">TEXT(OFFSET(Z116,0,0),"#.##0€")</f>
        <v>#REF!</v>
      </c>
      <c r="AD116" s="239"/>
      <c r="AE116" s="239">
        <f>MIN(aux!AJ5:AJ132)</f>
        <v>5.28463299454697E-3</v>
      </c>
      <c r="AF116" s="243">
        <f ca="1">COUNTIF(aux!AJ5:AJ132,CONCATENATE("=",TEXT(OFFSET(AE116,0,0),"0,0000")))</f>
        <v>0</v>
      </c>
      <c r="AG116" s="197" t="str">
        <f ca="1">TEXT(OFFSET(AE116,0,0),"0,####")</f>
        <v>0,0053</v>
      </c>
      <c r="AI116" s="197" t="e">
        <f>MID(#REF!,5,LEN(#REF!)-4)</f>
        <v>#REF!</v>
      </c>
      <c r="AJ116" s="197" t="e">
        <f>#REF!</f>
        <v>#REF!</v>
      </c>
      <c r="AK116" s="197" t="e">
        <f>_xlfn.RANK.EQ(#REF!,#REF!)</f>
        <v>#REF!</v>
      </c>
      <c r="AL116" s="198" t="e">
        <f>#REF!</f>
        <v>#REF!</v>
      </c>
      <c r="AM116" s="241" t="e">
        <f>_xlfn.RANK.EQ(#REF!,#REF!)</f>
        <v>#REF!</v>
      </c>
      <c r="AN116" s="198">
        <v>1086723.1573898543</v>
      </c>
      <c r="AO116" s="197" t="e">
        <f>_xlfn.RANK.EQ(#REF!,#REF!)</f>
        <v>#REF!</v>
      </c>
      <c r="AP116" s="197">
        <v>13</v>
      </c>
      <c r="AQ116" s="198" t="e">
        <f>#REF!</f>
        <v>#REF!</v>
      </c>
      <c r="AR116" s="197">
        <v>2</v>
      </c>
      <c r="AS116" s="197" t="e">
        <f t="shared" si="0"/>
        <v>#N/A</v>
      </c>
      <c r="AT116" s="198" t="e">
        <f t="shared" si="1"/>
        <v>#N/A</v>
      </c>
      <c r="AU116" s="197" t="e">
        <f t="shared" si="2"/>
        <v>#N/A</v>
      </c>
      <c r="AV116" s="198" t="e">
        <f t="shared" si="3"/>
        <v>#N/A</v>
      </c>
      <c r="AW116" s="198" t="e">
        <f t="shared" si="4"/>
        <v>#N/A</v>
      </c>
      <c r="AY116" s="197" t="e">
        <f t="shared" si="5"/>
        <v>#REF!</v>
      </c>
      <c r="AZ116" s="198" t="e">
        <f t="shared" si="6"/>
        <v>#REF!</v>
      </c>
      <c r="BA116" s="198">
        <f t="shared" si="7"/>
        <v>2110408.1492816843</v>
      </c>
      <c r="BB116" s="198" t="e">
        <f t="shared" ref="BB116:BB135" si="8">INDEX(AI$115:AI$135,MATCH(AR116,AP$115:AP$135,0))</f>
        <v>#REF!</v>
      </c>
      <c r="BC116" s="197" t="e">
        <f t="shared" ref="BC116:BC135" si="9">INDEX(AJ$115:AJ$135,MATCH(AY116,AI$115:AI$135,0))</f>
        <v>#REF!</v>
      </c>
      <c r="BE116" s="13"/>
      <c r="BF116" s="13"/>
    </row>
    <row r="117" spans="1:58" s="197" customFormat="1">
      <c r="A117" s="236">
        <f>_xlfn.QUARTILE.INC(Tabla2[Tasa Inmigrantes],2)</f>
        <v>7.0055966498375796E-2</v>
      </c>
      <c r="B117" s="233">
        <f>_xlfn.QUARTILE.INC(Tabla2[Esperanza de Vida],2)</f>
        <v>83.16</v>
      </c>
      <c r="C117" s="234">
        <f>_xlfn.QUARTILE.INC(Tabla2[Sin Estudios o Primarios],2)</f>
        <v>0.34616988739051857</v>
      </c>
      <c r="D117" s="235">
        <f>_xlfn.QUARTILE.INC(Tabla2[Tasa demanda Dependientes],2)</f>
        <v>4.1440177684259748E-2</v>
      </c>
      <c r="E117" s="233">
        <f>_xlfn.QUARTILE.INC(Tabla2[Familas perceptoras renta mínima],2)</f>
        <v>596</v>
      </c>
      <c r="F117" s="233">
        <f>_xlfn.QUARTILE.INC(Tabla2[Renta media hogar],2)</f>
        <v>36691.478392605633</v>
      </c>
      <c r="G117" s="232">
        <f>_xlfn.QUARTILE.INC(Tabla2[Tasa Paro Absoluto],2)</f>
        <v>7.36</v>
      </c>
      <c r="H117" s="232">
        <f>_xlfn.QUARTILE.INC(Tabla2[Tasa Paro mayores 45],2)</f>
        <v>9.23</v>
      </c>
      <c r="I117" s="199">
        <f>_xlfn.QUARTILE.INC(Tabla2[Tasa de Parados Sin Prestación],2)</f>
        <v>4.647074504492172E-2</v>
      </c>
      <c r="J117" s="236">
        <f>_xlfn.QUARTILE.INC(Tabla2[Población],2)</f>
        <v>6.8850077681022123E-3</v>
      </c>
      <c r="K117" s="236">
        <f>_xlfn.QUARTILE.INC(Tabla2[Estatus Socio-Económico],2)</f>
        <v>7.6415950139778616E-3</v>
      </c>
      <c r="L117" s="236">
        <f>_xlfn.QUARTILE.INC(Tabla2[Actividad Económica],2)</f>
        <v>7.4560000970032552E-3</v>
      </c>
      <c r="M117" s="236">
        <f>_xlfn.QUARTILE.INC(Tabla2[Desarrollo Urbanístico],2)</f>
        <v>7.6435453643273572E-3</v>
      </c>
      <c r="N117" s="199">
        <f>_xlfn.QUARTILE.INC(Tabla2[Valor Catastral],2)</f>
        <v>84332.83</v>
      </c>
      <c r="O117" s="236">
        <f>_xlfn.QUARTILE.INC(Tabla2[Tasa SAD Dependencia],2)</f>
        <v>4.2112363881661369E-2</v>
      </c>
      <c r="P117" s="236">
        <f>_xlfn.QUARTILE.INC(Tabla2[Tasa Teleasistencia Dependencia],2)</f>
        <v>4.3444361277445109E-2</v>
      </c>
      <c r="Q117" s="237" t="e">
        <f>_xlfn.QUARTILE.INC(#REF!:#REF!,2)</f>
        <v>#REF!</v>
      </c>
      <c r="R117" s="236">
        <f>_xlfn.QUARTILE.INC(Tabla2[Vulnerabilidad],2)</f>
        <v>7.3350138988555816E-3</v>
      </c>
      <c r="S117" s="237" t="e">
        <f>_xlfn.QUARTILE.INC(#REF!:#REF!,2)</f>
        <v>#REF!</v>
      </c>
      <c r="U117" s="242" t="e">
        <f t="shared" ref="U117:U126" si="10">U116+$V$115</f>
        <v>#REF!</v>
      </c>
      <c r="V117" s="197" t="e">
        <f ca="1">COUNTIFS(#REF!,CONCATENATE("&lt;",TEXT(1+OFFSET(U117,0,0),"0")),#REF!,CONCATENATE("&gt;=", TEXT(1-OFFSET(U116,0,0),"0")))</f>
        <v>#REF!</v>
      </c>
      <c r="W117" s="197" t="e">
        <f ca="1">CONCATENATE( TEXT(OFFSET(U116,0,0),"#.##0€")," - ",TEXT(OFFSET(U117,0,0),"#.##0€"))</f>
        <v>#REF!</v>
      </c>
      <c r="Z117" s="242" t="e">
        <f t="shared" ref="Z117:Z126" si="11">Z116+$AA$115</f>
        <v>#REF!</v>
      </c>
      <c r="AA117" s="197" t="e">
        <f ca="1">COUNTIFS(#REF!,CONCATENATE("&lt;",TEXT(1+OFFSET(Z117,0,0),"0")),#REF!,CONCATENATE("&gt;=", TEXT(1-OFFSET(Z116,0,0),"0")))</f>
        <v>#REF!</v>
      </c>
      <c r="AB117" s="197" t="e">
        <f ca="1">COUNTIFS(#REF!,CONCATENATE("&lt;",TEXT(1+OFFSET(Z117,0,0),"0")),#REF!,CONCATENATE("&gt;=", TEXT(1-OFFSET(Z116,0,0),"0")))</f>
        <v>#REF!</v>
      </c>
      <c r="AC117" s="197" t="e">
        <f ca="1">CONCATENATE( TEXT(OFFSET(Z116,0,0),"#.##0€")," - ",TEXT(OFFSET(Z117,0,0),"#.##0€"))</f>
        <v>#REF!</v>
      </c>
      <c r="AD117" s="239"/>
      <c r="AE117" s="240">
        <f t="shared" ref="AE117:AE126" si="12">AE116+$AF$115</f>
        <v>5.9369528188361444E-3</v>
      </c>
      <c r="AF117" s="243">
        <f ca="1">COUNTIFS(aux!AJ5:AJ132,CONCATENATE("&lt;=",TEXT(OFFSET(AE117,0,0),"0,0000")),aux!AJ5:AJ132,CONCATENATE("&gt;=", TEXT(OFFSET(AE116,0,0),"0,0000")))</f>
        <v>19</v>
      </c>
      <c r="AG117" s="197" t="str">
        <f t="shared" ref="AG117:AG125" ca="1" si="13">CONCATENATE( TEXT(OFFSET(AE116,0,0),"0,####")," - ",TEXT(OFFSET(AE117,0,0),"0,####"))</f>
        <v>0,0053 - 0,0059</v>
      </c>
      <c r="AI117" s="197" t="e">
        <f>MID(#REF!,5,LEN(#REF!)-4)</f>
        <v>#REF!</v>
      </c>
      <c r="AJ117" s="197" t="e">
        <f>#REF!</f>
        <v>#REF!</v>
      </c>
      <c r="AK117" s="197" t="e">
        <f>_xlfn.RANK.EQ(#REF!,#REF!)</f>
        <v>#REF!</v>
      </c>
      <c r="AL117" s="198" t="e">
        <f>#REF!</f>
        <v>#REF!</v>
      </c>
      <c r="AM117" s="241" t="e">
        <f>_xlfn.RANK.EQ(#REF!,#REF!)</f>
        <v>#REF!</v>
      </c>
      <c r="AN117" s="198">
        <v>742068.83950391703</v>
      </c>
      <c r="AO117" s="197" t="e">
        <f>_xlfn.RANK.EQ(#REF!,#REF!)</f>
        <v>#REF!</v>
      </c>
      <c r="AP117" s="197">
        <v>20</v>
      </c>
      <c r="AQ117" s="198" t="e">
        <f>#REF!</f>
        <v>#REF!</v>
      </c>
      <c r="AR117" s="197">
        <v>3</v>
      </c>
      <c r="AS117" s="197" t="e">
        <f t="shared" si="0"/>
        <v>#N/A</v>
      </c>
      <c r="AT117" s="198" t="e">
        <f t="shared" si="1"/>
        <v>#N/A</v>
      </c>
      <c r="AU117" s="197" t="e">
        <f t="shared" si="2"/>
        <v>#N/A</v>
      </c>
      <c r="AV117" s="198" t="e">
        <f t="shared" si="3"/>
        <v>#N/A</v>
      </c>
      <c r="AW117" s="198" t="e">
        <f t="shared" si="4"/>
        <v>#N/A</v>
      </c>
      <c r="AY117" s="197" t="e">
        <f t="shared" si="5"/>
        <v>#REF!</v>
      </c>
      <c r="AZ117" s="198" t="e">
        <f t="shared" si="6"/>
        <v>#REF!</v>
      </c>
      <c r="BA117" s="198">
        <f t="shared" si="7"/>
        <v>1967201.8820089989</v>
      </c>
      <c r="BB117" s="198" t="e">
        <f t="shared" si="8"/>
        <v>#REF!</v>
      </c>
      <c r="BC117" s="197" t="e">
        <f t="shared" si="9"/>
        <v>#REF!</v>
      </c>
    </row>
    <row r="118" spans="1:58" s="197" customFormat="1">
      <c r="A118" s="236">
        <f>_xlfn.QUARTILE.INC(Tabla2[Tasa Inmigrantes],3)</f>
        <v>0.10487197936652193</v>
      </c>
      <c r="B118" s="233">
        <f>_xlfn.QUARTILE.INC(Tabla2[Esperanza de Vida],3)</f>
        <v>83.91</v>
      </c>
      <c r="C118" s="234">
        <f>_xlfn.QUARTILE.INC(Tabla2[Sin Estudios o Primarios],3)</f>
        <v>0.51113623452778434</v>
      </c>
      <c r="D118" s="235">
        <f>_xlfn.QUARTILE.INC(Tabla2[Tasa demanda Dependientes],3)</f>
        <v>5.7688935647904609E-2</v>
      </c>
      <c r="E118" s="233">
        <f>_xlfn.QUARTILE.INC(Tabla2[Familas perceptoras renta mínima],3)</f>
        <v>1230</v>
      </c>
      <c r="F118" s="233">
        <f>_xlfn.QUARTILE.INC(Tabla2[Renta media hogar],3)</f>
        <v>47665.351847928134</v>
      </c>
      <c r="G118" s="232">
        <f>_xlfn.QUARTILE.INC(Tabla2[Tasa Paro Absoluto],3)</f>
        <v>9.23</v>
      </c>
      <c r="H118" s="232">
        <f>_xlfn.QUARTILE.INC(Tabla2[Tasa Paro mayores 45],3)</f>
        <v>11.045</v>
      </c>
      <c r="I118" s="199">
        <f>_xlfn.QUARTILE.INC(Tabla2[Tasa de Parados Sin Prestación],3)</f>
        <v>5.7107809731497886E-2</v>
      </c>
      <c r="J118" s="236">
        <f>_xlfn.QUARTILE.INC(Tabla2[Población],3)</f>
        <v>1.0070168229072246E-2</v>
      </c>
      <c r="K118" s="236">
        <f>_xlfn.QUARTILE.INC(Tabla2[Estatus Socio-Económico],3)</f>
        <v>7.6528042901932367E-3</v>
      </c>
      <c r="L118" s="236">
        <f>_xlfn.QUARTILE.INC(Tabla2[Actividad Económica],3)</f>
        <v>9.1993230711315578E-3</v>
      </c>
      <c r="M118" s="236">
        <f>_xlfn.QUARTILE.INC(Tabla2[Desarrollo Urbanístico],3)</f>
        <v>7.6569607327323357E-3</v>
      </c>
      <c r="N118" s="199">
        <f>_xlfn.QUARTILE.INC(Tabla2[Valor Catastral],3)</f>
        <v>116078.955</v>
      </c>
      <c r="O118" s="236">
        <f>_xlfn.QUARTILE.INC(Tabla2[Tasa SAD Dependencia],3)</f>
        <v>6.7392631139378753E-2</v>
      </c>
      <c r="P118" s="236">
        <f>_xlfn.QUARTILE.INC(Tabla2[Tasa Teleasistencia Dependencia],3)</f>
        <v>6.4433632734530941E-2</v>
      </c>
      <c r="Q118" s="237" t="e">
        <f>_xlfn.QUARTILE.INC(#REF!:#REF!,3)</f>
        <v>#REF!</v>
      </c>
      <c r="R118" s="236">
        <f>_xlfn.QUARTILE.INC(Tabla2[Vulnerabilidad],3)</f>
        <v>8.7712081000818534E-3</v>
      </c>
      <c r="S118" s="237" t="e">
        <f>_xlfn.QUARTILE.INC(#REF!:#REF!,3)</f>
        <v>#REF!</v>
      </c>
      <c r="U118" s="242" t="e">
        <f t="shared" si="10"/>
        <v>#REF!</v>
      </c>
      <c r="V118" s="197" t="e">
        <f ca="1">COUNTIFS(#REF!,CONCATENATE("&lt;",TEXT(1+OFFSET(U118,0,0),"0")),#REF!,CONCATENATE("&gt;=", TEXT(OFFSET(U117,0,0),"0")))</f>
        <v>#REF!</v>
      </c>
      <c r="W118" s="197" t="e">
        <f ca="1">CONCATENATE( TEXT(OFFSET(U117,0,0)+1,"#.##0€")," - ",TEXT(OFFSET(U118,0,0),"#.##0€"))</f>
        <v>#REF!</v>
      </c>
      <c r="Z118" s="242" t="e">
        <f t="shared" si="11"/>
        <v>#REF!</v>
      </c>
      <c r="AA118" s="197" t="e">
        <f ca="1">COUNTIFS(#REF!,CONCATENATE("&lt;",TEXT(1+OFFSET(Z118,0,0),"0")),#REF!,CONCATENATE("&gt;=", TEXT(OFFSET(Z117,0,0),"0")))</f>
        <v>#REF!</v>
      </c>
      <c r="AB118" s="197" t="e">
        <f ca="1">COUNTIFS(#REF!,CONCATENATE("&lt;",TEXT(1+OFFSET(Z118,0,0),"0")),#REF!,CONCATENATE("&gt;=", TEXT(OFFSET(Z117,0,0),"0")))</f>
        <v>#REF!</v>
      </c>
      <c r="AC118" s="197" t="e">
        <f ca="1">CONCATENATE( TEXT(OFFSET(Z117,0,0)+1,"#.##0€")," - ",TEXT(OFFSET(Z118,0,0),"#.##0€"))</f>
        <v>#REF!</v>
      </c>
      <c r="AD118" s="239"/>
      <c r="AE118" s="240">
        <f t="shared" si="12"/>
        <v>6.5892726431253188E-3</v>
      </c>
      <c r="AF118" s="243">
        <f ca="1">COUNTIFS(aux!AJ5:AJ132,CONCATENATE("&lt;=",TEXT(OFFSET(AE118,0,0),"0,0000")),aux!AJ5:AJ132,CONCATENATE("&gt;", TEXT(OFFSET(AE117,0,0),"0,0000")))</f>
        <v>24</v>
      </c>
      <c r="AG118" s="197" t="str">
        <f ca="1">CONCATENATE( TEXT(OFFSET(AE117,0,0),"0,####")," - ",TEXT(OFFSET(AE118,0,0),"0,####"))</f>
        <v>0,0059 - 0,0066</v>
      </c>
      <c r="AI118" s="197" t="e">
        <f>MID(#REF!,5,LEN(#REF!)-4)</f>
        <v>#REF!</v>
      </c>
      <c r="AJ118" s="197" t="e">
        <f>#REF!</f>
        <v>#REF!</v>
      </c>
      <c r="AK118" s="197" t="e">
        <f>_xlfn.RANK.EQ(#REF!,#REF!)</f>
        <v>#REF!</v>
      </c>
      <c r="AL118" s="198" t="e">
        <f>#REF!</f>
        <v>#REF!</v>
      </c>
      <c r="AM118" s="241" t="e">
        <f>_xlfn.RANK.EQ(#REF!,#REF!)</f>
        <v>#REF!</v>
      </c>
      <c r="AN118" s="198">
        <v>810588.58461046522</v>
      </c>
      <c r="AO118" s="197" t="e">
        <f>_xlfn.RANK.EQ(#REF!,#REF!)</f>
        <v>#REF!</v>
      </c>
      <c r="AP118" s="197">
        <v>18</v>
      </c>
      <c r="AQ118" s="198" t="e">
        <f>#REF!</f>
        <v>#REF!</v>
      </c>
      <c r="AR118" s="197">
        <v>4</v>
      </c>
      <c r="AS118" s="197" t="e">
        <f t="shared" si="0"/>
        <v>#N/A</v>
      </c>
      <c r="AT118" s="198" t="e">
        <f t="shared" si="1"/>
        <v>#N/A</v>
      </c>
      <c r="AU118" s="197" t="e">
        <f t="shared" si="2"/>
        <v>#N/A</v>
      </c>
      <c r="AV118" s="198" t="e">
        <f t="shared" si="3"/>
        <v>#N/A</v>
      </c>
      <c r="AW118" s="198" t="e">
        <f t="shared" si="4"/>
        <v>#N/A</v>
      </c>
      <c r="AY118" s="197" t="e">
        <f t="shared" si="5"/>
        <v>#REF!</v>
      </c>
      <c r="AZ118" s="198" t="e">
        <f t="shared" si="6"/>
        <v>#REF!</v>
      </c>
      <c r="BA118" s="198">
        <f t="shared" si="7"/>
        <v>2124112.0983029944</v>
      </c>
      <c r="BB118" s="198" t="e">
        <f t="shared" si="8"/>
        <v>#REF!</v>
      </c>
      <c r="BC118" s="197" t="e">
        <f t="shared" si="9"/>
        <v>#REF!</v>
      </c>
    </row>
    <row r="119" spans="1:58" s="197" customFormat="1">
      <c r="A119" s="236">
        <f>MAX(Tabla2[Tasa Inmigrantes])</f>
        <v>0.29188185458132648</v>
      </c>
      <c r="B119" s="233">
        <f>MAX(Tabla2[Esperanza de Vida])</f>
        <v>88.66</v>
      </c>
      <c r="C119" s="234">
        <f>MAX(Tabla2[Sin Estudios o Primarios])</f>
        <v>0.74686231081579924</v>
      </c>
      <c r="D119" s="235">
        <f>MAX(Tabla2[Tasa demanda Dependientes])</f>
        <v>0.10567537553334502</v>
      </c>
      <c r="E119" s="233">
        <f>MAX(Tabla2[Familas perceptoras renta mínima])</f>
        <v>3327</v>
      </c>
      <c r="F119" s="233">
        <f>MAX(Tabla2[Renta media hogar])</f>
        <v>112320.74809387521</v>
      </c>
      <c r="G119" s="232">
        <f>MAX(Tabla2[Tasa Paro Absoluto])</f>
        <v>13.77</v>
      </c>
      <c r="H119" s="232">
        <f>MAX(Tabla2[Tasa Paro mayores 45])</f>
        <v>17.18</v>
      </c>
      <c r="I119" s="199">
        <f>MAX(Tabla2[Tasa de Parados Sin Prestación])</f>
        <v>7.7258347536776961E-2</v>
      </c>
      <c r="J119" s="236">
        <f>MAX(Tabla2[Población])</f>
        <v>1.7360434481184451E-2</v>
      </c>
      <c r="K119" s="236">
        <f>MAX(Tabla2[Estatus Socio-Económico])</f>
        <v>7.665235628526096E-3</v>
      </c>
      <c r="L119" s="236">
        <f>MAX(Tabla2[Actividad Económica])</f>
        <v>1.343667501397168E-2</v>
      </c>
      <c r="M119" s="236">
        <f>MAX(Tabla2[Desarrollo Urbanístico])</f>
        <v>7.6767671805442203E-3</v>
      </c>
      <c r="N119" s="199">
        <f>MAX(Tabla2[Valor Catastral])</f>
        <v>386518.19</v>
      </c>
      <c r="O119" s="236">
        <f>MAX(Tabla2[Tasa SAD Dependencia])</f>
        <v>0.11904532459606181</v>
      </c>
      <c r="P119" s="236">
        <f>MAX(Tabla2[Tasa Teleasistencia Dependencia])</f>
        <v>0.1156125249500998</v>
      </c>
      <c r="Q119" s="237" t="e">
        <f>MAX(#REF!:#REF!)</f>
        <v>#REF!</v>
      </c>
      <c r="R119" s="236">
        <f>MAX(Tabla2[Vulnerabilidad])</f>
        <v>1.1807831237438712E-2</v>
      </c>
      <c r="S119" s="237" t="e">
        <f>MAX(#REF!:#REF!)</f>
        <v>#REF!</v>
      </c>
      <c r="U119" s="242" t="e">
        <f t="shared" si="10"/>
        <v>#REF!</v>
      </c>
      <c r="V119" s="197" t="e">
        <f ca="1">COUNTIFS(#REF!,CONCATENATE("&lt;",TEXT(1+OFFSET(U119,0,0),"0")),#REF!,CONCATENATE("&gt;=", TEXT(OFFSET(U118,0,0),"0")))</f>
        <v>#REF!</v>
      </c>
      <c r="W119" s="197" t="e">
        <f t="shared" ref="W119:W125" ca="1" si="14">CONCATENATE( TEXT(OFFSET(U118,0,0)+1,"#.##0€")," - ",TEXT(OFFSET(U119,0,0),"#.##0€"))</f>
        <v>#REF!</v>
      </c>
      <c r="Z119" s="242" t="e">
        <f t="shared" si="11"/>
        <v>#REF!</v>
      </c>
      <c r="AA119" s="197" t="e">
        <f ca="1">COUNTIFS(#REF!,CONCATENATE("&lt;",TEXT(1+OFFSET(Z119,0,0),"0")),#REF!,CONCATENATE("&gt;=", TEXT(OFFSET(Z118,0,0),"0")))</f>
        <v>#REF!</v>
      </c>
      <c r="AB119" s="197" t="e">
        <f ca="1">COUNTIFS(#REF!,CONCATENATE("&lt;",TEXT(1+OFFSET(Z119,0,0),"0")),#REF!,CONCATENATE("&gt;=", TEXT(OFFSET(Z118,0,0),"0")))</f>
        <v>#REF!</v>
      </c>
      <c r="AC119" s="197" t="e">
        <f t="shared" ref="AC119:AC125" ca="1" si="15">CONCATENATE( TEXT(OFFSET(Z118,0,0)+1,"#.##0€")," - ",TEXT(OFFSET(Z119,0,0),"#.##0€"))</f>
        <v>#REF!</v>
      </c>
      <c r="AD119" s="239"/>
      <c r="AE119" s="240">
        <f t="shared" si="12"/>
        <v>7.2415924674144932E-3</v>
      </c>
      <c r="AF119" s="243">
        <f ca="1">COUNTIFS(aux!AJ5:AJ132,CONCATENATE("&lt;=",TEXT(OFFSET(AE119,0,0),"0,0000")),aux!AJ5:AJ132,CONCATENATE("&gt;", TEXT(OFFSET(AE118,0,0),"0,0000")))</f>
        <v>12</v>
      </c>
      <c r="AG119" s="197" t="str">
        <f t="shared" ca="1" si="13"/>
        <v>0,0066 - 0,0072</v>
      </c>
      <c r="AI119" s="197" t="e">
        <f>MID(#REF!,5,LEN(#REF!)-4)</f>
        <v>#REF!</v>
      </c>
      <c r="AJ119" s="197" t="e">
        <f>#REF!</f>
        <v>#REF!</v>
      </c>
      <c r="AK119" s="197" t="e">
        <f>_xlfn.RANK.EQ(#REF!,#REF!)</f>
        <v>#REF!</v>
      </c>
      <c r="AL119" s="198" t="e">
        <f>#REF!</f>
        <v>#REF!</v>
      </c>
      <c r="AM119" s="241" t="e">
        <f>_xlfn.RANK.EQ(#REF!,#REF!)</f>
        <v>#REF!</v>
      </c>
      <c r="AN119" s="198">
        <v>822236.94127857836</v>
      </c>
      <c r="AO119" s="197" t="e">
        <f>_xlfn.RANK.EQ(#REF!,#REF!)</f>
        <v>#REF!</v>
      </c>
      <c r="AP119" s="197">
        <v>21</v>
      </c>
      <c r="AQ119" s="198" t="e">
        <f>#REF!</f>
        <v>#REF!</v>
      </c>
      <c r="AR119" s="197">
        <v>5</v>
      </c>
      <c r="AS119" s="197" t="e">
        <f t="shared" si="0"/>
        <v>#N/A</v>
      </c>
      <c r="AT119" s="198" t="e">
        <f t="shared" si="1"/>
        <v>#N/A</v>
      </c>
      <c r="AU119" s="197" t="e">
        <f t="shared" si="2"/>
        <v>#N/A</v>
      </c>
      <c r="AV119" s="198" t="e">
        <f t="shared" si="3"/>
        <v>#N/A</v>
      </c>
      <c r="AW119" s="198" t="e">
        <f t="shared" si="4"/>
        <v>#N/A</v>
      </c>
      <c r="AY119" s="197" t="e">
        <f t="shared" si="5"/>
        <v>#REF!</v>
      </c>
      <c r="AZ119" s="198" t="e">
        <f t="shared" si="6"/>
        <v>#REF!</v>
      </c>
      <c r="BA119" s="198">
        <f t="shared" si="7"/>
        <v>1850033.1178768014</v>
      </c>
      <c r="BB119" s="198" t="e">
        <f t="shared" si="8"/>
        <v>#REF!</v>
      </c>
      <c r="BC119" s="197" t="e">
        <f t="shared" si="9"/>
        <v>#REF!</v>
      </c>
    </row>
    <row r="120" spans="1:58" s="197" customFormat="1">
      <c r="A120" s="236"/>
      <c r="B120" s="233"/>
      <c r="C120" s="233"/>
      <c r="D120" s="235"/>
      <c r="E120" s="233"/>
      <c r="F120" s="233"/>
      <c r="G120" s="233"/>
      <c r="H120" s="233"/>
      <c r="I120" s="199"/>
      <c r="J120" s="236"/>
      <c r="K120" s="236"/>
      <c r="L120" s="236"/>
      <c r="M120" s="236"/>
      <c r="Q120" s="237"/>
      <c r="R120" s="236"/>
      <c r="S120" s="237"/>
      <c r="U120" s="242" t="e">
        <f t="shared" si="10"/>
        <v>#REF!</v>
      </c>
      <c r="V120" s="197" t="e">
        <f ca="1">COUNTIFS(#REF!,CONCATENATE("&lt;",TEXT(1+OFFSET(U120,0,0),"0")),#REF!,CONCATENATE("&gt;=", TEXT(OFFSET(U119,0,0),"0")))</f>
        <v>#REF!</v>
      </c>
      <c r="W120" s="197" t="e">
        <f t="shared" ca="1" si="14"/>
        <v>#REF!</v>
      </c>
      <c r="Z120" s="242" t="e">
        <f t="shared" si="11"/>
        <v>#REF!</v>
      </c>
      <c r="AA120" s="197" t="e">
        <f ca="1">COUNTIFS(#REF!,CONCATENATE("&lt;",TEXT(1+OFFSET(Z120,0,0),"0")),#REF!,CONCATENATE("&gt;=", TEXT(OFFSET(Z119,0,0),"0")))</f>
        <v>#REF!</v>
      </c>
      <c r="AB120" s="197" t="e">
        <f ca="1">COUNTIFS(#REF!,CONCATENATE("&lt;",TEXT(1+OFFSET(Z120,0,0),"0")),#REF!,CONCATENATE("&gt;=", TEXT(OFFSET(Z119,0,0),"0")))</f>
        <v>#REF!</v>
      </c>
      <c r="AC120" s="197" t="e">
        <f t="shared" ca="1" si="15"/>
        <v>#REF!</v>
      </c>
      <c r="AD120" s="239"/>
      <c r="AE120" s="240">
        <f t="shared" si="12"/>
        <v>7.8939122917036676E-3</v>
      </c>
      <c r="AF120" s="243">
        <f ca="1">COUNTIFS(aux!AJ5:AJ132,CONCATENATE("&lt;=",TEXT(OFFSET(AE120,0,0),"0,0000")),aux!AJ5:AJ132,CONCATENATE("&gt;", TEXT(OFFSET(AE119,0,0),"0,0000")))</f>
        <v>20</v>
      </c>
      <c r="AG120" s="197" t="str">
        <f t="shared" ca="1" si="13"/>
        <v>0,0072 - 0,0079</v>
      </c>
      <c r="AI120" s="197" t="e">
        <f>MID(#REF!,5,LEN(#REF!)-4)</f>
        <v>#REF!</v>
      </c>
      <c r="AJ120" s="197" t="e">
        <f>#REF!</f>
        <v>#REF!</v>
      </c>
      <c r="AK120" s="197" t="e">
        <f>_xlfn.RANK.EQ(#REF!,#REF!)</f>
        <v>#REF!</v>
      </c>
      <c r="AL120" s="198" t="e">
        <f>#REF!</f>
        <v>#REF!</v>
      </c>
      <c r="AM120" s="241" t="e">
        <f>_xlfn.RANK.EQ(#REF!,#REF!)</f>
        <v>#REF!</v>
      </c>
      <c r="AN120" s="198">
        <v>1519082.7490121739</v>
      </c>
      <c r="AO120" s="197" t="e">
        <f>_xlfn.RANK.EQ(#REF!,#REF!)</f>
        <v>#REF!</v>
      </c>
      <c r="AP120" s="197">
        <v>9</v>
      </c>
      <c r="AQ120" s="198" t="e">
        <f>#REF!</f>
        <v>#REF!</v>
      </c>
      <c r="AR120" s="197">
        <v>6</v>
      </c>
      <c r="AS120" s="197" t="e">
        <f t="shared" si="0"/>
        <v>#N/A</v>
      </c>
      <c r="AT120" s="198" t="e">
        <f t="shared" si="1"/>
        <v>#N/A</v>
      </c>
      <c r="AU120" s="197" t="e">
        <f t="shared" si="2"/>
        <v>#N/A</v>
      </c>
      <c r="AV120" s="198" t="e">
        <f t="shared" si="3"/>
        <v>#N/A</v>
      </c>
      <c r="AW120" s="198" t="e">
        <f t="shared" si="4"/>
        <v>#N/A</v>
      </c>
      <c r="AY120" s="197" t="e">
        <f t="shared" si="5"/>
        <v>#REF!</v>
      </c>
      <c r="AZ120" s="198" t="e">
        <f t="shared" si="6"/>
        <v>#REF!</v>
      </c>
      <c r="BA120" s="198">
        <f t="shared" si="7"/>
        <v>1918552.8629833497</v>
      </c>
      <c r="BB120" s="198" t="e">
        <f t="shared" si="8"/>
        <v>#REF!</v>
      </c>
      <c r="BC120" s="197" t="e">
        <f t="shared" si="9"/>
        <v>#REF!</v>
      </c>
      <c r="BE120" s="13"/>
      <c r="BF120" s="13"/>
    </row>
    <row r="121" spans="1:58" s="197" customFormat="1">
      <c r="A121" s="236">
        <f>A115</f>
        <v>1.7546754675467548E-2</v>
      </c>
      <c r="B121" s="233">
        <f>B115</f>
        <v>78.36</v>
      </c>
      <c r="C121" s="233">
        <f>C115</f>
        <v>0.13226584777363457</v>
      </c>
      <c r="D121" s="235">
        <f>D115</f>
        <v>9.351803144543808E-3</v>
      </c>
      <c r="E121" s="233">
        <f t="shared" ref="E121:R121" si="16">E115</f>
        <v>73</v>
      </c>
      <c r="F121" s="233">
        <f t="shared" si="16"/>
        <v>19587.094904064368</v>
      </c>
      <c r="G121" s="232">
        <f t="shared" si="16"/>
        <v>2.94</v>
      </c>
      <c r="H121" s="232">
        <f t="shared" si="16"/>
        <v>3.7</v>
      </c>
      <c r="I121" s="199">
        <f t="shared" si="16"/>
        <v>2.8481565612441029E-2</v>
      </c>
      <c r="J121" s="236">
        <f t="shared" si="16"/>
        <v>3.1935373223066187E-3</v>
      </c>
      <c r="K121" s="236">
        <f t="shared" si="16"/>
        <v>7.5370649433810491E-3</v>
      </c>
      <c r="L121" s="236">
        <f t="shared" si="16"/>
        <v>3.8677573220674494E-3</v>
      </c>
      <c r="M121" s="236">
        <f t="shared" si="16"/>
        <v>7.4688178989360541E-3</v>
      </c>
      <c r="N121" s="232">
        <f t="shared" si="16"/>
        <v>26876.799999999999</v>
      </c>
      <c r="O121" s="235">
        <f>O115</f>
        <v>8.2554367029648908E-3</v>
      </c>
      <c r="P121" s="235">
        <f>P115</f>
        <v>9.2315369261477039E-3</v>
      </c>
      <c r="Q121" s="237" t="e">
        <f t="shared" si="16"/>
        <v>#REF!</v>
      </c>
      <c r="R121" s="236">
        <f t="shared" si="16"/>
        <v>5.28463299454697E-3</v>
      </c>
      <c r="S121" s="237" t="e">
        <f>S115</f>
        <v>#REF!</v>
      </c>
      <c r="U121" s="242" t="e">
        <f t="shared" si="10"/>
        <v>#REF!</v>
      </c>
      <c r="V121" s="197" t="e">
        <f ca="1">COUNTIFS(#REF!,CONCATENATE("&lt;",TEXT(1+OFFSET(U121,0,0),"0")),#REF!,CONCATENATE("&gt;=", TEXT(OFFSET(U120,0,0),"0")))</f>
        <v>#REF!</v>
      </c>
      <c r="W121" s="197" t="e">
        <f t="shared" ca="1" si="14"/>
        <v>#REF!</v>
      </c>
      <c r="Z121" s="242" t="e">
        <f t="shared" si="11"/>
        <v>#REF!</v>
      </c>
      <c r="AA121" s="197" t="e">
        <f ca="1">COUNTIFS(#REF!,CONCATENATE("&lt;",TEXT(1+OFFSET(Z121,0,0),"0")),#REF!,CONCATENATE("&gt;=", TEXT(OFFSET(Z120,0,0),"0")))</f>
        <v>#REF!</v>
      </c>
      <c r="AB121" s="197" t="e">
        <f ca="1">COUNTIFS(#REF!,CONCATENATE("&lt;",TEXT(1+OFFSET(Z121,0,0),"0")),#REF!,CONCATENATE("&gt;=", TEXT(OFFSET(Z120,0,0),"0")))</f>
        <v>#REF!</v>
      </c>
      <c r="AC121" s="197" t="e">
        <f t="shared" ca="1" si="15"/>
        <v>#REF!</v>
      </c>
      <c r="AD121" s="239"/>
      <c r="AE121" s="240">
        <f t="shared" si="12"/>
        <v>8.5462321159928412E-3</v>
      </c>
      <c r="AF121" s="243">
        <f ca="1">COUNTIFS(aux!AJ5:AJ132,CONCATENATE("&lt;=",TEXT(OFFSET(AE121,0,0),"0,0000")),aux!AJ5:AJ132,CONCATENATE("&gt;", TEXT(OFFSET(AE120,0,0),"0,0000")))</f>
        <v>14</v>
      </c>
      <c r="AG121" s="197" t="str">
        <f t="shared" ca="1" si="13"/>
        <v>0,0079 - 0,0085</v>
      </c>
      <c r="AI121" s="197" t="e">
        <f>MID(#REF!,5,LEN(#REF!)-4)</f>
        <v>#REF!</v>
      </c>
      <c r="AJ121" s="197" t="e">
        <f>#REF!</f>
        <v>#REF!</v>
      </c>
      <c r="AK121" s="197" t="e">
        <f>_xlfn.RANK.EQ(#REF!,#REF!)</f>
        <v>#REF!</v>
      </c>
      <c r="AL121" s="198" t="e">
        <f>#REF!</f>
        <v>#REF!</v>
      </c>
      <c r="AM121" s="241" t="e">
        <f>_xlfn.RANK.EQ(#REF!,#REF!)</f>
        <v>#REF!</v>
      </c>
      <c r="AN121" s="198">
        <v>856496.8138318524</v>
      </c>
      <c r="AO121" s="197" t="e">
        <f>_xlfn.RANK.EQ(#REF!,#REF!)</f>
        <v>#REF!</v>
      </c>
      <c r="AP121" s="197">
        <v>17</v>
      </c>
      <c r="AQ121" s="198" t="e">
        <f>#REF!</f>
        <v>#REF!</v>
      </c>
      <c r="AR121" s="197">
        <v>7</v>
      </c>
      <c r="AS121" s="197" t="e">
        <f t="shared" si="0"/>
        <v>#N/A</v>
      </c>
      <c r="AT121" s="198" t="e">
        <f t="shared" si="1"/>
        <v>#N/A</v>
      </c>
      <c r="AU121" s="197" t="e">
        <f t="shared" si="2"/>
        <v>#N/A</v>
      </c>
      <c r="AV121" s="198" t="e">
        <f t="shared" si="3"/>
        <v>#N/A</v>
      </c>
      <c r="AW121" s="198" t="e">
        <f t="shared" si="4"/>
        <v>#N/A</v>
      </c>
      <c r="AY121" s="197" t="e">
        <f t="shared" si="5"/>
        <v>#REF!</v>
      </c>
      <c r="AZ121" s="198" t="e">
        <f t="shared" si="6"/>
        <v>#REF!</v>
      </c>
      <c r="BA121" s="198">
        <f t="shared" si="7"/>
        <v>1884292.9904300752</v>
      </c>
      <c r="BB121" s="198" t="e">
        <f t="shared" si="8"/>
        <v>#REF!</v>
      </c>
      <c r="BC121" s="197" t="e">
        <f t="shared" si="9"/>
        <v>#REF!</v>
      </c>
      <c r="BE121" s="13"/>
      <c r="BF121" s="13"/>
    </row>
    <row r="122" spans="1:58" s="197" customFormat="1">
      <c r="A122" s="236">
        <f t="shared" ref="A122:D124" si="17">A116-A115</f>
        <v>3.0278633015573923E-2</v>
      </c>
      <c r="B122" s="233">
        <f t="shared" si="17"/>
        <v>4.0150000000000006</v>
      </c>
      <c r="C122" s="233">
        <f t="shared" si="17"/>
        <v>8.5485408095682613E-2</v>
      </c>
      <c r="D122" s="235">
        <f t="shared" si="17"/>
        <v>2.5366766029575077E-2</v>
      </c>
      <c r="E122" s="233">
        <f t="shared" ref="E122:R122" si="18">E116-E115</f>
        <v>169</v>
      </c>
      <c r="F122" s="233">
        <f t="shared" si="18"/>
        <v>8994.2830245462974</v>
      </c>
      <c r="G122" s="232">
        <f t="shared" si="18"/>
        <v>2.7900000000000005</v>
      </c>
      <c r="H122" s="232">
        <f t="shared" si="18"/>
        <v>3.6399999999999997</v>
      </c>
      <c r="I122" s="199">
        <f t="shared" si="18"/>
        <v>4.7038482405398693E-3</v>
      </c>
      <c r="J122" s="236">
        <f t="shared" si="18"/>
        <v>1.8535006368053022E-3</v>
      </c>
      <c r="K122" s="236">
        <f t="shared" si="18"/>
        <v>8.936266554931873E-5</v>
      </c>
      <c r="L122" s="236">
        <f t="shared" si="18"/>
        <v>1.9157826375302981E-3</v>
      </c>
      <c r="M122" s="236">
        <f t="shared" si="18"/>
        <v>1.5637144722667213E-4</v>
      </c>
      <c r="N122" s="232">
        <f t="shared" si="18"/>
        <v>34254.595000000001</v>
      </c>
      <c r="O122" s="235">
        <f t="shared" ref="O122:P125" si="19">O116-O115</f>
        <v>1.6864218945745399E-2</v>
      </c>
      <c r="P122" s="235">
        <f t="shared" si="19"/>
        <v>1.9585828343313377E-2</v>
      </c>
      <c r="Q122" s="237" t="e">
        <f t="shared" si="18"/>
        <v>#REF!</v>
      </c>
      <c r="R122" s="236">
        <f t="shared" si="18"/>
        <v>9.1432456443738073E-4</v>
      </c>
      <c r="S122" s="237" t="e">
        <f>S116-S115</f>
        <v>#REF!</v>
      </c>
      <c r="U122" s="242" t="e">
        <f t="shared" si="10"/>
        <v>#REF!</v>
      </c>
      <c r="V122" s="197" t="e">
        <f ca="1">COUNTIFS(#REF!,CONCATENATE("&lt;",TEXT(1+OFFSET(U122,0,0),"0")),#REF!,CONCATENATE("&gt;=", TEXT(OFFSET(U121,0,0),"0")))</f>
        <v>#REF!</v>
      </c>
      <c r="W122" s="197" t="e">
        <f t="shared" ca="1" si="14"/>
        <v>#REF!</v>
      </c>
      <c r="Z122" s="242" t="e">
        <f t="shared" si="11"/>
        <v>#REF!</v>
      </c>
      <c r="AA122" s="197" t="e">
        <f ca="1">COUNTIFS(#REF!,CONCATENATE("&lt;",TEXT(1+OFFSET(Z122,0,0),"0")),#REF!,CONCATENATE("&gt;=", TEXT(OFFSET(Z121,0,0),"0")))</f>
        <v>#REF!</v>
      </c>
      <c r="AB122" s="197" t="e">
        <f ca="1">COUNTIFS(#REF!,CONCATENATE("&lt;",TEXT(1+OFFSET(Z122,0,0),"0")),#REF!,CONCATENATE("&gt;=", TEXT(OFFSET(Z121,0,0),"0")))</f>
        <v>#REF!</v>
      </c>
      <c r="AC122" s="197" t="e">
        <f t="shared" ca="1" si="15"/>
        <v>#REF!</v>
      </c>
      <c r="AD122" s="239"/>
      <c r="AE122" s="240">
        <f t="shared" si="12"/>
        <v>9.1985519402820147E-3</v>
      </c>
      <c r="AF122" s="243">
        <f ca="1">COUNTIFS(aux!AJ5:AJ132,CONCATENATE("&lt;=",TEXT(OFFSET(AE122,0,0),"0,0000")),aux!AJ5:AJ132,CONCATENATE("&gt;", TEXT(OFFSET(AE121,0,0),"0,0000")))</f>
        <v>9</v>
      </c>
      <c r="AG122" s="197" t="str">
        <f t="shared" ca="1" si="13"/>
        <v>0,0085 - 0,0092</v>
      </c>
      <c r="AI122" s="197" t="e">
        <f>MID(#REF!,5,LEN(#REF!)-4)</f>
        <v>#REF!</v>
      </c>
      <c r="AJ122" s="197" t="e">
        <f>#REF!</f>
        <v>#REF!</v>
      </c>
      <c r="AK122" s="197" t="e">
        <f>_xlfn.RANK.EQ(#REF!,#REF!)</f>
        <v>#REF!</v>
      </c>
      <c r="AL122" s="198" t="e">
        <f>#REF!</f>
        <v>#REF!</v>
      </c>
      <c r="AM122" s="241" t="e">
        <f>_xlfn.RANK.EQ(#REF!,#REF!)</f>
        <v>#REF!</v>
      </c>
      <c r="AN122" s="198">
        <v>1096315.9217047712</v>
      </c>
      <c r="AO122" s="197" t="e">
        <f>_xlfn.RANK.EQ(#REF!,#REF!)</f>
        <v>#REF!</v>
      </c>
      <c r="AP122" s="197">
        <v>16</v>
      </c>
      <c r="AQ122" s="198" t="e">
        <f>#REF!</f>
        <v>#REF!</v>
      </c>
      <c r="AR122" s="197">
        <v>8</v>
      </c>
      <c r="AS122" s="197" t="e">
        <f t="shared" si="0"/>
        <v>#N/A</v>
      </c>
      <c r="AT122" s="198" t="e">
        <f t="shared" si="1"/>
        <v>#N/A</v>
      </c>
      <c r="AU122" s="197" t="e">
        <f t="shared" si="2"/>
        <v>#N/A</v>
      </c>
      <c r="AV122" s="198" t="e">
        <f t="shared" si="3"/>
        <v>#N/A</v>
      </c>
      <c r="AW122" s="198" t="e">
        <f t="shared" si="4"/>
        <v>#N/A</v>
      </c>
      <c r="AY122" s="197" t="e">
        <f t="shared" si="5"/>
        <v>#REF!</v>
      </c>
      <c r="AZ122" s="198" t="e">
        <f t="shared" si="6"/>
        <v>#REF!</v>
      </c>
      <c r="BA122" s="198">
        <f t="shared" si="7"/>
        <v>1627343.9462805197</v>
      </c>
      <c r="BB122" s="198" t="e">
        <f t="shared" si="8"/>
        <v>#REF!</v>
      </c>
      <c r="BC122" s="197" t="e">
        <f t="shared" si="9"/>
        <v>#REF!</v>
      </c>
      <c r="BE122" s="13"/>
      <c r="BF122" s="13"/>
    </row>
    <row r="123" spans="1:58" s="197" customFormat="1">
      <c r="A123" s="236">
        <f t="shared" si="17"/>
        <v>2.2230578807334325E-2</v>
      </c>
      <c r="B123" s="233">
        <f t="shared" si="17"/>
        <v>0.78499999999999659</v>
      </c>
      <c r="C123" s="233">
        <f t="shared" si="17"/>
        <v>0.12841863152120139</v>
      </c>
      <c r="D123" s="235">
        <f t="shared" si="17"/>
        <v>6.721608510140864E-3</v>
      </c>
      <c r="E123" s="233">
        <f t="shared" ref="E123:R123" si="20">E117-E116</f>
        <v>354</v>
      </c>
      <c r="F123" s="233">
        <f t="shared" si="20"/>
        <v>8110.1004639949679</v>
      </c>
      <c r="G123" s="232">
        <f t="shared" si="20"/>
        <v>1.63</v>
      </c>
      <c r="H123" s="232">
        <f t="shared" si="20"/>
        <v>1.8900000000000006</v>
      </c>
      <c r="I123" s="199">
        <f t="shared" si="20"/>
        <v>1.3285331191940822E-2</v>
      </c>
      <c r="J123" s="236">
        <f t="shared" si="20"/>
        <v>1.8379698089902915E-3</v>
      </c>
      <c r="K123" s="236">
        <f t="shared" si="20"/>
        <v>1.5167405047493768E-5</v>
      </c>
      <c r="L123" s="236">
        <f t="shared" si="20"/>
        <v>1.6724601374055077E-3</v>
      </c>
      <c r="M123" s="236">
        <f t="shared" si="20"/>
        <v>1.8356018164631012E-5</v>
      </c>
      <c r="N123" s="232">
        <f t="shared" si="20"/>
        <v>23201.434999999998</v>
      </c>
      <c r="O123" s="235">
        <f t="shared" si="19"/>
        <v>1.6992708232951081E-2</v>
      </c>
      <c r="P123" s="235">
        <f t="shared" si="19"/>
        <v>1.462699600798403E-2</v>
      </c>
      <c r="Q123" s="237" t="e">
        <f t="shared" si="20"/>
        <v>#REF!</v>
      </c>
      <c r="R123" s="236">
        <f t="shared" si="20"/>
        <v>1.1360563398712309E-3</v>
      </c>
      <c r="S123" s="237" t="e">
        <f>S117-S116</f>
        <v>#REF!</v>
      </c>
      <c r="U123" s="242" t="e">
        <f t="shared" si="10"/>
        <v>#REF!</v>
      </c>
      <c r="V123" s="197" t="e">
        <f ca="1">COUNTIFS(#REF!,CONCATENATE("&lt;",TEXT(1+OFFSET(U123,0,0),"0")),#REF!,CONCATENATE("&gt;=", TEXT(OFFSET(U122,0,0),"0")))</f>
        <v>#REF!</v>
      </c>
      <c r="W123" s="197" t="e">
        <f ca="1">CONCATENATE( TEXT(OFFSET(U122,0,0)+1,"#.##0€")," - ",TEXT(OFFSET(U123,0,0),"#.##0€"))</f>
        <v>#REF!</v>
      </c>
      <c r="Z123" s="242" t="e">
        <f t="shared" si="11"/>
        <v>#REF!</v>
      </c>
      <c r="AA123" s="197" t="e">
        <f ca="1">COUNTIFS(#REF!,CONCATENATE("&lt;",TEXT(1+OFFSET(Z123,0,0),"0")),#REF!,CONCATENATE("&gt;=", TEXT(OFFSET(Z122,0,0),"0")))</f>
        <v>#REF!</v>
      </c>
      <c r="AB123" s="197" t="e">
        <f ca="1">COUNTIFS(#REF!,CONCATENATE("&lt;",TEXT(1+OFFSET(Z123,0,0),"0")),#REF!,CONCATENATE("&gt;=", TEXT(OFFSET(Z122,0,0),"0")))</f>
        <v>#REF!</v>
      </c>
      <c r="AC123" s="197" t="e">
        <f ca="1">CONCATENATE( TEXT(OFFSET(Z122,0,0)+1,"#.##0€")," - ",TEXT(OFFSET(Z123,0,0),"#.##0€"))</f>
        <v>#REF!</v>
      </c>
      <c r="AD123" s="239"/>
      <c r="AE123" s="240">
        <f t="shared" si="12"/>
        <v>9.8508717645711882E-3</v>
      </c>
      <c r="AF123" s="243">
        <f ca="1">COUNTIFS(aux!AJ5:AJ132,CONCATENATE("&lt;=",TEXT(OFFSET(AE123,0,0),"0,0000")),aux!AJ5:AJ132,CONCATENATE("&gt;", TEXT(OFFSET(AE122,0,0),"0,0000")))</f>
        <v>16</v>
      </c>
      <c r="AG123" s="197" t="str">
        <f ca="1">CONCATENATE( TEXT(OFFSET(AE122,0,0),"0,####")," - ",TEXT(OFFSET(AE123,0,0),"0,####"))</f>
        <v>0,0092 - 0,0099</v>
      </c>
      <c r="AI123" s="197" t="e">
        <f>MID(#REF!,5,LEN(#REF!)-4)</f>
        <v>#REF!</v>
      </c>
      <c r="AJ123" s="197" t="e">
        <f>#REF!</f>
        <v>#REF!</v>
      </c>
      <c r="AK123" s="197" t="e">
        <f>_xlfn.RANK.EQ(#REF!,#REF!)</f>
        <v>#REF!</v>
      </c>
      <c r="AL123" s="198" t="e">
        <f>#REF!</f>
        <v>#REF!</v>
      </c>
      <c r="AM123" s="241" t="e">
        <f>_xlfn.RANK.EQ(#REF!,#REF!)</f>
        <v>#REF!</v>
      </c>
      <c r="AN123" s="198">
        <v>1018203.4122833062</v>
      </c>
      <c r="AO123" s="197" t="e">
        <f>_xlfn.RANK.EQ(#REF!,#REF!)</f>
        <v>#REF!</v>
      </c>
      <c r="AP123" s="197">
        <v>19</v>
      </c>
      <c r="AQ123" s="198" t="e">
        <f>#REF!</f>
        <v>#REF!</v>
      </c>
      <c r="AR123" s="197">
        <v>9</v>
      </c>
      <c r="AS123" s="197" t="e">
        <f t="shared" si="0"/>
        <v>#N/A</v>
      </c>
      <c r="AT123" s="198" t="e">
        <f t="shared" si="1"/>
        <v>#N/A</v>
      </c>
      <c r="AU123" s="197" t="e">
        <f t="shared" si="2"/>
        <v>#N/A</v>
      </c>
      <c r="AV123" s="198" t="e">
        <f t="shared" si="3"/>
        <v>#N/A</v>
      </c>
      <c r="AW123" s="198" t="e">
        <f t="shared" si="4"/>
        <v>#N/A</v>
      </c>
      <c r="AY123" s="197" t="e">
        <f t="shared" si="5"/>
        <v>#REF!</v>
      </c>
      <c r="AZ123" s="198" t="e">
        <f t="shared" si="6"/>
        <v>#REF!</v>
      </c>
      <c r="BA123" s="198">
        <f t="shared" si="7"/>
        <v>1519082.7490121739</v>
      </c>
      <c r="BB123" s="198" t="e">
        <f t="shared" si="8"/>
        <v>#REF!</v>
      </c>
      <c r="BC123" s="197" t="e">
        <f t="shared" si="9"/>
        <v>#REF!</v>
      </c>
    </row>
    <row r="124" spans="1:58" s="197" customFormat="1">
      <c r="A124" s="236">
        <f t="shared" si="17"/>
        <v>3.4816012868146132E-2</v>
      </c>
      <c r="B124" s="233">
        <f t="shared" si="17"/>
        <v>0.75</v>
      </c>
      <c r="C124" s="233">
        <f t="shared" si="17"/>
        <v>0.16496634713726577</v>
      </c>
      <c r="D124" s="235">
        <f t="shared" si="17"/>
        <v>1.6248757963644861E-2</v>
      </c>
      <c r="E124" s="233">
        <f t="shared" ref="E124:R124" si="21">E118-E117</f>
        <v>634</v>
      </c>
      <c r="F124" s="233">
        <f t="shared" si="21"/>
        <v>10973.8734553225</v>
      </c>
      <c r="G124" s="232">
        <f t="shared" si="21"/>
        <v>1.87</v>
      </c>
      <c r="H124" s="232">
        <f t="shared" si="21"/>
        <v>1.8149999999999995</v>
      </c>
      <c r="I124" s="199">
        <f t="shared" si="21"/>
        <v>1.0637064686576166E-2</v>
      </c>
      <c r="J124" s="236">
        <f t="shared" si="21"/>
        <v>3.1851604609700341E-3</v>
      </c>
      <c r="K124" s="236">
        <f t="shared" si="21"/>
        <v>1.1209276215375097E-5</v>
      </c>
      <c r="L124" s="236">
        <f t="shared" si="21"/>
        <v>1.7433229741283026E-3</v>
      </c>
      <c r="M124" s="236">
        <f t="shared" si="21"/>
        <v>1.3415368404978527E-5</v>
      </c>
      <c r="N124" s="232">
        <f t="shared" si="21"/>
        <v>31746.125</v>
      </c>
      <c r="O124" s="235">
        <f t="shared" si="19"/>
        <v>2.5280267257717384E-2</v>
      </c>
      <c r="P124" s="235">
        <f t="shared" si="19"/>
        <v>2.0989271457085831E-2</v>
      </c>
      <c r="Q124" s="237" t="e">
        <f t="shared" si="21"/>
        <v>#REF!</v>
      </c>
      <c r="R124" s="236">
        <f t="shared" si="21"/>
        <v>1.4361942012262718E-3</v>
      </c>
      <c r="S124" s="237" t="e">
        <f>S118-S117</f>
        <v>#REF!</v>
      </c>
      <c r="U124" s="242" t="e">
        <f t="shared" si="10"/>
        <v>#REF!</v>
      </c>
      <c r="V124" s="197" t="e">
        <f ca="1">COUNTIFS(#REF!,CONCATENATE("&lt;",TEXT(1+OFFSET(U124,0,0),"0")),#REF!,CONCATENATE("&gt;=", TEXT(OFFSET(U123,0,0),"0")))</f>
        <v>#REF!</v>
      </c>
      <c r="W124" s="197" t="e">
        <f t="shared" ca="1" si="14"/>
        <v>#REF!</v>
      </c>
      <c r="Z124" s="242" t="e">
        <f t="shared" si="11"/>
        <v>#REF!</v>
      </c>
      <c r="AA124" s="197" t="e">
        <f ca="1">COUNTIFS(#REF!,CONCATENATE("&lt;",TEXT(1+OFFSET(Z124,0,0),"0")),#REF!,CONCATENATE("&gt;=", TEXT(OFFSET(Z123,0,0),"0")))</f>
        <v>#REF!</v>
      </c>
      <c r="AB124" s="197" t="e">
        <f ca="1">COUNTIFS(#REF!,CONCATENATE("&lt;",TEXT(1+OFFSET(Z124,0,0),"0")),#REF!,CONCATENATE("&gt;=", TEXT(OFFSET(Z123,0,0),"0")))</f>
        <v>#REF!</v>
      </c>
      <c r="AC124" s="197" t="e">
        <f t="shared" ca="1" si="15"/>
        <v>#REF!</v>
      </c>
      <c r="AD124" s="239"/>
      <c r="AE124" s="240">
        <f t="shared" si="12"/>
        <v>1.0503191588860362E-2</v>
      </c>
      <c r="AF124" s="243">
        <f ca="1">COUNTIFS(aux!AJ5:AJ132,CONCATENATE("&lt;=",TEXT(OFFSET(AE124,0,0),"0,0000")),aux!AJ5:AJ132,CONCATENATE("&gt;", TEXT(OFFSET(AE123,0,0),"0,0000")))</f>
        <v>5</v>
      </c>
      <c r="AG124" s="197" t="str">
        <f t="shared" ca="1" si="13"/>
        <v>0,0099 - 0,0105</v>
      </c>
      <c r="AI124" s="197" t="e">
        <f>MID(#REF!,5,LEN(#REF!)-4)</f>
        <v>#REF!</v>
      </c>
      <c r="AJ124" s="197" t="e">
        <f>#REF!</f>
        <v>#REF!</v>
      </c>
      <c r="AK124" s="197" t="e">
        <f>_xlfn.RANK.EQ(#REF!,#REF!)</f>
        <v>#REF!</v>
      </c>
      <c r="AL124" s="198" t="e">
        <f>#REF!</f>
        <v>#REF!</v>
      </c>
      <c r="AM124" s="241" t="e">
        <f>_xlfn.RANK.EQ(#REF!,#REF!)</f>
        <v>#REF!</v>
      </c>
      <c r="AN124" s="198">
        <v>1850033.1178768014</v>
      </c>
      <c r="AO124" s="197" t="e">
        <f>_xlfn.RANK.EQ(#REF!,#REF!)</f>
        <v>#REF!</v>
      </c>
      <c r="AP124" s="197">
        <v>5</v>
      </c>
      <c r="AQ124" s="198" t="e">
        <f>#REF!</f>
        <v>#REF!</v>
      </c>
      <c r="AR124" s="197">
        <v>10</v>
      </c>
      <c r="AS124" s="197" t="e">
        <f t="shared" si="0"/>
        <v>#N/A</v>
      </c>
      <c r="AT124" s="198" t="e">
        <f t="shared" si="1"/>
        <v>#N/A</v>
      </c>
      <c r="AU124" s="197" t="e">
        <f t="shared" si="2"/>
        <v>#N/A</v>
      </c>
      <c r="AV124" s="198" t="e">
        <f t="shared" si="3"/>
        <v>#N/A</v>
      </c>
      <c r="AW124" s="198" t="e">
        <f t="shared" si="4"/>
        <v>#N/A</v>
      </c>
      <c r="AY124" s="197" t="e">
        <f t="shared" si="5"/>
        <v>#REF!</v>
      </c>
      <c r="AZ124" s="198" t="e">
        <f t="shared" si="6"/>
        <v>#REF!</v>
      </c>
      <c r="BA124" s="198">
        <f t="shared" si="7"/>
        <v>1495786.0356759471</v>
      </c>
      <c r="BB124" s="198" t="e">
        <f t="shared" si="8"/>
        <v>#REF!</v>
      </c>
      <c r="BC124" s="197" t="e">
        <f t="shared" si="9"/>
        <v>#REF!</v>
      </c>
    </row>
    <row r="125" spans="1:58" s="197" customFormat="1">
      <c r="A125" s="236">
        <f t="shared" ref="A125:I125" si="22">A119-A118</f>
        <v>0.18700987521480456</v>
      </c>
      <c r="B125" s="233">
        <f t="shared" si="22"/>
        <v>4.75</v>
      </c>
      <c r="C125" s="233">
        <f>C119-C118</f>
        <v>0.2357260762880149</v>
      </c>
      <c r="D125" s="235">
        <f>D119-D118</f>
        <v>4.7986439885440414E-2</v>
      </c>
      <c r="E125" s="233">
        <f>E119-E118</f>
        <v>2097</v>
      </c>
      <c r="F125" s="233">
        <f>F119-F118</f>
        <v>64655.396245947079</v>
      </c>
      <c r="G125" s="232">
        <f t="shared" si="22"/>
        <v>4.5399999999999991</v>
      </c>
      <c r="H125" s="232">
        <f t="shared" si="22"/>
        <v>6.1349999999999998</v>
      </c>
      <c r="I125" s="199">
        <f t="shared" si="22"/>
        <v>2.0150537805279076E-2</v>
      </c>
      <c r="J125" s="236">
        <f>J119-J118</f>
        <v>7.2902662521122045E-3</v>
      </c>
      <c r="K125" s="236">
        <f>K119-K118</f>
        <v>1.2431338332859372E-5</v>
      </c>
      <c r="L125" s="236">
        <f>L119-L118</f>
        <v>4.2373519428401223E-3</v>
      </c>
      <c r="M125" s="236">
        <f>M119-M118</f>
        <v>1.9806447811884613E-5</v>
      </c>
      <c r="N125" s="232">
        <f>N119-N118</f>
        <v>270439.23499999999</v>
      </c>
      <c r="O125" s="235">
        <f t="shared" si="19"/>
        <v>5.1652693456683052E-2</v>
      </c>
      <c r="P125" s="235">
        <f t="shared" si="19"/>
        <v>5.1178892215568858E-2</v>
      </c>
      <c r="Q125" s="237" t="e">
        <f>Q119-Q118</f>
        <v>#REF!</v>
      </c>
      <c r="R125" s="236">
        <f>R119-R118</f>
        <v>3.036623137356859E-3</v>
      </c>
      <c r="S125" s="237" t="e">
        <f>S119-S118</f>
        <v>#REF!</v>
      </c>
      <c r="U125" s="242" t="e">
        <f t="shared" si="10"/>
        <v>#REF!</v>
      </c>
      <c r="V125" s="197" t="e">
        <f ca="1">COUNTIFS(#REF!,CONCATENATE("&lt;",TEXT(1+OFFSET(U125,0,0),"0")),#REF!,CONCATENATE("&gt;=", TEXT(OFFSET(U124,0,0),"0")))</f>
        <v>#REF!</v>
      </c>
      <c r="W125" s="197" t="e">
        <f t="shared" ca="1" si="14"/>
        <v>#REF!</v>
      </c>
      <c r="Z125" s="242" t="e">
        <f t="shared" si="11"/>
        <v>#REF!</v>
      </c>
      <c r="AA125" s="197" t="e">
        <f ca="1">COUNTIFS(#REF!,CONCATENATE("&lt;",TEXT(1+OFFSET(Z125,0,0),"0")),#REF!,CONCATENATE("&gt;=", TEXT(OFFSET(Z124,0,0),"0")))</f>
        <v>#REF!</v>
      </c>
      <c r="AB125" s="197" t="e">
        <f ca="1">COUNTIFS(#REF!,CONCATENATE("&lt;",TEXT(1+OFFSET(Z125,0,0),"0")),#REF!,CONCATENATE("&gt;=", TEXT(OFFSET(Z124,0,0),"0")))</f>
        <v>#REF!</v>
      </c>
      <c r="AC125" s="197" t="e">
        <f t="shared" ca="1" si="15"/>
        <v>#REF!</v>
      </c>
      <c r="AD125" s="239"/>
      <c r="AE125" s="240">
        <f t="shared" si="12"/>
        <v>1.1155511413149535E-2</v>
      </c>
      <c r="AF125" s="243">
        <f ca="1">COUNTIFS(aux!AJ5:AJ132,CONCATENATE("&lt;=",TEXT(OFFSET(AE125,0,0),"0,0000")),aux!AJ5:AJ132,CONCATENATE("&gt;", TEXT(OFFSET(AE124,0,0),"0,0000")))</f>
        <v>3</v>
      </c>
      <c r="AG125" s="197" t="str">
        <f t="shared" ca="1" si="13"/>
        <v>0,0105 - 0,0112</v>
      </c>
      <c r="AI125" s="197" t="e">
        <f>MID(#REF!,5,LEN(#REF!)-4)</f>
        <v>#REF!</v>
      </c>
      <c r="AJ125" s="197" t="e">
        <f>#REF!</f>
        <v>#REF!</v>
      </c>
      <c r="AK125" s="197" t="e">
        <f>_xlfn.RANK.EQ(#REF!,#REF!)</f>
        <v>#REF!</v>
      </c>
      <c r="AL125" s="198" t="e">
        <f>#REF!</f>
        <v>#REF!</v>
      </c>
      <c r="AM125" s="241" t="e">
        <f>_xlfn.RANK.EQ(#REF!,#REF!)</f>
        <v>#REF!</v>
      </c>
      <c r="AN125" s="198">
        <v>2124112.0983029944</v>
      </c>
      <c r="AO125" s="197" t="e">
        <f>_xlfn.RANK.EQ(#REF!,#REF!)</f>
        <v>#REF!</v>
      </c>
      <c r="AP125" s="197">
        <v>4</v>
      </c>
      <c r="AQ125" s="198" t="e">
        <f>#REF!</f>
        <v>#REF!</v>
      </c>
      <c r="AR125" s="197">
        <v>11</v>
      </c>
      <c r="AS125" s="197" t="e">
        <f t="shared" si="0"/>
        <v>#N/A</v>
      </c>
      <c r="AT125" s="198" t="e">
        <f t="shared" si="1"/>
        <v>#N/A</v>
      </c>
      <c r="AU125" s="197" t="e">
        <f t="shared" si="2"/>
        <v>#N/A</v>
      </c>
      <c r="AV125" s="198" t="e">
        <f t="shared" si="3"/>
        <v>#N/A</v>
      </c>
      <c r="AW125" s="198" t="e">
        <f t="shared" si="4"/>
        <v>#N/A</v>
      </c>
      <c r="AY125" s="197" t="e">
        <f t="shared" si="5"/>
        <v>#REF!</v>
      </c>
      <c r="AZ125" s="198" t="e">
        <f t="shared" si="6"/>
        <v>#REF!</v>
      </c>
      <c r="BA125" s="198">
        <f t="shared" si="7"/>
        <v>1519082.7490121739</v>
      </c>
      <c r="BB125" s="198" t="e">
        <f t="shared" si="8"/>
        <v>#REF!</v>
      </c>
      <c r="BC125" s="197" t="e">
        <f t="shared" si="9"/>
        <v>#REF!</v>
      </c>
    </row>
    <row r="126" spans="1:58" s="197" customFormat="1">
      <c r="A126" s="232"/>
      <c r="B126" s="233"/>
      <c r="C126" s="233"/>
      <c r="D126" s="233"/>
      <c r="E126" s="233"/>
      <c r="F126" s="233"/>
      <c r="G126" s="232"/>
      <c r="H126" s="232"/>
      <c r="I126" s="199"/>
      <c r="J126" s="199"/>
      <c r="K126" s="199"/>
      <c r="L126" s="199"/>
      <c r="M126" s="199"/>
      <c r="N126" s="13"/>
      <c r="O126" s="13"/>
      <c r="P126" s="13"/>
      <c r="Q126" s="232"/>
      <c r="R126" s="236"/>
      <c r="S126" s="236"/>
      <c r="U126" s="242" t="e">
        <f t="shared" si="10"/>
        <v>#REF!</v>
      </c>
      <c r="V126" s="197" t="e">
        <f ca="1">COUNTIF(#REF!,CONCATENATE("&gt;=", TEXT(OFFSET(U125,0,0),"0")))</f>
        <v>#REF!</v>
      </c>
      <c r="W126" s="197" t="e">
        <f ca="1">CONCATENATE( TEXT(OFFSET(U125,0,0)+1,"#.##0€")," - ",TEXT(OFFSET(U126,0,0),"#.##0€"))</f>
        <v>#REF!</v>
      </c>
      <c r="Z126" s="242" t="e">
        <f t="shared" si="11"/>
        <v>#REF!</v>
      </c>
      <c r="AA126" s="197" t="e">
        <f ca="1">COUNTIF(#REF!,CONCATENATE("&gt;=", TEXT(OFFSET(Z125,0,0),"0")))</f>
        <v>#REF!</v>
      </c>
      <c r="AB126" s="197" t="e">
        <f ca="1">COUNTIF(#REF!,CONCATENATE("&gt;=", TEXT(OFFSET(Z125,0,0),"0")))</f>
        <v>#REF!</v>
      </c>
      <c r="AC126" s="197" t="e">
        <f ca="1">CONCATENATE( TEXT(OFFSET(Z125,0,0)+1,"#.##0€")," - ",TEXT(OFFSET(Z126,0,0),"#.##0€"))</f>
        <v>#REF!</v>
      </c>
      <c r="AD126" s="239"/>
      <c r="AE126" s="240">
        <f t="shared" si="12"/>
        <v>1.1807831237438709E-2</v>
      </c>
      <c r="AF126" s="243">
        <f ca="1">COUNTIF(aux!AJ5:AJ132,CONCATENATE("&gt;", TEXT(OFFSET(AE125,0,0),"0,0000")))</f>
        <v>5</v>
      </c>
      <c r="AG126" s="197" t="str">
        <f ca="1">CONCATENATE( TEXT(OFFSET(AE125,0,0),"0,####")," - ",TEXT(OFFSET(AE126,0,0),"0,####"))</f>
        <v>0,0112 - 0,0118</v>
      </c>
      <c r="AI126" s="197" t="e">
        <f>MID(#REF!,5,LEN(#REF!)-4)</f>
        <v>#REF!</v>
      </c>
      <c r="AJ126" s="197" t="e">
        <f>#REF!</f>
        <v>#REF!</v>
      </c>
      <c r="AK126" s="197" t="e">
        <f>_xlfn.RANK.EQ(#REF!,#REF!)</f>
        <v>#REF!</v>
      </c>
      <c r="AL126" s="198" t="e">
        <f>#REF!</f>
        <v>#REF!</v>
      </c>
      <c r="AM126" s="241" t="e">
        <f>_xlfn.RANK.EQ(#REF!,#REF!)</f>
        <v>#REF!</v>
      </c>
      <c r="AN126" s="198">
        <v>1967201.8820089989</v>
      </c>
      <c r="AO126" s="197" t="e">
        <f>_xlfn.RANK.EQ(#REF!,#REF!)</f>
        <v>#REF!</v>
      </c>
      <c r="AP126" s="197">
        <v>3</v>
      </c>
      <c r="AQ126" s="198" t="e">
        <f>#REF!</f>
        <v>#REF!</v>
      </c>
      <c r="AR126" s="197">
        <v>12</v>
      </c>
      <c r="AS126" s="197" t="e">
        <f t="shared" si="0"/>
        <v>#N/A</v>
      </c>
      <c r="AT126" s="198" t="e">
        <f t="shared" si="1"/>
        <v>#N/A</v>
      </c>
      <c r="AU126" s="197" t="e">
        <f t="shared" si="2"/>
        <v>#N/A</v>
      </c>
      <c r="AV126" s="198" t="e">
        <f t="shared" si="3"/>
        <v>#N/A</v>
      </c>
      <c r="AW126" s="198" t="e">
        <f t="shared" si="4"/>
        <v>#N/A</v>
      </c>
      <c r="AY126" s="197" t="e">
        <f t="shared" si="5"/>
        <v>#REF!</v>
      </c>
      <c r="AZ126" s="198" t="e">
        <f t="shared" si="6"/>
        <v>#REF!</v>
      </c>
      <c r="BA126" s="198">
        <f t="shared" si="7"/>
        <v>1248429.755841308</v>
      </c>
      <c r="BB126" s="198" t="e">
        <f t="shared" si="8"/>
        <v>#REF!</v>
      </c>
      <c r="BC126" s="197" t="e">
        <f t="shared" si="9"/>
        <v>#REF!</v>
      </c>
    </row>
    <row r="127" spans="1:58" s="197" customFormat="1">
      <c r="E127" s="198"/>
      <c r="F127" s="198"/>
      <c r="H127" s="244"/>
      <c r="AI127" s="197" t="e">
        <f>MID(#REF!,5,LEN(#REF!)-4)</f>
        <v>#REF!</v>
      </c>
      <c r="AJ127" s="197" t="e">
        <f>#REF!</f>
        <v>#REF!</v>
      </c>
      <c r="AK127" s="197" t="e">
        <f>_xlfn.RANK.EQ(#REF!,#REF!)</f>
        <v>#REF!</v>
      </c>
      <c r="AL127" s="198" t="e">
        <f>#REF!</f>
        <v>#REF!</v>
      </c>
      <c r="AM127" s="241" t="e">
        <f>_xlfn.RANK.EQ(#REF!,#REF!)</f>
        <v>#REF!</v>
      </c>
      <c r="AN127" s="198">
        <v>2192631.8434095425</v>
      </c>
      <c r="AO127" s="197" t="e">
        <f>_xlfn.RANK.EQ(#REF!,#REF!)</f>
        <v>#REF!</v>
      </c>
      <c r="AP127" s="197">
        <v>1</v>
      </c>
      <c r="AQ127" s="198" t="e">
        <f>#REF!</f>
        <v>#REF!</v>
      </c>
      <c r="AR127" s="197">
        <v>13</v>
      </c>
      <c r="AS127" s="197" t="e">
        <f t="shared" si="0"/>
        <v>#N/A</v>
      </c>
      <c r="AT127" s="198" t="e">
        <f t="shared" si="1"/>
        <v>#N/A</v>
      </c>
      <c r="AU127" s="197" t="e">
        <f t="shared" si="2"/>
        <v>#N/A</v>
      </c>
      <c r="AV127" s="198" t="e">
        <f t="shared" si="3"/>
        <v>#N/A</v>
      </c>
      <c r="AW127" s="198" t="e">
        <f t="shared" si="4"/>
        <v>#N/A</v>
      </c>
      <c r="AY127" s="197" t="e">
        <f t="shared" si="5"/>
        <v>#REF!</v>
      </c>
      <c r="AZ127" s="198" t="e">
        <f t="shared" si="6"/>
        <v>#REF!</v>
      </c>
      <c r="BA127" s="198">
        <f t="shared" si="7"/>
        <v>1086723.1573898543</v>
      </c>
      <c r="BB127" s="198" t="e">
        <f t="shared" si="8"/>
        <v>#REF!</v>
      </c>
      <c r="BC127" s="197" t="e">
        <f t="shared" si="9"/>
        <v>#REF!</v>
      </c>
    </row>
    <row r="128" spans="1:58" s="197" customFormat="1">
      <c r="E128" s="198"/>
      <c r="F128" s="198"/>
      <c r="H128" s="244"/>
      <c r="AI128" s="197" t="e">
        <f>MID(#REF!,5,LEN(#REF!)-4)</f>
        <v>#REF!</v>
      </c>
      <c r="AJ128" s="197" t="e">
        <f>#REF!</f>
        <v>#REF!</v>
      </c>
      <c r="AK128" s="197" t="e">
        <f>_xlfn.RANK.EQ(#REF!,#REF!)</f>
        <v>#REF!</v>
      </c>
      <c r="AL128" s="198" t="e">
        <f>#REF!</f>
        <v>#REF!</v>
      </c>
      <c r="AM128" s="241" t="e">
        <f>_xlfn.RANK.EQ(#REF!,#REF!)</f>
        <v>#REF!</v>
      </c>
      <c r="AN128" s="198">
        <v>1519082.7490121739</v>
      </c>
      <c r="AO128" s="197" t="e">
        <f>_xlfn.RANK.EQ(#REF!,#REF!)</f>
        <v>#REF!</v>
      </c>
      <c r="AP128" s="197">
        <v>11</v>
      </c>
      <c r="AQ128" s="198" t="e">
        <f>#REF!</f>
        <v>#REF!</v>
      </c>
      <c r="AR128" s="197">
        <v>14</v>
      </c>
      <c r="AS128" s="197" t="e">
        <f t="shared" si="0"/>
        <v>#N/A</v>
      </c>
      <c r="AT128" s="198" t="e">
        <f t="shared" si="1"/>
        <v>#N/A</v>
      </c>
      <c r="AU128" s="197" t="e">
        <f t="shared" si="2"/>
        <v>#N/A</v>
      </c>
      <c r="AV128" s="198" t="e">
        <f t="shared" si="3"/>
        <v>#N/A</v>
      </c>
      <c r="AW128" s="198" t="e">
        <f t="shared" si="4"/>
        <v>#N/A</v>
      </c>
      <c r="AY128" s="197" t="e">
        <f t="shared" si="5"/>
        <v>#REF!</v>
      </c>
      <c r="AZ128" s="198" t="e">
        <f t="shared" si="6"/>
        <v>#REF!</v>
      </c>
      <c r="BA128" s="198">
        <f t="shared" si="7"/>
        <v>1164835.6668113193</v>
      </c>
      <c r="BB128" s="198" t="e">
        <f t="shared" si="8"/>
        <v>#REF!</v>
      </c>
      <c r="BC128" s="197" t="e">
        <f t="shared" si="9"/>
        <v>#REF!</v>
      </c>
      <c r="BE128" s="13"/>
      <c r="BF128" s="13"/>
    </row>
    <row r="129" spans="5:58" s="197" customFormat="1">
      <c r="E129" s="198"/>
      <c r="F129" s="198"/>
      <c r="H129" s="232"/>
      <c r="AI129" s="197" t="e">
        <f>MID(#REF!,5,LEN(#REF!)-4)</f>
        <v>#REF!</v>
      </c>
      <c r="AJ129" s="197" t="e">
        <f>#REF!</f>
        <v>#REF!</v>
      </c>
      <c r="AK129" s="197" t="e">
        <f>_xlfn.RANK.EQ(#REF!,#REF!)</f>
        <v>#REF!</v>
      </c>
      <c r="AL129" s="198" t="e">
        <f>#REF!</f>
        <v>#REF!</v>
      </c>
      <c r="AM129" s="241" t="e">
        <f>_xlfn.RANK.EQ(#REF!,#REF!)</f>
        <v>#REF!</v>
      </c>
      <c r="AN129" s="198">
        <v>1248429.755841308</v>
      </c>
      <c r="AO129" s="197" t="e">
        <f>_xlfn.RANK.EQ(#REF!,#REF!)</f>
        <v>#REF!</v>
      </c>
      <c r="AP129" s="197">
        <v>12</v>
      </c>
      <c r="AQ129" s="198" t="e">
        <f>#REF!</f>
        <v>#REF!</v>
      </c>
      <c r="AR129" s="197">
        <v>15</v>
      </c>
      <c r="AS129" s="197" t="e">
        <f t="shared" si="0"/>
        <v>#N/A</v>
      </c>
      <c r="AT129" s="198" t="e">
        <f t="shared" si="1"/>
        <v>#N/A</v>
      </c>
      <c r="AU129" s="197" t="e">
        <f t="shared" si="2"/>
        <v>#N/A</v>
      </c>
      <c r="AV129" s="198" t="e">
        <f t="shared" si="3"/>
        <v>#N/A</v>
      </c>
      <c r="AW129" s="198" t="e">
        <f t="shared" si="4"/>
        <v>#N/A</v>
      </c>
      <c r="AY129" s="197" t="e">
        <f t="shared" si="5"/>
        <v>#REF!</v>
      </c>
      <c r="AZ129" s="198" t="e">
        <f t="shared" si="6"/>
        <v>#REF!</v>
      </c>
      <c r="BA129" s="198">
        <f t="shared" si="7"/>
        <v>945572.48247036524</v>
      </c>
      <c r="BB129" s="198" t="e">
        <f t="shared" si="8"/>
        <v>#REF!</v>
      </c>
      <c r="BC129" s="197" t="e">
        <f t="shared" si="9"/>
        <v>#REF!</v>
      </c>
      <c r="BE129" s="13"/>
      <c r="BF129" s="13"/>
    </row>
    <row r="130" spans="5:58">
      <c r="E130" s="196"/>
      <c r="F130" s="196"/>
      <c r="H130" s="232"/>
      <c r="AI130" s="197" t="e">
        <f>MID(#REF!,5,LEN(#REF!)-4)</f>
        <v>#REF!</v>
      </c>
      <c r="AJ130" s="197" t="e">
        <f>#REF!</f>
        <v>#REF!</v>
      </c>
      <c r="AK130" s="197" t="e">
        <f>_xlfn.RANK.EQ(#REF!,#REF!)</f>
        <v>#REF!</v>
      </c>
      <c r="AL130" s="198" t="e">
        <f>#REF!</f>
        <v>#REF!</v>
      </c>
      <c r="AM130" s="241" t="e">
        <f>_xlfn.RANK.EQ(#REF!,#REF!)</f>
        <v>#REF!</v>
      </c>
      <c r="AN130" s="198">
        <v>1164835.6668113193</v>
      </c>
      <c r="AO130" s="197" t="e">
        <f>_xlfn.RANK.EQ(#REF!,#REF!)</f>
        <v>#REF!</v>
      </c>
      <c r="AP130" s="197">
        <v>14</v>
      </c>
      <c r="AQ130" s="198" t="e">
        <f>#REF!</f>
        <v>#REF!</v>
      </c>
      <c r="AR130" s="197">
        <v>16</v>
      </c>
      <c r="AS130" s="197" t="e">
        <f t="shared" si="0"/>
        <v>#N/A</v>
      </c>
      <c r="AT130" s="198" t="e">
        <f t="shared" si="1"/>
        <v>#N/A</v>
      </c>
      <c r="AU130" s="197" t="e">
        <f t="shared" si="2"/>
        <v>#N/A</v>
      </c>
      <c r="AV130" s="198" t="e">
        <f t="shared" si="3"/>
        <v>#N/A</v>
      </c>
      <c r="AW130" s="198" t="e">
        <f t="shared" si="4"/>
        <v>#N/A</v>
      </c>
      <c r="AY130" s="197" t="e">
        <f t="shared" si="5"/>
        <v>#REF!</v>
      </c>
      <c r="AZ130" s="198" t="e">
        <f t="shared" si="6"/>
        <v>#REF!</v>
      </c>
      <c r="BA130" s="198">
        <f t="shared" si="7"/>
        <v>1096315.9217047712</v>
      </c>
      <c r="BB130" s="198" t="e">
        <f t="shared" si="8"/>
        <v>#REF!</v>
      </c>
      <c r="BC130" s="197" t="e">
        <f t="shared" si="9"/>
        <v>#REF!</v>
      </c>
      <c r="BE130" s="197"/>
      <c r="BF130" s="197"/>
    </row>
    <row r="131" spans="5:58">
      <c r="E131" s="196"/>
      <c r="F131" s="196"/>
      <c r="H131" s="232"/>
      <c r="AI131" s="197" t="e">
        <f>MID(#REF!,5,LEN(#REF!)-4)</f>
        <v>#REF!</v>
      </c>
      <c r="AJ131" s="197" t="e">
        <f>#REF!</f>
        <v>#REF!</v>
      </c>
      <c r="AK131" s="197" t="e">
        <f>_xlfn.RANK.EQ(#REF!,#REF!)</f>
        <v>#REF!</v>
      </c>
      <c r="AL131" s="198" t="e">
        <f>#REF!</f>
        <v>#REF!</v>
      </c>
      <c r="AM131" s="241" t="e">
        <f>_xlfn.RANK.EQ(#REF!,#REF!)</f>
        <v>#REF!</v>
      </c>
      <c r="AN131" s="198">
        <v>2110408.1492816843</v>
      </c>
      <c r="AO131" s="197" t="e">
        <f>_xlfn.RANK.EQ(#REF!,#REF!)</f>
        <v>#REF!</v>
      </c>
      <c r="AP131" s="197">
        <v>2</v>
      </c>
      <c r="AQ131" s="198" t="e">
        <f>#REF!</f>
        <v>#REF!</v>
      </c>
      <c r="AR131" s="197">
        <v>17</v>
      </c>
      <c r="AS131" s="197" t="e">
        <f t="shared" si="0"/>
        <v>#N/A</v>
      </c>
      <c r="AT131" s="198" t="e">
        <f t="shared" si="1"/>
        <v>#N/A</v>
      </c>
      <c r="AU131" s="197" t="e">
        <f t="shared" si="2"/>
        <v>#N/A</v>
      </c>
      <c r="AV131" s="198" t="e">
        <f t="shared" si="3"/>
        <v>#N/A</v>
      </c>
      <c r="AW131" s="198" t="e">
        <f t="shared" si="4"/>
        <v>#N/A</v>
      </c>
      <c r="AY131" s="197" t="e">
        <f t="shared" si="5"/>
        <v>#REF!</v>
      </c>
      <c r="AZ131" s="198" t="e">
        <f t="shared" si="6"/>
        <v>#REF!</v>
      </c>
      <c r="BA131" s="198">
        <f t="shared" si="7"/>
        <v>856496.8138318524</v>
      </c>
      <c r="BB131" s="198" t="e">
        <f t="shared" si="8"/>
        <v>#REF!</v>
      </c>
      <c r="BC131" s="197" t="e">
        <f t="shared" si="9"/>
        <v>#REF!</v>
      </c>
      <c r="BE131" s="197"/>
      <c r="BF131" s="197"/>
    </row>
    <row r="132" spans="5:58">
      <c r="E132" s="196"/>
      <c r="F132" s="196"/>
      <c r="AI132" s="197" t="e">
        <f>MID(#REF!,5,LEN(#REF!)-4)</f>
        <v>#REF!</v>
      </c>
      <c r="AJ132" s="197" t="e">
        <f>#REF!</f>
        <v>#REF!</v>
      </c>
      <c r="AK132" s="197" t="e">
        <f>_xlfn.RANK.EQ(#REF!,#REF!)</f>
        <v>#REF!</v>
      </c>
      <c r="AL132" s="198" t="e">
        <f>#REF!</f>
        <v>#REF!</v>
      </c>
      <c r="AM132" s="241" t="e">
        <f>_xlfn.RANK.EQ(#REF!,#REF!)</f>
        <v>#REF!</v>
      </c>
      <c r="AN132" s="198">
        <v>1918552.8629833497</v>
      </c>
      <c r="AO132" s="197" t="e">
        <f>_xlfn.RANK.EQ(#REF!,#REF!)</f>
        <v>#REF!</v>
      </c>
      <c r="AP132" s="197">
        <v>6</v>
      </c>
      <c r="AQ132" s="198" t="e">
        <f>#REF!</f>
        <v>#REF!</v>
      </c>
      <c r="AR132" s="197">
        <v>18</v>
      </c>
      <c r="AS132" s="197" t="e">
        <f t="shared" si="0"/>
        <v>#N/A</v>
      </c>
      <c r="AT132" s="198" t="e">
        <f t="shared" si="1"/>
        <v>#N/A</v>
      </c>
      <c r="AU132" s="197" t="e">
        <f t="shared" si="2"/>
        <v>#N/A</v>
      </c>
      <c r="AV132" s="198" t="e">
        <f t="shared" si="3"/>
        <v>#N/A</v>
      </c>
      <c r="AW132" s="198" t="e">
        <f t="shared" si="4"/>
        <v>#N/A</v>
      </c>
      <c r="AY132" s="197" t="e">
        <f t="shared" si="5"/>
        <v>#REF!</v>
      </c>
      <c r="AZ132" s="198" t="e">
        <f t="shared" si="6"/>
        <v>#REF!</v>
      </c>
      <c r="BA132" s="198">
        <f t="shared" si="7"/>
        <v>810588.58461046522</v>
      </c>
      <c r="BB132" s="198" t="e">
        <f t="shared" si="8"/>
        <v>#REF!</v>
      </c>
      <c r="BC132" s="197" t="e">
        <f t="shared" si="9"/>
        <v>#REF!</v>
      </c>
      <c r="BE132" s="197"/>
      <c r="BF132" s="197"/>
    </row>
    <row r="133" spans="5:58">
      <c r="E133" s="196"/>
      <c r="F133" s="196"/>
      <c r="AI133" s="197" t="e">
        <f>MID(#REF!,5,LEN(#REF!)-4)</f>
        <v>#REF!</v>
      </c>
      <c r="AJ133" s="197" t="e">
        <f>#REF!</f>
        <v>#REF!</v>
      </c>
      <c r="AK133" s="197" t="e">
        <f>_xlfn.RANK.EQ(#REF!,#REF!)</f>
        <v>#REF!</v>
      </c>
      <c r="AL133" s="198" t="e">
        <f>#REF!</f>
        <v>#REF!</v>
      </c>
      <c r="AM133" s="241" t="e">
        <f>_xlfn.RANK.EQ(#REF!,#REF!)</f>
        <v>#REF!</v>
      </c>
      <c r="AN133" s="198">
        <v>1884292.9904300752</v>
      </c>
      <c r="AO133" s="197" t="e">
        <f>_xlfn.RANK.EQ(#REF!,#REF!)</f>
        <v>#REF!</v>
      </c>
      <c r="AP133" s="197">
        <v>7</v>
      </c>
      <c r="AQ133" s="198" t="e">
        <f>#REF!</f>
        <v>#REF!</v>
      </c>
      <c r="AR133" s="197">
        <v>19</v>
      </c>
      <c r="AS133" s="197" t="e">
        <f t="shared" si="0"/>
        <v>#N/A</v>
      </c>
      <c r="AT133" s="198" t="e">
        <f t="shared" si="1"/>
        <v>#N/A</v>
      </c>
      <c r="AU133" s="197" t="e">
        <f t="shared" si="2"/>
        <v>#N/A</v>
      </c>
      <c r="AV133" s="198" t="e">
        <f t="shared" si="3"/>
        <v>#N/A</v>
      </c>
      <c r="AW133" s="198" t="e">
        <f t="shared" si="4"/>
        <v>#N/A</v>
      </c>
      <c r="AY133" s="197" t="e">
        <f t="shared" si="5"/>
        <v>#REF!</v>
      </c>
      <c r="AZ133" s="198" t="e">
        <f t="shared" si="6"/>
        <v>#REF!</v>
      </c>
      <c r="BA133" s="198">
        <f t="shared" si="7"/>
        <v>1018203.4122833062</v>
      </c>
      <c r="BB133" s="198" t="e">
        <f t="shared" si="8"/>
        <v>#REF!</v>
      </c>
      <c r="BC133" s="197" t="e">
        <f t="shared" si="9"/>
        <v>#REF!</v>
      </c>
      <c r="BE133" s="197"/>
      <c r="BF133" s="197"/>
    </row>
    <row r="134" spans="5:58">
      <c r="E134" s="196"/>
      <c r="F134" s="196"/>
      <c r="AI134" s="197" t="e">
        <f>MID(#REF!,5,LEN(#REF!)-4)</f>
        <v>#REF!</v>
      </c>
      <c r="AJ134" s="197" t="e">
        <f>#REF!</f>
        <v>#REF!</v>
      </c>
      <c r="AK134" s="197" t="e">
        <f>_xlfn.RANK.EQ(#REF!,#REF!)</f>
        <v>#REF!</v>
      </c>
      <c r="AL134" s="198" t="e">
        <f>#REF!</f>
        <v>#REF!</v>
      </c>
      <c r="AM134" s="241" t="e">
        <f>_xlfn.RANK.EQ(#REF!,#REF!)</f>
        <v>#REF!</v>
      </c>
      <c r="AN134" s="198">
        <v>1627343.9462805197</v>
      </c>
      <c r="AO134" s="197" t="e">
        <f>_xlfn.RANK.EQ(#REF!,#REF!)</f>
        <v>#REF!</v>
      </c>
      <c r="AP134" s="197">
        <v>8</v>
      </c>
      <c r="AQ134" s="198" t="e">
        <f>#REF!</f>
        <v>#REF!</v>
      </c>
      <c r="AR134" s="197">
        <v>20</v>
      </c>
      <c r="AS134" s="197" t="e">
        <f t="shared" si="0"/>
        <v>#N/A</v>
      </c>
      <c r="AT134" s="198" t="e">
        <f t="shared" si="1"/>
        <v>#N/A</v>
      </c>
      <c r="AU134" s="197" t="e">
        <f t="shared" si="2"/>
        <v>#N/A</v>
      </c>
      <c r="AV134" s="198" t="e">
        <f t="shared" si="3"/>
        <v>#N/A</v>
      </c>
      <c r="AW134" s="198" t="e">
        <f t="shared" si="4"/>
        <v>#N/A</v>
      </c>
      <c r="AY134" s="197" t="e">
        <f t="shared" si="5"/>
        <v>#REF!</v>
      </c>
      <c r="AZ134" s="198" t="e">
        <f t="shared" si="6"/>
        <v>#REF!</v>
      </c>
      <c r="BA134" s="198">
        <f t="shared" si="7"/>
        <v>742068.83950391703</v>
      </c>
      <c r="BB134" s="198" t="e">
        <f t="shared" si="8"/>
        <v>#REF!</v>
      </c>
      <c r="BC134" s="197" t="e">
        <f t="shared" si="9"/>
        <v>#REF!</v>
      </c>
      <c r="BE134" s="197"/>
      <c r="BF134" s="197"/>
    </row>
    <row r="135" spans="5:58">
      <c r="E135" s="196"/>
      <c r="F135" s="196"/>
      <c r="AI135" s="197" t="e">
        <f>MID(#REF!,5,LEN(#REF!)-4)</f>
        <v>#REF!</v>
      </c>
      <c r="AJ135" s="197" t="e">
        <f>#REF!</f>
        <v>#REF!</v>
      </c>
      <c r="AK135" s="197" t="e">
        <f>_xlfn.RANK.EQ(#REF!,#REF!)</f>
        <v>#REF!</v>
      </c>
      <c r="AL135" s="198" t="e">
        <f>#REF!</f>
        <v>#REF!</v>
      </c>
      <c r="AM135" s="241" t="e">
        <f>_xlfn.RANK.EQ(#REF!,#REF!)</f>
        <v>#REF!</v>
      </c>
      <c r="AN135" s="198">
        <v>945572.48247036524</v>
      </c>
      <c r="AO135" s="197" t="e">
        <f>_xlfn.RANK.EQ(#REF!,#REF!)</f>
        <v>#REF!</v>
      </c>
      <c r="AP135" s="197">
        <v>15</v>
      </c>
      <c r="AQ135" s="198" t="e">
        <f>#REF!</f>
        <v>#REF!</v>
      </c>
      <c r="AR135" s="197">
        <v>21</v>
      </c>
      <c r="AS135" s="197" t="e">
        <f t="shared" si="0"/>
        <v>#N/A</v>
      </c>
      <c r="AT135" s="198" t="e">
        <f t="shared" si="1"/>
        <v>#N/A</v>
      </c>
      <c r="AU135" s="197" t="e">
        <f t="shared" si="2"/>
        <v>#N/A</v>
      </c>
      <c r="AV135" s="198" t="e">
        <f t="shared" si="3"/>
        <v>#N/A</v>
      </c>
      <c r="AW135" s="198" t="e">
        <f t="shared" si="4"/>
        <v>#N/A</v>
      </c>
      <c r="AY135" s="197" t="e">
        <f t="shared" si="5"/>
        <v>#REF!</v>
      </c>
      <c r="AZ135" s="198" t="e">
        <f t="shared" si="6"/>
        <v>#REF!</v>
      </c>
      <c r="BA135" s="198">
        <f t="shared" si="7"/>
        <v>822236.94127857836</v>
      </c>
      <c r="BB135" s="198" t="e">
        <f t="shared" si="8"/>
        <v>#REF!</v>
      </c>
      <c r="BC135" s="197" t="e">
        <f t="shared" si="9"/>
        <v>#REF!</v>
      </c>
      <c r="BE135" s="197"/>
      <c r="BF135" s="197"/>
    </row>
    <row r="136" spans="5:58">
      <c r="E136" s="196"/>
      <c r="F136" s="196"/>
    </row>
    <row r="137" spans="5:58">
      <c r="E137" s="196"/>
      <c r="F137" s="196"/>
    </row>
    <row r="138" spans="5:58">
      <c r="E138" s="196"/>
      <c r="F138" s="196"/>
      <c r="AS138" s="13">
        <v>1</v>
      </c>
      <c r="AT138" s="13" t="s">
        <v>99</v>
      </c>
    </row>
    <row r="139" spans="5:58">
      <c r="E139" s="196"/>
      <c r="F139" s="196"/>
      <c r="AS139" s="13">
        <v>2</v>
      </c>
      <c r="AT139" s="13" t="s">
        <v>129</v>
      </c>
    </row>
    <row r="140" spans="5:58">
      <c r="E140" s="196"/>
      <c r="F140" s="196"/>
      <c r="AS140" s="13">
        <v>3</v>
      </c>
      <c r="AT140" s="13" t="s">
        <v>92</v>
      </c>
    </row>
    <row r="141" spans="5:58">
      <c r="E141" s="196"/>
      <c r="F141" s="196"/>
      <c r="AS141" s="13">
        <v>4</v>
      </c>
      <c r="AT141" s="13" t="s">
        <v>84</v>
      </c>
    </row>
    <row r="142" spans="5:58">
      <c r="E142" s="196"/>
      <c r="AS142" s="13">
        <v>5</v>
      </c>
      <c r="AT142" s="13" t="s">
        <v>78</v>
      </c>
    </row>
    <row r="143" spans="5:58">
      <c r="E143" s="196"/>
      <c r="AS143" s="13">
        <v>6</v>
      </c>
      <c r="AT143" s="13" t="s">
        <v>134</v>
      </c>
    </row>
    <row r="144" spans="5:58">
      <c r="E144" s="196"/>
      <c r="AS144" s="13">
        <v>7</v>
      </c>
      <c r="AT144" s="13" t="s">
        <v>137</v>
      </c>
    </row>
    <row r="145" spans="5:46">
      <c r="E145" s="196"/>
      <c r="AS145" s="13">
        <v>8</v>
      </c>
      <c r="AT145" s="13" t="s">
        <v>139</v>
      </c>
    </row>
    <row r="146" spans="5:46">
      <c r="E146" s="196"/>
      <c r="AS146" s="13">
        <v>9</v>
      </c>
      <c r="AT146" s="13" t="s">
        <v>48</v>
      </c>
    </row>
    <row r="147" spans="5:46">
      <c r="E147" s="196"/>
      <c r="AS147" s="13">
        <v>10</v>
      </c>
      <c r="AT147" s="13" t="s">
        <v>17</v>
      </c>
    </row>
    <row r="148" spans="5:46">
      <c r="E148" s="196"/>
      <c r="AS148" s="13">
        <v>11</v>
      </c>
      <c r="AT148" s="13" t="s">
        <v>106</v>
      </c>
    </row>
    <row r="149" spans="5:46">
      <c r="E149" s="196"/>
      <c r="AS149" s="13">
        <v>12</v>
      </c>
      <c r="AT149" s="13" t="s">
        <v>113</v>
      </c>
    </row>
    <row r="150" spans="5:46">
      <c r="E150" s="196"/>
      <c r="AS150" s="13">
        <v>13</v>
      </c>
      <c r="AT150" s="13" t="s">
        <v>24</v>
      </c>
    </row>
    <row r="151" spans="5:46">
      <c r="E151" s="196"/>
      <c r="AS151" s="13">
        <v>14</v>
      </c>
      <c r="AT151" s="13" t="s">
        <v>122</v>
      </c>
    </row>
    <row r="152" spans="5:46">
      <c r="E152" s="196"/>
      <c r="AS152" s="13">
        <v>15</v>
      </c>
      <c r="AT152" s="13" t="s">
        <v>147</v>
      </c>
    </row>
    <row r="153" spans="5:46">
      <c r="E153" s="196"/>
      <c r="AS153" s="13">
        <v>16</v>
      </c>
      <c r="AT153" s="13" t="s">
        <v>62</v>
      </c>
    </row>
    <row r="154" spans="5:46">
      <c r="E154" s="196"/>
      <c r="AS154" s="13">
        <v>17</v>
      </c>
      <c r="AT154" s="13" t="s">
        <v>55</v>
      </c>
    </row>
    <row r="155" spans="5:46">
      <c r="E155" s="196"/>
      <c r="AS155" s="13">
        <v>18</v>
      </c>
      <c r="AT155" s="13" t="s">
        <v>34</v>
      </c>
    </row>
    <row r="156" spans="5:46">
      <c r="E156" s="196"/>
      <c r="AS156" s="13">
        <v>19</v>
      </c>
      <c r="AT156" s="13" t="s">
        <v>70</v>
      </c>
    </row>
    <row r="157" spans="5:46">
      <c r="E157" s="196"/>
      <c r="AS157" s="13">
        <v>20</v>
      </c>
      <c r="AT157" s="13" t="s">
        <v>29</v>
      </c>
    </row>
    <row r="158" spans="5:46">
      <c r="E158" s="196"/>
      <c r="AS158" s="13">
        <v>21</v>
      </c>
      <c r="AT158" s="13" t="s">
        <v>41</v>
      </c>
    </row>
    <row r="159" spans="5:46">
      <c r="E159" s="196"/>
    </row>
    <row r="160" spans="5:46">
      <c r="E160" s="196"/>
    </row>
    <row r="161" spans="5:5">
      <c r="E161" s="196"/>
    </row>
    <row r="162" spans="5:5">
      <c r="E162" s="196"/>
    </row>
    <row r="163" spans="5:5">
      <c r="E163" s="196"/>
    </row>
    <row r="164" spans="5:5">
      <c r="E164" s="196"/>
    </row>
    <row r="165" spans="5:5">
      <c r="E165" s="196"/>
    </row>
    <row r="166" spans="5:5">
      <c r="E166" s="196"/>
    </row>
    <row r="167" spans="5:5">
      <c r="E167" s="196"/>
    </row>
    <row r="168" spans="5:5">
      <c r="E168" s="196"/>
    </row>
    <row r="169" spans="5:5">
      <c r="E169" s="196"/>
    </row>
    <row r="170" spans="5:5">
      <c r="E170" s="196"/>
    </row>
    <row r="171" spans="5:5">
      <c r="E171" s="196"/>
    </row>
    <row r="172" spans="5:5">
      <c r="E172" s="196"/>
    </row>
    <row r="173" spans="5:5">
      <c r="E173" s="196"/>
    </row>
    <row r="174" spans="5:5">
      <c r="E174" s="196"/>
    </row>
    <row r="175" spans="5:5">
      <c r="E175" s="196"/>
    </row>
    <row r="176" spans="5:5">
      <c r="E176" s="196"/>
    </row>
    <row r="177" spans="5:5">
      <c r="E177" s="196"/>
    </row>
    <row r="178" spans="5:5">
      <c r="E178" s="196"/>
    </row>
    <row r="179" spans="5:5">
      <c r="E179" s="196"/>
    </row>
    <row r="180" spans="5:5">
      <c r="E180" s="196"/>
    </row>
    <row r="181" spans="5:5">
      <c r="E181" s="196"/>
    </row>
    <row r="182" spans="5:5">
      <c r="E182" s="196"/>
    </row>
    <row r="183" spans="5:5">
      <c r="E183" s="196"/>
    </row>
    <row r="184" spans="5:5">
      <c r="E184" s="196"/>
    </row>
    <row r="185" spans="5:5">
      <c r="E185" s="196"/>
    </row>
    <row r="186" spans="5:5">
      <c r="E186" s="196"/>
    </row>
    <row r="187" spans="5:5">
      <c r="E187" s="196"/>
    </row>
    <row r="188" spans="5:5">
      <c r="E188" s="196"/>
    </row>
    <row r="189" spans="5:5">
      <c r="E189" s="196"/>
    </row>
    <row r="190" spans="5:5">
      <c r="E190" s="196"/>
    </row>
    <row r="191" spans="5:5">
      <c r="E191" s="196"/>
    </row>
    <row r="192" spans="5:5">
      <c r="E192" s="196"/>
    </row>
    <row r="193" spans="5:5">
      <c r="E193" s="196"/>
    </row>
    <row r="194" spans="5:5">
      <c r="E194" s="196"/>
    </row>
    <row r="195" spans="5:5">
      <c r="E195" s="196"/>
    </row>
    <row r="196" spans="5:5">
      <c r="E196" s="196"/>
    </row>
    <row r="197" spans="5:5">
      <c r="E197" s="196"/>
    </row>
    <row r="198" spans="5:5">
      <c r="E198" s="196"/>
    </row>
    <row r="199" spans="5:5">
      <c r="E199" s="196"/>
    </row>
    <row r="200" spans="5:5">
      <c r="E200" s="196"/>
    </row>
    <row r="201" spans="5:5">
      <c r="E201" s="196"/>
    </row>
    <row r="202" spans="5:5">
      <c r="E202" s="196"/>
    </row>
    <row r="203" spans="5:5">
      <c r="E203" s="196"/>
    </row>
    <row r="204" spans="5:5">
      <c r="E204" s="196"/>
    </row>
    <row r="205" spans="5:5">
      <c r="E205" s="196"/>
    </row>
    <row r="206" spans="5:5">
      <c r="E206" s="196"/>
    </row>
    <row r="207" spans="5:5">
      <c r="E207" s="196"/>
    </row>
    <row r="208" spans="5:5">
      <c r="E208" s="196"/>
    </row>
    <row r="209" spans="5:5">
      <c r="E209" s="196"/>
    </row>
    <row r="210" spans="5:5">
      <c r="E210" s="196"/>
    </row>
    <row r="211" spans="5:5">
      <c r="E211" s="196"/>
    </row>
    <row r="212" spans="5:5">
      <c r="E212" s="196"/>
    </row>
    <row r="213" spans="5:5">
      <c r="E213" s="196"/>
    </row>
    <row r="214" spans="5:5">
      <c r="E214" s="196"/>
    </row>
    <row r="215" spans="5:5">
      <c r="E215" s="196"/>
    </row>
    <row r="216" spans="5:5">
      <c r="E216" s="196"/>
    </row>
    <row r="217" spans="5:5">
      <c r="E217" s="196"/>
    </row>
    <row r="218" spans="5:5">
      <c r="E218" s="196"/>
    </row>
    <row r="219" spans="5:5">
      <c r="E219" s="196"/>
    </row>
    <row r="220" spans="5:5">
      <c r="E220" s="196"/>
    </row>
    <row r="221" spans="5:5">
      <c r="E221" s="196"/>
    </row>
    <row r="222" spans="5:5">
      <c r="E222" s="196"/>
    </row>
  </sheetData>
  <sheetProtection selectLockedCells="1" selectUnlockedCells="1"/>
  <sortState xmlns:xlrd2="http://schemas.microsoft.com/office/spreadsheetml/2017/richdata2" ref="BE115:BF135">
    <sortCondition descending="1" ref="BF115:BF135"/>
  </sortState>
  <mergeCells count="6">
    <mergeCell ref="K37:O37"/>
    <mergeCell ref="P37:T37"/>
    <mergeCell ref="T114:U114"/>
    <mergeCell ref="Y114:Z114"/>
    <mergeCell ref="AU114:AV114"/>
    <mergeCell ref="AS114:AT114"/>
  </mergeCells>
  <conditionalFormatting sqref="B86:S103">
    <cfRule type="colorScale" priority="1">
      <colorScale>
        <cfvo type="min"/>
        <cfvo type="num" val="0"/>
        <cfvo type="max"/>
        <color theme="9"/>
        <color theme="0"/>
        <color theme="9"/>
      </colorScale>
    </cfRule>
  </conditionalFormatting>
  <pageMargins left="0.7" right="0.7" top="0.75" bottom="0.75" header="0.3" footer="0.3"/>
  <pageSetup paperSize="9" orientation="portrait" horizontalDpi="0" verticalDpi="0"/>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7DEBC-6EA3-471E-8C9E-FCDAA9EDD442}">
  <dimension ref="A1:N132"/>
  <sheetViews>
    <sheetView showGridLines="0" tabSelected="1" zoomScale="80" zoomScaleNormal="80" workbookViewId="0">
      <pane xSplit="2" ySplit="1" topLeftCell="C2" activePane="bottomRight" state="frozen"/>
      <selection pane="topRight" activeCell="D1" sqref="D1"/>
      <selection pane="bottomLeft" activeCell="A5" sqref="A5"/>
      <selection pane="bottomRight" activeCell="J2" sqref="J2:J7"/>
    </sheetView>
  </sheetViews>
  <sheetFormatPr defaultColWidth="11.19921875" defaultRowHeight="15.6"/>
  <cols>
    <col min="1" max="1" width="20" bestFit="1" customWidth="1"/>
    <col min="2" max="2" width="29.19921875" bestFit="1" customWidth="1"/>
    <col min="3" max="3" width="13.19921875" customWidth="1"/>
    <col min="6" max="6" width="12.69921875" customWidth="1"/>
    <col min="10" max="10" width="12.69921875" bestFit="1" customWidth="1"/>
    <col min="11" max="11" width="13.69921875" customWidth="1"/>
    <col min="12" max="13" width="12.19921875" customWidth="1"/>
    <col min="14" max="14" width="13.69921875" customWidth="1"/>
  </cols>
  <sheetData>
    <row r="1" spans="1:14" s="123" customFormat="1" ht="42" thickBot="1">
      <c r="A1" s="252" t="s">
        <v>15</v>
      </c>
      <c r="B1" s="253" t="s">
        <v>16</v>
      </c>
      <c r="C1" s="254" t="s">
        <v>13</v>
      </c>
      <c r="D1" s="254" t="s">
        <v>14</v>
      </c>
      <c r="E1" s="254" t="s">
        <v>238</v>
      </c>
      <c r="F1" s="255" t="s">
        <v>210</v>
      </c>
      <c r="G1" s="254" t="s">
        <v>153</v>
      </c>
      <c r="H1" s="254" t="s">
        <v>254</v>
      </c>
      <c r="I1" s="254" t="s">
        <v>239</v>
      </c>
      <c r="J1" s="256" t="s">
        <v>257</v>
      </c>
      <c r="K1" s="254" t="s">
        <v>207</v>
      </c>
      <c r="L1" s="254" t="s">
        <v>209</v>
      </c>
      <c r="M1" s="254" t="s">
        <v>226</v>
      </c>
      <c r="N1" s="254" t="s">
        <v>227</v>
      </c>
    </row>
    <row r="2" spans="1:14" ht="16.2" thickTop="1">
      <c r="A2" s="16" t="s">
        <v>17</v>
      </c>
      <c r="B2" s="17" t="s">
        <v>18</v>
      </c>
      <c r="C2" s="143">
        <v>7.7237397290695092E-2</v>
      </c>
      <c r="D2" s="18">
        <v>79.53</v>
      </c>
      <c r="E2" s="143">
        <v>0.26652407532995981</v>
      </c>
      <c r="F2" s="159">
        <v>34675.847913459736</v>
      </c>
      <c r="G2" s="146">
        <v>8.2100000000000009</v>
      </c>
      <c r="H2" s="146">
        <v>10.76</v>
      </c>
      <c r="I2" s="143">
        <v>4.7497384726804537E-2</v>
      </c>
      <c r="J2" s="161">
        <v>124121.57</v>
      </c>
      <c r="K2" s="143">
        <v>3.4718569174118884E-2</v>
      </c>
      <c r="L2" s="265">
        <v>897</v>
      </c>
      <c r="M2" s="143">
        <v>2.8845844977674985E-2</v>
      </c>
      <c r="N2" s="143">
        <v>2.7632235528942117E-2</v>
      </c>
    </row>
    <row r="3" spans="1:14">
      <c r="A3" s="16" t="s">
        <v>17</v>
      </c>
      <c r="B3" s="17" t="s">
        <v>19</v>
      </c>
      <c r="C3" s="143">
        <v>0.1636343266860856</v>
      </c>
      <c r="D3" s="18">
        <v>82.04</v>
      </c>
      <c r="E3" s="143">
        <v>0.35072716235120227</v>
      </c>
      <c r="F3" s="159">
        <v>25999.832743082243</v>
      </c>
      <c r="G3" s="146">
        <v>8.94</v>
      </c>
      <c r="H3" s="146">
        <v>11.99</v>
      </c>
      <c r="I3" s="143">
        <v>4.7497384726804537E-2</v>
      </c>
      <c r="J3" s="161">
        <v>86821.52</v>
      </c>
      <c r="K3" s="143">
        <v>3.4718569174118884E-2</v>
      </c>
      <c r="L3" s="265">
        <v>897</v>
      </c>
      <c r="M3" s="143">
        <v>2.8845844977674985E-2</v>
      </c>
      <c r="N3" s="143">
        <v>2.7632235528942117E-2</v>
      </c>
    </row>
    <row r="4" spans="1:14">
      <c r="A4" s="16" t="s">
        <v>17</v>
      </c>
      <c r="B4" s="17" t="s">
        <v>20</v>
      </c>
      <c r="C4" s="143">
        <v>9.2678757952711036E-2</v>
      </c>
      <c r="D4" s="18">
        <v>80.94</v>
      </c>
      <c r="E4" s="143">
        <v>0.23501146663754505</v>
      </c>
      <c r="F4" s="159">
        <v>34952.679804656669</v>
      </c>
      <c r="G4" s="146">
        <v>6.88</v>
      </c>
      <c r="H4" s="146">
        <v>9.0399999999999991</v>
      </c>
      <c r="I4" s="143">
        <v>4.7497384726804537E-2</v>
      </c>
      <c r="J4" s="161">
        <v>147344.70000000001</v>
      </c>
      <c r="K4" s="143">
        <v>3.4718569174118884E-2</v>
      </c>
      <c r="L4" s="265">
        <v>897</v>
      </c>
      <c r="M4" s="143">
        <v>2.8845844977674985E-2</v>
      </c>
      <c r="N4" s="143">
        <v>2.7632235528942117E-2</v>
      </c>
    </row>
    <row r="5" spans="1:14">
      <c r="A5" s="16" t="s">
        <v>17</v>
      </c>
      <c r="B5" s="17" t="s">
        <v>21</v>
      </c>
      <c r="C5" s="143">
        <v>9.6935697912896621E-2</v>
      </c>
      <c r="D5" s="18">
        <v>81.36</v>
      </c>
      <c r="E5" s="143">
        <v>0.21742532005689899</v>
      </c>
      <c r="F5" s="159">
        <v>40314.882263767009</v>
      </c>
      <c r="G5" s="146">
        <v>6.63</v>
      </c>
      <c r="H5" s="146">
        <v>9.39</v>
      </c>
      <c r="I5" s="143">
        <v>4.7497384726804537E-2</v>
      </c>
      <c r="J5" s="161">
        <v>158945.04</v>
      </c>
      <c r="K5" s="143">
        <v>3.4718569174118884E-2</v>
      </c>
      <c r="L5" s="265">
        <v>897</v>
      </c>
      <c r="M5" s="143">
        <v>2.8845844977674985E-2</v>
      </c>
      <c r="N5" s="143">
        <v>2.7632235528942117E-2</v>
      </c>
    </row>
    <row r="6" spans="1:14">
      <c r="A6" s="16" t="s">
        <v>17</v>
      </c>
      <c r="B6" s="17" t="s">
        <v>22</v>
      </c>
      <c r="C6" s="143">
        <v>0.11230863837913066</v>
      </c>
      <c r="D6" s="18">
        <v>82.81</v>
      </c>
      <c r="E6" s="143">
        <v>0.26114939047474822</v>
      </c>
      <c r="F6" s="159">
        <v>30701.652039292203</v>
      </c>
      <c r="G6" s="146">
        <v>7.06</v>
      </c>
      <c r="H6" s="146">
        <v>9.92</v>
      </c>
      <c r="I6" s="143">
        <v>4.7497384726804537E-2</v>
      </c>
      <c r="J6" s="161">
        <v>106883.32</v>
      </c>
      <c r="K6" s="143">
        <v>3.4718569174118884E-2</v>
      </c>
      <c r="L6" s="265">
        <v>897</v>
      </c>
      <c r="M6" s="143">
        <v>2.8845844977674985E-2</v>
      </c>
      <c r="N6" s="143">
        <v>2.7632235528942117E-2</v>
      </c>
    </row>
    <row r="7" spans="1:14">
      <c r="A7" s="16" t="s">
        <v>17</v>
      </c>
      <c r="B7" s="17" t="s">
        <v>23</v>
      </c>
      <c r="C7" s="143">
        <v>0.11790029162616303</v>
      </c>
      <c r="D7" s="18">
        <v>79.08</v>
      </c>
      <c r="E7" s="143">
        <v>0.26512226512226511</v>
      </c>
      <c r="F7" s="159">
        <v>30935.804311342592</v>
      </c>
      <c r="G7" s="146">
        <v>7.9</v>
      </c>
      <c r="H7" s="146">
        <v>11.45</v>
      </c>
      <c r="I7" s="143">
        <v>4.7497384726804537E-2</v>
      </c>
      <c r="J7" s="161">
        <v>171610.78</v>
      </c>
      <c r="K7" s="143">
        <v>3.4718569174118884E-2</v>
      </c>
      <c r="L7" s="265">
        <v>897</v>
      </c>
      <c r="M7" s="143">
        <v>2.8845844977674985E-2</v>
      </c>
      <c r="N7" s="143">
        <v>2.7632235528942117E-2</v>
      </c>
    </row>
    <row r="8" spans="1:14">
      <c r="A8" s="16" t="s">
        <v>24</v>
      </c>
      <c r="B8" s="17" t="s">
        <v>25</v>
      </c>
      <c r="C8" s="143">
        <v>3.6753378229675601E-2</v>
      </c>
      <c r="D8" s="18">
        <v>83.7</v>
      </c>
      <c r="E8" s="143">
        <v>0.26624692033944702</v>
      </c>
      <c r="F8" s="159">
        <v>41950.812045864746</v>
      </c>
      <c r="G8" s="146">
        <v>6.83</v>
      </c>
      <c r="H8" s="146">
        <v>8.06</v>
      </c>
      <c r="I8" s="143">
        <v>3.9670622889987663E-2</v>
      </c>
      <c r="J8" s="161">
        <v>87446.56</v>
      </c>
      <c r="K8" s="143">
        <v>3.5244608100999476E-2</v>
      </c>
      <c r="L8" s="265">
        <v>266</v>
      </c>
      <c r="M8" s="143">
        <v>3.5238187016157531E-2</v>
      </c>
      <c r="N8" s="143">
        <v>3.9202844311377244E-2</v>
      </c>
    </row>
    <row r="9" spans="1:14">
      <c r="A9" s="16" t="s">
        <v>24</v>
      </c>
      <c r="B9" s="17" t="s">
        <v>316</v>
      </c>
      <c r="C9" s="143">
        <v>3.7958150798617724E-2</v>
      </c>
      <c r="D9" s="18">
        <v>84.41</v>
      </c>
      <c r="E9" s="143">
        <v>0.26345045985917864</v>
      </c>
      <c r="F9" s="159">
        <v>44669.182438943455</v>
      </c>
      <c r="G9" s="146">
        <v>6.57</v>
      </c>
      <c r="H9" s="146">
        <v>7.67</v>
      </c>
      <c r="I9" s="143">
        <v>3.9670622889987663E-2</v>
      </c>
      <c r="J9" s="161">
        <v>83248.38</v>
      </c>
      <c r="K9" s="143">
        <v>3.5244608100999476E-2</v>
      </c>
      <c r="L9" s="265">
        <v>266</v>
      </c>
      <c r="M9" s="143">
        <v>3.5238187016157531E-2</v>
      </c>
      <c r="N9" s="143">
        <v>3.9202844311377244E-2</v>
      </c>
    </row>
    <row r="10" spans="1:14">
      <c r="A10" s="16" t="s">
        <v>24</v>
      </c>
      <c r="B10" s="17" t="s">
        <v>317</v>
      </c>
      <c r="C10" s="143">
        <v>0.10040911157129148</v>
      </c>
      <c r="D10" s="18">
        <v>83.39</v>
      </c>
      <c r="E10" s="143">
        <v>0.39527626506761304</v>
      </c>
      <c r="F10" s="159">
        <v>31933.911996619991</v>
      </c>
      <c r="G10" s="146">
        <v>7.87</v>
      </c>
      <c r="H10" s="146">
        <v>9.81</v>
      </c>
      <c r="I10" s="143">
        <v>3.9670622889987663E-2</v>
      </c>
      <c r="J10" s="161">
        <v>79471.759999999995</v>
      </c>
      <c r="K10" s="143">
        <v>3.5244608100999476E-2</v>
      </c>
      <c r="L10" s="265">
        <v>266</v>
      </c>
      <c r="M10" s="143">
        <v>3.5238187016157531E-2</v>
      </c>
      <c r="N10" s="143">
        <v>3.9202844311377244E-2</v>
      </c>
    </row>
    <row r="11" spans="1:14">
      <c r="A11" s="16" t="s">
        <v>24</v>
      </c>
      <c r="B11" s="17" t="s">
        <v>26</v>
      </c>
      <c r="C11" s="143">
        <v>3.9736131311032617E-2</v>
      </c>
      <c r="D11" s="18">
        <v>82.86</v>
      </c>
      <c r="E11" s="143">
        <v>0.17371601208459214</v>
      </c>
      <c r="F11" s="159">
        <v>48935.036576627012</v>
      </c>
      <c r="G11" s="146">
        <v>4.9400000000000004</v>
      </c>
      <c r="H11" s="146">
        <v>6.22</v>
      </c>
      <c r="I11" s="143">
        <v>3.9670622889987663E-2</v>
      </c>
      <c r="J11" s="161">
        <v>90178.67</v>
      </c>
      <c r="K11" s="143">
        <v>3.5244608100999476E-2</v>
      </c>
      <c r="L11" s="265">
        <v>266</v>
      </c>
      <c r="M11" s="143">
        <v>3.5238187016157531E-2</v>
      </c>
      <c r="N11" s="143">
        <v>3.9202844311377244E-2</v>
      </c>
    </row>
    <row r="12" spans="1:14">
      <c r="A12" s="16" t="s">
        <v>24</v>
      </c>
      <c r="B12" s="17" t="s">
        <v>318</v>
      </c>
      <c r="C12" s="143">
        <v>7.5455902158482871E-2</v>
      </c>
      <c r="D12" s="18">
        <v>83.46</v>
      </c>
      <c r="E12" s="143">
        <v>0.28848581179000515</v>
      </c>
      <c r="F12" s="159">
        <v>39647.688652559234</v>
      </c>
      <c r="G12" s="146">
        <v>6.42</v>
      </c>
      <c r="H12" s="146">
        <v>7.8</v>
      </c>
      <c r="I12" s="143">
        <v>3.9670622889987663E-2</v>
      </c>
      <c r="J12" s="161">
        <v>83583.649999999994</v>
      </c>
      <c r="K12" s="143">
        <v>3.5244608100999476E-2</v>
      </c>
      <c r="L12" s="265">
        <v>266</v>
      </c>
      <c r="M12" s="143">
        <v>3.5238187016157531E-2</v>
      </c>
      <c r="N12" s="143">
        <v>3.9202844311377244E-2</v>
      </c>
    </row>
    <row r="13" spans="1:14">
      <c r="A13" s="16" t="s">
        <v>24</v>
      </c>
      <c r="B13" s="17" t="s">
        <v>27</v>
      </c>
      <c r="C13" s="143">
        <v>9.7444461705763541E-2</v>
      </c>
      <c r="D13" s="18">
        <v>83.27</v>
      </c>
      <c r="E13" s="143">
        <v>0.32320647622592352</v>
      </c>
      <c r="F13" s="159">
        <v>33938.36905297661</v>
      </c>
      <c r="G13" s="146">
        <v>7.21</v>
      </c>
      <c r="H13" s="146">
        <v>9.23</v>
      </c>
      <c r="I13" s="143">
        <v>3.9670622889987663E-2</v>
      </c>
      <c r="J13" s="161">
        <v>81739.38</v>
      </c>
      <c r="K13" s="143">
        <v>3.5244608100999476E-2</v>
      </c>
      <c r="L13" s="265">
        <v>266</v>
      </c>
      <c r="M13" s="143">
        <v>3.5238187016157531E-2</v>
      </c>
      <c r="N13" s="143">
        <v>3.9202844311377244E-2</v>
      </c>
    </row>
    <row r="14" spans="1:14">
      <c r="A14" s="16" t="s">
        <v>24</v>
      </c>
      <c r="B14" s="17" t="s">
        <v>28</v>
      </c>
      <c r="C14" s="143">
        <v>3.3476394849785408E-2</v>
      </c>
      <c r="D14" s="18">
        <v>78.849999999999994</v>
      </c>
      <c r="E14" s="143">
        <v>0.29036295369211512</v>
      </c>
      <c r="F14" s="159">
        <v>37939.284722891563</v>
      </c>
      <c r="G14" s="146">
        <v>7.96</v>
      </c>
      <c r="H14" s="146">
        <v>7.42</v>
      </c>
      <c r="I14" s="143">
        <v>3.9670622889987663E-2</v>
      </c>
      <c r="J14" s="161">
        <v>127649.25</v>
      </c>
      <c r="K14" s="143">
        <v>3.5244608100999476E-2</v>
      </c>
      <c r="L14" s="265">
        <v>266</v>
      </c>
      <c r="M14" s="143">
        <v>3.5238187016157531E-2</v>
      </c>
      <c r="N14" s="143">
        <v>3.9202844311377244E-2</v>
      </c>
    </row>
    <row r="15" spans="1:14">
      <c r="A15" s="16" t="s">
        <v>29</v>
      </c>
      <c r="B15" s="17" t="s">
        <v>30</v>
      </c>
      <c r="C15" s="143">
        <v>5.0683015386446838E-2</v>
      </c>
      <c r="D15" s="18">
        <v>84.16</v>
      </c>
      <c r="E15" s="143">
        <v>0.25641398886422356</v>
      </c>
      <c r="F15" s="159">
        <v>41948.887029967016</v>
      </c>
      <c r="G15" s="146">
        <v>6.1</v>
      </c>
      <c r="H15" s="146">
        <v>7.59</v>
      </c>
      <c r="I15" s="143">
        <v>3.3098371565551614E-2</v>
      </c>
      <c r="J15" s="161">
        <v>95321.7</v>
      </c>
      <c r="K15" s="143">
        <v>2.0164825530422585E-2</v>
      </c>
      <c r="L15" s="265">
        <v>121</v>
      </c>
      <c r="M15" s="143">
        <v>1.6607240371334039E-2</v>
      </c>
      <c r="N15" s="143">
        <v>2.6166417165668664E-2</v>
      </c>
    </row>
    <row r="16" spans="1:14">
      <c r="A16" s="16" t="s">
        <v>29</v>
      </c>
      <c r="B16" s="17" t="s">
        <v>31</v>
      </c>
      <c r="C16" s="143">
        <v>3.8593622240392478E-2</v>
      </c>
      <c r="D16" s="18">
        <v>82.52</v>
      </c>
      <c r="E16" s="143">
        <v>0.26134101983391667</v>
      </c>
      <c r="F16" s="159">
        <v>45842.92865148378</v>
      </c>
      <c r="G16" s="146">
        <v>6.73</v>
      </c>
      <c r="H16" s="146">
        <v>8.7799999999999994</v>
      </c>
      <c r="I16" s="143">
        <v>3.3098371565551614E-2</v>
      </c>
      <c r="J16" s="161">
        <v>89195.73</v>
      </c>
      <c r="K16" s="143">
        <v>2.0164825530422585E-2</v>
      </c>
      <c r="L16" s="265">
        <v>121</v>
      </c>
      <c r="M16" s="143">
        <v>1.6607240371334039E-2</v>
      </c>
      <c r="N16" s="143">
        <v>2.6166417165668664E-2</v>
      </c>
    </row>
    <row r="17" spans="1:14">
      <c r="A17" s="16" t="s">
        <v>29</v>
      </c>
      <c r="B17" s="17" t="s">
        <v>319</v>
      </c>
      <c r="C17" s="143">
        <v>1.9838196058180567E-2</v>
      </c>
      <c r="D17" s="18">
        <v>85.36</v>
      </c>
      <c r="E17" s="143">
        <v>0.20516823687752356</v>
      </c>
      <c r="F17" s="159">
        <v>58249.144489218801</v>
      </c>
      <c r="G17" s="146">
        <v>5.21</v>
      </c>
      <c r="H17" s="146">
        <v>6.64</v>
      </c>
      <c r="I17" s="143">
        <v>3.3098371565551614E-2</v>
      </c>
      <c r="J17" s="161">
        <v>124451.81</v>
      </c>
      <c r="K17" s="143">
        <v>2.0164825530422585E-2</v>
      </c>
      <c r="L17" s="265">
        <v>121</v>
      </c>
      <c r="M17" s="143">
        <v>1.6607240371334039E-2</v>
      </c>
      <c r="N17" s="143">
        <v>2.6166417165668664E-2</v>
      </c>
    </row>
    <row r="18" spans="1:14">
      <c r="A18" s="16" t="s">
        <v>29</v>
      </c>
      <c r="B18" s="17" t="s">
        <v>32</v>
      </c>
      <c r="C18" s="143">
        <v>5.2114381520119227E-2</v>
      </c>
      <c r="D18" s="18">
        <v>82.81</v>
      </c>
      <c r="E18" s="143">
        <v>0.23402168897092754</v>
      </c>
      <c r="F18" s="159">
        <v>45561.1376637797</v>
      </c>
      <c r="G18" s="146">
        <v>5.73</v>
      </c>
      <c r="H18" s="146">
        <v>7.45</v>
      </c>
      <c r="I18" s="143">
        <v>3.3098371565551614E-2</v>
      </c>
      <c r="J18" s="161">
        <v>160287.21</v>
      </c>
      <c r="K18" s="143">
        <v>2.0164825530422585E-2</v>
      </c>
      <c r="L18" s="265">
        <v>121</v>
      </c>
      <c r="M18" s="143">
        <v>1.6607240371334039E-2</v>
      </c>
      <c r="N18" s="143">
        <v>2.6166417165668664E-2</v>
      </c>
    </row>
    <row r="19" spans="1:14">
      <c r="A19" s="16" t="s">
        <v>29</v>
      </c>
      <c r="B19" s="17" t="s">
        <v>320</v>
      </c>
      <c r="C19" s="143">
        <v>3.7173144876325087E-2</v>
      </c>
      <c r="D19" s="18">
        <v>84.89</v>
      </c>
      <c r="E19" s="143">
        <v>0.18841832324978391</v>
      </c>
      <c r="F19" s="159">
        <v>84955.30244799405</v>
      </c>
      <c r="G19" s="146">
        <v>4.1500000000000004</v>
      </c>
      <c r="H19" s="146">
        <v>5.03</v>
      </c>
      <c r="I19" s="143">
        <v>3.3098371565551614E-2</v>
      </c>
      <c r="J19" s="161">
        <v>329936.75</v>
      </c>
      <c r="K19" s="143">
        <v>2.0164825530422585E-2</v>
      </c>
      <c r="L19" s="265">
        <v>121</v>
      </c>
      <c r="M19" s="143">
        <v>1.6607240371334039E-2</v>
      </c>
      <c r="N19" s="143">
        <v>2.6166417165668664E-2</v>
      </c>
    </row>
    <row r="20" spans="1:14">
      <c r="A20" s="16" t="s">
        <v>29</v>
      </c>
      <c r="B20" s="17" t="s">
        <v>33</v>
      </c>
      <c r="C20" s="143">
        <v>2.4672774869109949E-2</v>
      </c>
      <c r="D20" s="18">
        <v>83.81</v>
      </c>
      <c r="E20" s="143">
        <v>0.16060450819672131</v>
      </c>
      <c r="F20" s="159">
        <v>69100.160909916463</v>
      </c>
      <c r="G20" s="146">
        <v>4.8099999999999996</v>
      </c>
      <c r="H20" s="146">
        <v>5.71</v>
      </c>
      <c r="I20" s="143">
        <v>3.3098371565551614E-2</v>
      </c>
      <c r="J20" s="161">
        <v>205637.32</v>
      </c>
      <c r="K20" s="143">
        <v>2.0164825530422585E-2</v>
      </c>
      <c r="L20" s="265">
        <v>121</v>
      </c>
      <c r="M20" s="143">
        <v>1.6607240371334039E-2</v>
      </c>
      <c r="N20" s="143">
        <v>2.6166417165668664E-2</v>
      </c>
    </row>
    <row r="21" spans="1:14">
      <c r="A21" s="16" t="s">
        <v>34</v>
      </c>
      <c r="B21" s="17" t="s">
        <v>35</v>
      </c>
      <c r="C21" s="143">
        <v>7.1337903021071333E-2</v>
      </c>
      <c r="D21" s="18">
        <v>84.12</v>
      </c>
      <c r="E21" s="143">
        <v>0.1456194795894008</v>
      </c>
      <c r="F21" s="159">
        <v>84705.717880827317</v>
      </c>
      <c r="G21" s="146">
        <v>3.89</v>
      </c>
      <c r="H21" s="146">
        <v>5</v>
      </c>
      <c r="I21" s="143">
        <v>2.9046305859304296E-2</v>
      </c>
      <c r="J21" s="161">
        <v>261448.85</v>
      </c>
      <c r="K21" s="143">
        <v>3.7816353965749019E-2</v>
      </c>
      <c r="L21" s="265">
        <v>111</v>
      </c>
      <c r="M21" s="143">
        <v>2.5119655648710288E-2</v>
      </c>
      <c r="N21" s="143">
        <v>2.8817365269461079E-2</v>
      </c>
    </row>
    <row r="22" spans="1:14">
      <c r="A22" s="16" t="s">
        <v>34</v>
      </c>
      <c r="B22" s="17" t="s">
        <v>36</v>
      </c>
      <c r="C22" s="143">
        <v>6.7828671801107965E-2</v>
      </c>
      <c r="D22" s="18">
        <v>83.79</v>
      </c>
      <c r="E22" s="143">
        <v>0.20110341394615672</v>
      </c>
      <c r="F22" s="159">
        <v>48814.737832512321</v>
      </c>
      <c r="G22" s="146">
        <v>5.24</v>
      </c>
      <c r="H22" s="146">
        <v>7.17</v>
      </c>
      <c r="I22" s="143">
        <v>2.9046305859304296E-2</v>
      </c>
      <c r="J22" s="161">
        <v>157508.54</v>
      </c>
      <c r="K22" s="143">
        <v>3.7816353965749019E-2</v>
      </c>
      <c r="L22" s="265">
        <v>111</v>
      </c>
      <c r="M22" s="143">
        <v>2.5119655648710288E-2</v>
      </c>
      <c r="N22" s="143">
        <v>2.8817365269461079E-2</v>
      </c>
    </row>
    <row r="23" spans="1:14">
      <c r="A23" s="16" t="s">
        <v>34</v>
      </c>
      <c r="B23" s="17" t="s">
        <v>37</v>
      </c>
      <c r="C23" s="143">
        <v>6.2081264761170291E-2</v>
      </c>
      <c r="D23" s="18">
        <v>83.93</v>
      </c>
      <c r="E23" s="143">
        <v>0.25728696264148732</v>
      </c>
      <c r="F23" s="159">
        <v>40503.559002474132</v>
      </c>
      <c r="G23" s="146">
        <v>6.05</v>
      </c>
      <c r="H23" s="146">
        <v>8.1300000000000008</v>
      </c>
      <c r="I23" s="143">
        <v>2.9046305859304296E-2</v>
      </c>
      <c r="J23" s="161">
        <v>109738.52</v>
      </c>
      <c r="K23" s="143">
        <v>3.7816353965749019E-2</v>
      </c>
      <c r="L23" s="265">
        <v>111</v>
      </c>
      <c r="M23" s="143">
        <v>2.5119655648710288E-2</v>
      </c>
      <c r="N23" s="143">
        <v>2.8817365269461079E-2</v>
      </c>
    </row>
    <row r="24" spans="1:14">
      <c r="A24" s="16" t="s">
        <v>34</v>
      </c>
      <c r="B24" s="17" t="s">
        <v>38</v>
      </c>
      <c r="C24" s="143">
        <v>5.9914200538064427E-2</v>
      </c>
      <c r="D24" s="18">
        <v>84.93</v>
      </c>
      <c r="E24" s="143">
        <v>0.21778030461713396</v>
      </c>
      <c r="F24" s="159">
        <v>46340.874098849337</v>
      </c>
      <c r="G24" s="146">
        <v>5.85</v>
      </c>
      <c r="H24" s="146">
        <v>7.62</v>
      </c>
      <c r="I24" s="143">
        <v>2.9046305859304296E-2</v>
      </c>
      <c r="J24" s="161">
        <v>114996.92</v>
      </c>
      <c r="K24" s="143">
        <v>3.7816353965749019E-2</v>
      </c>
      <c r="L24" s="265">
        <v>111</v>
      </c>
      <c r="M24" s="143">
        <v>2.5119655648710288E-2</v>
      </c>
      <c r="N24" s="143">
        <v>2.8817365269461079E-2</v>
      </c>
    </row>
    <row r="25" spans="1:14">
      <c r="A25" s="16" t="s">
        <v>34</v>
      </c>
      <c r="B25" s="17" t="s">
        <v>39</v>
      </c>
      <c r="C25" s="143">
        <v>7.3153273525481954E-2</v>
      </c>
      <c r="D25" s="18">
        <v>84.7</v>
      </c>
      <c r="E25" s="143">
        <v>0.19123316922711905</v>
      </c>
      <c r="F25" s="159">
        <v>47375.424529116586</v>
      </c>
      <c r="G25" s="146">
        <v>5.45</v>
      </c>
      <c r="H25" s="146">
        <v>7.35</v>
      </c>
      <c r="I25" s="143">
        <v>2.9046305859304296E-2</v>
      </c>
      <c r="J25" s="161">
        <v>152904.34</v>
      </c>
      <c r="K25" s="143">
        <v>3.7816353965749019E-2</v>
      </c>
      <c r="L25" s="265">
        <v>111</v>
      </c>
      <c r="M25" s="143">
        <v>2.5119655648710288E-2</v>
      </c>
      <c r="N25" s="143">
        <v>2.8817365269461079E-2</v>
      </c>
    </row>
    <row r="26" spans="1:14">
      <c r="A26" s="16" t="s">
        <v>34</v>
      </c>
      <c r="B26" s="17" t="s">
        <v>40</v>
      </c>
      <c r="C26" s="143">
        <v>8.00188835123333E-2</v>
      </c>
      <c r="D26" s="18">
        <v>84.11</v>
      </c>
      <c r="E26" s="143">
        <v>0.16483271375464684</v>
      </c>
      <c r="F26" s="159">
        <v>82811.17901163717</v>
      </c>
      <c r="G26" s="146">
        <v>3.75</v>
      </c>
      <c r="H26" s="146">
        <v>5.68</v>
      </c>
      <c r="I26" s="143">
        <v>2.9046305859304296E-2</v>
      </c>
      <c r="J26" s="161">
        <v>261652.21</v>
      </c>
      <c r="K26" s="143">
        <v>3.7816353965749019E-2</v>
      </c>
      <c r="L26" s="265">
        <v>111</v>
      </c>
      <c r="M26" s="143">
        <v>2.5119655648710288E-2</v>
      </c>
      <c r="N26" s="143">
        <v>2.8817365269461079E-2</v>
      </c>
    </row>
    <row r="27" spans="1:14">
      <c r="A27" s="16" t="s">
        <v>41</v>
      </c>
      <c r="B27" s="17" t="s">
        <v>42</v>
      </c>
      <c r="C27" s="143">
        <v>5.774278215223097E-2</v>
      </c>
      <c r="D27" s="18">
        <v>84.73</v>
      </c>
      <c r="E27" s="143">
        <v>0.1626400426796738</v>
      </c>
      <c r="F27" s="159">
        <v>103573.08265600556</v>
      </c>
      <c r="G27" s="146">
        <v>3.41</v>
      </c>
      <c r="H27" s="146">
        <v>4.37</v>
      </c>
      <c r="I27" s="143">
        <v>2.8481565612441029E-2</v>
      </c>
      <c r="J27" s="161">
        <v>315478.28000000003</v>
      </c>
      <c r="K27" s="143">
        <v>2.4314688175813899E-2</v>
      </c>
      <c r="L27" s="265">
        <v>147</v>
      </c>
      <c r="M27" s="143">
        <v>2.2742603835405224E-2</v>
      </c>
      <c r="N27" s="143">
        <v>2.9815369261477046E-2</v>
      </c>
    </row>
    <row r="28" spans="1:14">
      <c r="A28" s="16" t="s">
        <v>41</v>
      </c>
      <c r="B28" s="17" t="s">
        <v>43</v>
      </c>
      <c r="C28" s="143">
        <v>6.1332895241224462E-2</v>
      </c>
      <c r="D28" s="18">
        <v>83.04</v>
      </c>
      <c r="E28" s="143">
        <v>0.22787395774034758</v>
      </c>
      <c r="F28" s="159">
        <v>43701.522001574493</v>
      </c>
      <c r="G28" s="146">
        <v>6.39</v>
      </c>
      <c r="H28" s="146">
        <v>8.5399999999999991</v>
      </c>
      <c r="I28" s="143">
        <v>2.8481565612441029E-2</v>
      </c>
      <c r="J28" s="161">
        <v>101729.75</v>
      </c>
      <c r="K28" s="143">
        <v>2.4314688175813899E-2</v>
      </c>
      <c r="L28" s="265">
        <v>147</v>
      </c>
      <c r="M28" s="143">
        <v>2.2742603835405224E-2</v>
      </c>
      <c r="N28" s="143">
        <v>2.9815369261477046E-2</v>
      </c>
    </row>
    <row r="29" spans="1:14">
      <c r="A29" s="16" t="s">
        <v>41</v>
      </c>
      <c r="B29" s="17" t="s">
        <v>44</v>
      </c>
      <c r="C29" s="143">
        <v>7.1834261913777245E-2</v>
      </c>
      <c r="D29" s="18">
        <v>83.46</v>
      </c>
      <c r="E29" s="143">
        <v>0.24704697986577182</v>
      </c>
      <c r="F29" s="159">
        <v>43706.982619804076</v>
      </c>
      <c r="G29" s="146">
        <v>6.32</v>
      </c>
      <c r="H29" s="146">
        <v>7.98</v>
      </c>
      <c r="I29" s="143">
        <v>2.8481565612441029E-2</v>
      </c>
      <c r="J29" s="161">
        <v>114722.5</v>
      </c>
      <c r="K29" s="143">
        <v>2.4314688175813899E-2</v>
      </c>
      <c r="L29" s="265">
        <v>147</v>
      </c>
      <c r="M29" s="143">
        <v>2.2742603835405224E-2</v>
      </c>
      <c r="N29" s="143">
        <v>2.9815369261477046E-2</v>
      </c>
    </row>
    <row r="30" spans="1:14">
      <c r="A30" s="16" t="s">
        <v>41</v>
      </c>
      <c r="B30" s="17" t="s">
        <v>45</v>
      </c>
      <c r="C30" s="143">
        <v>3.5189494151021579E-2</v>
      </c>
      <c r="D30" s="18">
        <v>84.24</v>
      </c>
      <c r="E30" s="143">
        <v>0.1715201051464246</v>
      </c>
      <c r="F30" s="159">
        <v>62635.35035399715</v>
      </c>
      <c r="G30" s="146">
        <v>4.88</v>
      </c>
      <c r="H30" s="146">
        <v>6.49</v>
      </c>
      <c r="I30" s="143">
        <v>2.8481565612441029E-2</v>
      </c>
      <c r="J30" s="161">
        <v>156270.15</v>
      </c>
      <c r="K30" s="143">
        <v>2.4314688175813899E-2</v>
      </c>
      <c r="L30" s="265">
        <v>147</v>
      </c>
      <c r="M30" s="143">
        <v>2.2742603835405224E-2</v>
      </c>
      <c r="N30" s="143">
        <v>2.9815369261477046E-2</v>
      </c>
    </row>
    <row r="31" spans="1:14">
      <c r="A31" s="16" t="s">
        <v>41</v>
      </c>
      <c r="B31" s="17" t="s">
        <v>46</v>
      </c>
      <c r="C31" s="143">
        <v>4.8824297844546047E-2</v>
      </c>
      <c r="D31" s="18">
        <v>84.79</v>
      </c>
      <c r="E31" s="143">
        <v>0.14127166365972335</v>
      </c>
      <c r="F31" s="159">
        <v>80248.392025596288</v>
      </c>
      <c r="G31" s="146">
        <v>3.75</v>
      </c>
      <c r="H31" s="146">
        <v>5.22</v>
      </c>
      <c r="I31" s="143">
        <v>2.8481565612441029E-2</v>
      </c>
      <c r="J31" s="161">
        <v>201904.31</v>
      </c>
      <c r="K31" s="143">
        <v>2.4314688175813899E-2</v>
      </c>
      <c r="L31" s="265">
        <v>147</v>
      </c>
      <c r="M31" s="143">
        <v>2.2742603835405224E-2</v>
      </c>
      <c r="N31" s="143">
        <v>2.9815369261477046E-2</v>
      </c>
    </row>
    <row r="32" spans="1:14">
      <c r="A32" s="16" t="s">
        <v>41</v>
      </c>
      <c r="B32" s="17" t="s">
        <v>47</v>
      </c>
      <c r="C32" s="143">
        <v>4.8070653784600799E-2</v>
      </c>
      <c r="D32" s="18">
        <v>85.1</v>
      </c>
      <c r="E32" s="143">
        <v>0.18239041407553466</v>
      </c>
      <c r="F32" s="159">
        <v>54869.965013558787</v>
      </c>
      <c r="G32" s="146">
        <v>5.09</v>
      </c>
      <c r="H32" s="146">
        <v>7.29</v>
      </c>
      <c r="I32" s="143">
        <v>2.8481565612441029E-2</v>
      </c>
      <c r="J32" s="161">
        <v>106610.94</v>
      </c>
      <c r="K32" s="143">
        <v>2.4314688175813899E-2</v>
      </c>
      <c r="L32" s="265">
        <v>147</v>
      </c>
      <c r="M32" s="143">
        <v>2.2742603835405224E-2</v>
      </c>
      <c r="N32" s="143">
        <v>2.9815369261477046E-2</v>
      </c>
    </row>
    <row r="33" spans="1:14">
      <c r="A33" s="16" t="s">
        <v>48</v>
      </c>
      <c r="B33" s="17" t="s">
        <v>49</v>
      </c>
      <c r="C33" s="143">
        <v>0.1816695652173913</v>
      </c>
      <c r="D33" s="18">
        <v>83.1</v>
      </c>
      <c r="E33" s="143">
        <v>0.426491866532205</v>
      </c>
      <c r="F33" s="159">
        <v>31125.229902695948</v>
      </c>
      <c r="G33" s="146">
        <v>7.27</v>
      </c>
      <c r="H33" s="146">
        <v>9.52</v>
      </c>
      <c r="I33" s="143">
        <v>4.6933916378695373E-2</v>
      </c>
      <c r="J33" s="161">
        <v>78564.539999999994</v>
      </c>
      <c r="K33" s="143">
        <v>3.6296685954760655E-2</v>
      </c>
      <c r="L33" s="265">
        <v>873</v>
      </c>
      <c r="M33" s="143">
        <v>4.5967042497831741E-2</v>
      </c>
      <c r="N33" s="143">
        <v>4.6407185628742513E-2</v>
      </c>
    </row>
    <row r="34" spans="1:14">
      <c r="A34" s="16" t="s">
        <v>48</v>
      </c>
      <c r="B34" s="17" t="s">
        <v>50</v>
      </c>
      <c r="C34" s="143">
        <v>0.10445495416593684</v>
      </c>
      <c r="D34" s="18">
        <v>83.5</v>
      </c>
      <c r="E34" s="143">
        <v>0.27366541688984108</v>
      </c>
      <c r="F34" s="159">
        <v>43306.023276175816</v>
      </c>
      <c r="G34" s="146">
        <v>6.14</v>
      </c>
      <c r="H34" s="146">
        <v>8.4</v>
      </c>
      <c r="I34" s="143">
        <v>4.6933916378695373E-2</v>
      </c>
      <c r="J34" s="161">
        <v>119218.39</v>
      </c>
      <c r="K34" s="143">
        <v>3.6296685954760655E-2</v>
      </c>
      <c r="L34" s="265">
        <v>873</v>
      </c>
      <c r="M34" s="143">
        <v>4.5967042497831741E-2</v>
      </c>
      <c r="N34" s="143">
        <v>4.6407185628742513E-2</v>
      </c>
    </row>
    <row r="35" spans="1:14">
      <c r="A35" s="16" t="s">
        <v>48</v>
      </c>
      <c r="B35" s="17" t="s">
        <v>51</v>
      </c>
      <c r="C35" s="143">
        <v>0.10528900456710702</v>
      </c>
      <c r="D35" s="18">
        <v>84.44</v>
      </c>
      <c r="E35" s="143">
        <v>0.26245143058989756</v>
      </c>
      <c r="F35" s="159">
        <v>45025.326885959883</v>
      </c>
      <c r="G35" s="146">
        <v>6</v>
      </c>
      <c r="H35" s="146">
        <v>8.17</v>
      </c>
      <c r="I35" s="143">
        <v>4.6933916378695373E-2</v>
      </c>
      <c r="J35" s="161">
        <v>114667.38</v>
      </c>
      <c r="K35" s="143">
        <v>3.6296685954760655E-2</v>
      </c>
      <c r="L35" s="265">
        <v>873</v>
      </c>
      <c r="M35" s="143">
        <v>4.5967042497831741E-2</v>
      </c>
      <c r="N35" s="143">
        <v>4.6407185628742513E-2</v>
      </c>
    </row>
    <row r="36" spans="1:14">
      <c r="A36" s="16" t="s">
        <v>48</v>
      </c>
      <c r="B36" s="17" t="s">
        <v>52</v>
      </c>
      <c r="C36" s="143">
        <v>0.10374202756344499</v>
      </c>
      <c r="D36" s="18">
        <v>82.6</v>
      </c>
      <c r="E36" s="143">
        <v>0.48410192806404329</v>
      </c>
      <c r="F36" s="159">
        <v>28746.703366257949</v>
      </c>
      <c r="G36" s="146">
        <v>10.69</v>
      </c>
      <c r="H36" s="146">
        <v>13.3</v>
      </c>
      <c r="I36" s="143">
        <v>4.6933916378695373E-2</v>
      </c>
      <c r="J36" s="161">
        <v>82364.88</v>
      </c>
      <c r="K36" s="143">
        <v>3.6296685954760655E-2</v>
      </c>
      <c r="L36" s="265">
        <v>873</v>
      </c>
      <c r="M36" s="143">
        <v>4.5967042497831741E-2</v>
      </c>
      <c r="N36" s="143">
        <v>4.6407185628742513E-2</v>
      </c>
    </row>
    <row r="37" spans="1:14">
      <c r="A37" s="16" t="s">
        <v>48</v>
      </c>
      <c r="B37" s="17" t="s">
        <v>53</v>
      </c>
      <c r="C37" s="143">
        <v>0.16921512651050019</v>
      </c>
      <c r="D37" s="18">
        <v>83.03</v>
      </c>
      <c r="E37" s="143">
        <v>0.47916978496233098</v>
      </c>
      <c r="F37" s="159">
        <v>28242.052362314509</v>
      </c>
      <c r="G37" s="146">
        <v>7.93</v>
      </c>
      <c r="H37" s="146">
        <v>10.57</v>
      </c>
      <c r="I37" s="143">
        <v>4.6933916378695373E-2</v>
      </c>
      <c r="J37" s="161">
        <v>56778.23</v>
      </c>
      <c r="K37" s="143">
        <v>3.6296685954760655E-2</v>
      </c>
      <c r="L37" s="265">
        <v>873</v>
      </c>
      <c r="M37" s="143">
        <v>4.5967042497831741E-2</v>
      </c>
      <c r="N37" s="143">
        <v>4.6407185628742513E-2</v>
      </c>
    </row>
    <row r="38" spans="1:14">
      <c r="A38" s="16" t="s">
        <v>48</v>
      </c>
      <c r="B38" s="17" t="s">
        <v>54</v>
      </c>
      <c r="C38" s="143">
        <v>0.18786573472041612</v>
      </c>
      <c r="D38" s="18">
        <v>82.77</v>
      </c>
      <c r="E38" s="143">
        <v>0.45024309506568738</v>
      </c>
      <c r="F38" s="159">
        <v>28945.525477272728</v>
      </c>
      <c r="G38" s="146">
        <v>7.36</v>
      </c>
      <c r="H38" s="146">
        <v>10.31</v>
      </c>
      <c r="I38" s="143">
        <v>4.6933916378695373E-2</v>
      </c>
      <c r="J38" s="161">
        <v>70355.899999999994</v>
      </c>
      <c r="K38" s="143">
        <v>3.6296685954760655E-2</v>
      </c>
      <c r="L38" s="265">
        <v>873</v>
      </c>
      <c r="M38" s="143">
        <v>4.5967042497831741E-2</v>
      </c>
      <c r="N38" s="143">
        <v>4.6407185628742513E-2</v>
      </c>
    </row>
    <row r="39" spans="1:14">
      <c r="A39" s="16" t="s">
        <v>55</v>
      </c>
      <c r="B39" s="17" t="s">
        <v>56</v>
      </c>
      <c r="C39" s="143">
        <v>6.1457689932056823E-2</v>
      </c>
      <c r="D39" s="18">
        <v>83.84</v>
      </c>
      <c r="E39" s="143">
        <v>0.22174542723810545</v>
      </c>
      <c r="F39" s="159">
        <v>42607.636540203282</v>
      </c>
      <c r="G39" s="146">
        <v>6.15</v>
      </c>
      <c r="H39" s="146">
        <v>8.02</v>
      </c>
      <c r="I39" s="143">
        <v>3.0146559686627123E-2</v>
      </c>
      <c r="J39" s="161">
        <v>112274.14</v>
      </c>
      <c r="K39" s="143">
        <v>4.1440177684259748E-2</v>
      </c>
      <c r="L39" s="265">
        <v>154</v>
      </c>
      <c r="M39" s="143">
        <v>3.2379300375831165E-2</v>
      </c>
      <c r="N39" s="143">
        <v>3.2559880239520958E-2</v>
      </c>
    </row>
    <row r="40" spans="1:14">
      <c r="A40" s="16" t="s">
        <v>55</v>
      </c>
      <c r="B40" s="17" t="s">
        <v>57</v>
      </c>
      <c r="C40" s="143">
        <v>5.7941236901582087E-2</v>
      </c>
      <c r="D40" s="18">
        <v>82.97</v>
      </c>
      <c r="E40" s="143">
        <v>0.24013868649816592</v>
      </c>
      <c r="F40" s="159">
        <v>42210.151776515151</v>
      </c>
      <c r="G40" s="146">
        <v>5.96</v>
      </c>
      <c r="H40" s="146">
        <v>8.14</v>
      </c>
      <c r="I40" s="143">
        <v>3.0146559686627123E-2</v>
      </c>
      <c r="J40" s="161">
        <v>120510.75</v>
      </c>
      <c r="K40" s="143">
        <v>4.1440177684259748E-2</v>
      </c>
      <c r="L40" s="265">
        <v>154</v>
      </c>
      <c r="M40" s="143">
        <v>3.2379300375831165E-2</v>
      </c>
      <c r="N40" s="143">
        <v>3.2559880239520958E-2</v>
      </c>
    </row>
    <row r="41" spans="1:14">
      <c r="A41" s="16" t="s">
        <v>55</v>
      </c>
      <c r="B41" s="17" t="s">
        <v>58</v>
      </c>
      <c r="C41" s="143">
        <v>6.2553521184194438E-2</v>
      </c>
      <c r="D41" s="18">
        <v>83.5</v>
      </c>
      <c r="E41" s="143">
        <v>0.21946527229676402</v>
      </c>
      <c r="F41" s="159">
        <v>41126.219802584354</v>
      </c>
      <c r="G41" s="146">
        <v>5.89</v>
      </c>
      <c r="H41" s="146">
        <v>7.61</v>
      </c>
      <c r="I41" s="143">
        <v>3.0146559686627123E-2</v>
      </c>
      <c r="J41" s="161">
        <v>116258.33</v>
      </c>
      <c r="K41" s="143">
        <v>4.1440177684259748E-2</v>
      </c>
      <c r="L41" s="265">
        <v>154</v>
      </c>
      <c r="M41" s="143">
        <v>3.2379300375831165E-2</v>
      </c>
      <c r="N41" s="143">
        <v>3.2559880239520958E-2</v>
      </c>
    </row>
    <row r="42" spans="1:14">
      <c r="A42" s="16" t="s">
        <v>55</v>
      </c>
      <c r="B42" s="17" t="s">
        <v>59</v>
      </c>
      <c r="C42" s="143">
        <v>6.8589322693065308E-2</v>
      </c>
      <c r="D42" s="18">
        <v>84.02</v>
      </c>
      <c r="E42" s="143">
        <v>0.19587173336699912</v>
      </c>
      <c r="F42" s="159">
        <v>68786.709213910755</v>
      </c>
      <c r="G42" s="146">
        <v>4.3899999999999997</v>
      </c>
      <c r="H42" s="146">
        <v>5.75</v>
      </c>
      <c r="I42" s="143">
        <v>3.0146559686627123E-2</v>
      </c>
      <c r="J42" s="161">
        <v>183975.01</v>
      </c>
      <c r="K42" s="143">
        <v>4.1440177684259748E-2</v>
      </c>
      <c r="L42" s="265">
        <v>154</v>
      </c>
      <c r="M42" s="143">
        <v>3.2379300375831165E-2</v>
      </c>
      <c r="N42" s="143">
        <v>3.2559880239520958E-2</v>
      </c>
    </row>
    <row r="43" spans="1:14">
      <c r="A43" s="16" t="s">
        <v>55</v>
      </c>
      <c r="B43" s="17" t="s">
        <v>60</v>
      </c>
      <c r="C43" s="143">
        <v>5.9040999667270506E-2</v>
      </c>
      <c r="D43" s="18">
        <v>84.44</v>
      </c>
      <c r="E43" s="143">
        <v>0.21772220712150039</v>
      </c>
      <c r="F43" s="159">
        <v>47955.279166739681</v>
      </c>
      <c r="G43" s="146">
        <v>5.31</v>
      </c>
      <c r="H43" s="146">
        <v>7.18</v>
      </c>
      <c r="I43" s="143">
        <v>3.0146559686627123E-2</v>
      </c>
      <c r="J43" s="161">
        <v>121443.52</v>
      </c>
      <c r="K43" s="143">
        <v>4.1440177684259748E-2</v>
      </c>
      <c r="L43" s="265">
        <v>154</v>
      </c>
      <c r="M43" s="143">
        <v>3.2379300375831165E-2</v>
      </c>
      <c r="N43" s="143">
        <v>3.2559880239520958E-2</v>
      </c>
    </row>
    <row r="44" spans="1:14">
      <c r="A44" s="16" t="s">
        <v>55</v>
      </c>
      <c r="B44" s="17" t="s">
        <v>61</v>
      </c>
      <c r="C44" s="143">
        <v>3.5967275266886166E-2</v>
      </c>
      <c r="D44" s="18">
        <v>84.33</v>
      </c>
      <c r="E44" s="143">
        <v>0.17160165667305433</v>
      </c>
      <c r="F44" s="159">
        <v>59458.575400225483</v>
      </c>
      <c r="G44" s="146">
        <v>4.63</v>
      </c>
      <c r="H44" s="146">
        <v>5.92</v>
      </c>
      <c r="I44" s="143">
        <v>3.0146559686627123E-2</v>
      </c>
      <c r="J44" s="161">
        <v>177760.6</v>
      </c>
      <c r="K44" s="143">
        <v>4.1440177684259748E-2</v>
      </c>
      <c r="L44" s="265">
        <v>154</v>
      </c>
      <c r="M44" s="143">
        <v>3.2379300375831165E-2</v>
      </c>
      <c r="N44" s="143">
        <v>3.2559880239520958E-2</v>
      </c>
    </row>
    <row r="45" spans="1:14">
      <c r="A45" s="16" t="s">
        <v>62</v>
      </c>
      <c r="B45" s="17" t="s">
        <v>63</v>
      </c>
      <c r="C45" s="143">
        <v>2.1122685185185185E-2</v>
      </c>
      <c r="D45" s="18">
        <v>80.209999999999994</v>
      </c>
      <c r="E45" s="143">
        <v>0.48211122918880622</v>
      </c>
      <c r="F45" s="159">
        <v>39061.727086553321</v>
      </c>
      <c r="G45" s="146">
        <v>6.21</v>
      </c>
      <c r="H45" s="146">
        <v>8.1199999999999992</v>
      </c>
      <c r="I45" s="143">
        <v>3.6110834577733529E-2</v>
      </c>
      <c r="J45" s="161">
        <v>94498.3</v>
      </c>
      <c r="K45" s="143">
        <v>5.0324390671576361E-2</v>
      </c>
      <c r="L45" s="265">
        <v>475</v>
      </c>
      <c r="M45" s="143">
        <v>5.4736436349619354E-2</v>
      </c>
      <c r="N45" s="143">
        <v>5.4204091816367268E-2</v>
      </c>
    </row>
    <row r="46" spans="1:14">
      <c r="A46" s="16" t="s">
        <v>62</v>
      </c>
      <c r="B46" s="17" t="s">
        <v>64</v>
      </c>
      <c r="C46" s="143">
        <v>4.5145330859616577E-2</v>
      </c>
      <c r="D46" s="18">
        <v>84.91</v>
      </c>
      <c r="E46" s="143">
        <v>0.16141396933560476</v>
      </c>
      <c r="F46" s="159">
        <v>98155.792942289496</v>
      </c>
      <c r="G46" s="146">
        <v>3.31</v>
      </c>
      <c r="H46" s="146">
        <v>4.76</v>
      </c>
      <c r="I46" s="143">
        <v>3.6110834577733529E-2</v>
      </c>
      <c r="J46" s="161">
        <v>172607.26</v>
      </c>
      <c r="K46" s="143">
        <v>5.0324390671576361E-2</v>
      </c>
      <c r="L46" s="265">
        <v>475</v>
      </c>
      <c r="M46" s="143">
        <v>5.4736436349619354E-2</v>
      </c>
      <c r="N46" s="143">
        <v>5.4204091816367268E-2</v>
      </c>
    </row>
    <row r="47" spans="1:14">
      <c r="A47" s="16" t="s">
        <v>62</v>
      </c>
      <c r="B47" s="17" t="s">
        <v>65</v>
      </c>
      <c r="C47" s="143">
        <v>4.8995766909844189E-2</v>
      </c>
      <c r="D47" s="18">
        <v>83.13</v>
      </c>
      <c r="E47" s="143">
        <v>0.35507329363261569</v>
      </c>
      <c r="F47" s="159">
        <v>45508.058073087683</v>
      </c>
      <c r="G47" s="146">
        <v>6.82</v>
      </c>
      <c r="H47" s="146">
        <v>8.35</v>
      </c>
      <c r="I47" s="143">
        <v>3.6110834577733529E-2</v>
      </c>
      <c r="J47" s="161">
        <v>100133.82</v>
      </c>
      <c r="K47" s="143">
        <v>5.0324390671576361E-2</v>
      </c>
      <c r="L47" s="265">
        <v>475</v>
      </c>
      <c r="M47" s="143">
        <v>5.4736436349619354E-2</v>
      </c>
      <c r="N47" s="143">
        <v>5.4204091816367268E-2</v>
      </c>
    </row>
    <row r="48" spans="1:14">
      <c r="A48" s="16" t="s">
        <v>62</v>
      </c>
      <c r="B48" s="17" t="s">
        <v>321</v>
      </c>
      <c r="C48" s="143">
        <v>7.6560940686423398E-2</v>
      </c>
      <c r="D48" s="18">
        <v>83.61</v>
      </c>
      <c r="E48" s="143">
        <v>0.44160679637107347</v>
      </c>
      <c r="F48" s="159">
        <v>33746.013818845568</v>
      </c>
      <c r="G48" s="146">
        <v>7.08</v>
      </c>
      <c r="H48" s="146">
        <v>9</v>
      </c>
      <c r="I48" s="143">
        <v>3.6110834577733529E-2</v>
      </c>
      <c r="J48" s="161">
        <v>75022.460000000006</v>
      </c>
      <c r="K48" s="143">
        <v>5.0324390671576361E-2</v>
      </c>
      <c r="L48" s="265">
        <v>475</v>
      </c>
      <c r="M48" s="143">
        <v>5.4736436349619354E-2</v>
      </c>
      <c r="N48" s="143">
        <v>5.4204091816367268E-2</v>
      </c>
    </row>
    <row r="49" spans="1:14">
      <c r="A49" s="16" t="s">
        <v>62</v>
      </c>
      <c r="B49" s="17" t="s">
        <v>66</v>
      </c>
      <c r="C49" s="143">
        <v>2.8179853772607524E-2</v>
      </c>
      <c r="D49" s="18">
        <v>84.4</v>
      </c>
      <c r="E49" s="143">
        <v>0.2352898759734641</v>
      </c>
      <c r="F49" s="159">
        <v>58457.375286918461</v>
      </c>
      <c r="G49" s="146">
        <v>5.32</v>
      </c>
      <c r="H49" s="146">
        <v>6.62</v>
      </c>
      <c r="I49" s="143">
        <v>3.6110834577733529E-2</v>
      </c>
      <c r="J49" s="161">
        <v>96815.18</v>
      </c>
      <c r="K49" s="143">
        <v>5.0324390671576361E-2</v>
      </c>
      <c r="L49" s="265">
        <v>475</v>
      </c>
      <c r="M49" s="143">
        <v>5.4736436349619354E-2</v>
      </c>
      <c r="N49" s="143">
        <v>5.4204091816367268E-2</v>
      </c>
    </row>
    <row r="50" spans="1:14">
      <c r="A50" s="16" t="s">
        <v>62</v>
      </c>
      <c r="B50" s="17" t="s">
        <v>67</v>
      </c>
      <c r="C50" s="143">
        <v>7.2536768860690007E-2</v>
      </c>
      <c r="D50" s="18">
        <v>82.22</v>
      </c>
      <c r="E50" s="143">
        <v>0.30510828625235403</v>
      </c>
      <c r="F50" s="159">
        <v>42537.250096005242</v>
      </c>
      <c r="G50" s="146">
        <v>6.6</v>
      </c>
      <c r="H50" s="146">
        <v>8.36</v>
      </c>
      <c r="I50" s="143">
        <v>3.6110834577733529E-2</v>
      </c>
      <c r="J50" s="161">
        <v>84332.83</v>
      </c>
      <c r="K50" s="143">
        <v>5.0324390671576361E-2</v>
      </c>
      <c r="L50" s="265">
        <v>475</v>
      </c>
      <c r="M50" s="143">
        <v>5.4736436349619354E-2</v>
      </c>
      <c r="N50" s="143">
        <v>5.4204091816367268E-2</v>
      </c>
    </row>
    <row r="51" spans="1:14">
      <c r="A51" s="16" t="s">
        <v>62</v>
      </c>
      <c r="B51" s="17" t="s">
        <v>68</v>
      </c>
      <c r="C51" s="143">
        <v>2.0431717512009482E-2</v>
      </c>
      <c r="D51" s="18">
        <v>82.79</v>
      </c>
      <c r="E51" s="143">
        <v>0.15631551973163119</v>
      </c>
      <c r="F51" s="159">
        <v>78328.100556215562</v>
      </c>
      <c r="G51" s="146">
        <v>4.1399999999999997</v>
      </c>
      <c r="H51" s="146">
        <v>5.62</v>
      </c>
      <c r="I51" s="143">
        <v>3.6110834577733529E-2</v>
      </c>
      <c r="J51" s="161">
        <v>137514.56</v>
      </c>
      <c r="K51" s="143">
        <v>5.0324390671576361E-2</v>
      </c>
      <c r="L51" s="265">
        <v>475</v>
      </c>
      <c r="M51" s="143">
        <v>5.4736436349619354E-2</v>
      </c>
      <c r="N51" s="143">
        <v>5.4204091816367268E-2</v>
      </c>
    </row>
    <row r="52" spans="1:14">
      <c r="A52" s="16" t="s">
        <v>62</v>
      </c>
      <c r="B52" s="17" t="s">
        <v>69</v>
      </c>
      <c r="C52" s="143">
        <v>2.1281337047353757E-2</v>
      </c>
      <c r="D52" s="18">
        <v>88.66</v>
      </c>
      <c r="E52" s="143">
        <v>0.15826750204304005</v>
      </c>
      <c r="F52" s="159">
        <v>57441.344233021082</v>
      </c>
      <c r="G52" s="146">
        <v>3.73</v>
      </c>
      <c r="H52" s="146">
        <v>5.3</v>
      </c>
      <c r="I52" s="143">
        <v>3.6110834577733529E-2</v>
      </c>
      <c r="J52" s="161">
        <v>81519.53</v>
      </c>
      <c r="K52" s="143">
        <v>5.0324390671576361E-2</v>
      </c>
      <c r="L52" s="265">
        <v>475</v>
      </c>
      <c r="M52" s="143">
        <v>5.4736436349619354E-2</v>
      </c>
      <c r="N52" s="143">
        <v>5.4204091816367268E-2</v>
      </c>
    </row>
    <row r="53" spans="1:14">
      <c r="A53" s="16" t="s">
        <v>70</v>
      </c>
      <c r="B53" s="17" t="s">
        <v>71</v>
      </c>
      <c r="C53" s="143">
        <v>4.2713178294573641E-2</v>
      </c>
      <c r="D53" s="18">
        <v>82.74</v>
      </c>
      <c r="E53" s="143">
        <v>0.28358350750522515</v>
      </c>
      <c r="F53" s="159">
        <v>41436.083852990181</v>
      </c>
      <c r="G53" s="146">
        <v>7.57</v>
      </c>
      <c r="H53" s="146">
        <v>9.5299999999999994</v>
      </c>
      <c r="I53" s="143">
        <v>3.2221233886064016E-2</v>
      </c>
      <c r="J53" s="161">
        <v>98568.69</v>
      </c>
      <c r="K53" s="143">
        <v>2.4548483254427496E-2</v>
      </c>
      <c r="L53" s="265">
        <v>242</v>
      </c>
      <c r="M53" s="143">
        <v>2.4766310108894671E-2</v>
      </c>
      <c r="N53" s="143">
        <v>2.3858532934131736E-2</v>
      </c>
    </row>
    <row r="54" spans="1:14">
      <c r="A54" s="16" t="s">
        <v>70</v>
      </c>
      <c r="B54" s="17" t="s">
        <v>72</v>
      </c>
      <c r="C54" s="143">
        <v>6.7189063021007009E-2</v>
      </c>
      <c r="D54" s="18">
        <v>82.88</v>
      </c>
      <c r="E54" s="143">
        <v>0.20794190829228659</v>
      </c>
      <c r="F54" s="159">
        <v>53460.643562335827</v>
      </c>
      <c r="G54" s="146">
        <v>5.81</v>
      </c>
      <c r="H54" s="146">
        <v>7.51</v>
      </c>
      <c r="I54" s="143">
        <v>3.2221233886064016E-2</v>
      </c>
      <c r="J54" s="161">
        <v>202053.54</v>
      </c>
      <c r="K54" s="143">
        <v>2.4548483254427496E-2</v>
      </c>
      <c r="L54" s="265">
        <v>242</v>
      </c>
      <c r="M54" s="143">
        <v>2.4766310108894671E-2</v>
      </c>
      <c r="N54" s="143">
        <v>2.3858532934131736E-2</v>
      </c>
    </row>
    <row r="55" spans="1:14">
      <c r="A55" s="16" t="s">
        <v>70</v>
      </c>
      <c r="B55" s="17" t="s">
        <v>73</v>
      </c>
      <c r="C55" s="143">
        <v>6.3241597813257125E-2</v>
      </c>
      <c r="D55" s="18">
        <v>83.16</v>
      </c>
      <c r="E55" s="143">
        <v>0.18347450855042352</v>
      </c>
      <c r="F55" s="159">
        <v>67390.492096167014</v>
      </c>
      <c r="G55" s="146">
        <v>4.8600000000000003</v>
      </c>
      <c r="H55" s="146">
        <v>6.66</v>
      </c>
      <c r="I55" s="143">
        <v>3.2221233886064016E-2</v>
      </c>
      <c r="J55" s="161">
        <v>154344.74</v>
      </c>
      <c r="K55" s="143">
        <v>2.4548483254427496E-2</v>
      </c>
      <c r="L55" s="265">
        <v>242</v>
      </c>
      <c r="M55" s="143">
        <v>2.4766310108894671E-2</v>
      </c>
      <c r="N55" s="143">
        <v>2.3858532934131736E-2</v>
      </c>
    </row>
    <row r="56" spans="1:14">
      <c r="A56" s="16" t="s">
        <v>70</v>
      </c>
      <c r="B56" s="17" t="s">
        <v>74</v>
      </c>
      <c r="C56" s="143">
        <v>7.7299612482153779E-2</v>
      </c>
      <c r="D56" s="18">
        <v>83.7</v>
      </c>
      <c r="E56" s="143">
        <v>0.40012051822838202</v>
      </c>
      <c r="F56" s="159">
        <v>34996.93079768688</v>
      </c>
      <c r="G56" s="146">
        <v>7.36</v>
      </c>
      <c r="H56" s="146">
        <v>8.85</v>
      </c>
      <c r="I56" s="143">
        <v>3.2221233886064016E-2</v>
      </c>
      <c r="J56" s="161">
        <v>81625.61</v>
      </c>
      <c r="K56" s="143">
        <v>2.4548483254427496E-2</v>
      </c>
      <c r="L56" s="265">
        <v>242</v>
      </c>
      <c r="M56" s="143">
        <v>2.4766310108894671E-2</v>
      </c>
      <c r="N56" s="143">
        <v>2.3858532934131736E-2</v>
      </c>
    </row>
    <row r="57" spans="1:14">
      <c r="A57" s="16" t="s">
        <v>70</v>
      </c>
      <c r="B57" s="17" t="s">
        <v>75</v>
      </c>
      <c r="C57" s="143">
        <v>5.7926829268292686E-2</v>
      </c>
      <c r="D57" s="18">
        <v>81.2</v>
      </c>
      <c r="E57" s="143">
        <v>0.14602314700812608</v>
      </c>
      <c r="F57" s="159">
        <v>112320.74809387521</v>
      </c>
      <c r="G57" s="146">
        <v>3.4</v>
      </c>
      <c r="H57" s="146">
        <v>4.38</v>
      </c>
      <c r="I57" s="143">
        <v>3.2221233886064016E-2</v>
      </c>
      <c r="J57" s="161">
        <v>200754.89</v>
      </c>
      <c r="K57" s="143">
        <v>2.4548483254427496E-2</v>
      </c>
      <c r="L57" s="265">
        <v>242</v>
      </c>
      <c r="M57" s="143">
        <v>2.4766310108894671E-2</v>
      </c>
      <c r="N57" s="143">
        <v>2.3858532934131736E-2</v>
      </c>
    </row>
    <row r="58" spans="1:14">
      <c r="A58" s="16" t="s">
        <v>70</v>
      </c>
      <c r="B58" s="17" t="s">
        <v>76</v>
      </c>
      <c r="C58" s="143">
        <v>4.6691176470588236E-2</v>
      </c>
      <c r="D58" s="18">
        <v>79.150000000000006</v>
      </c>
      <c r="E58" s="143">
        <v>0.16675324675324676</v>
      </c>
      <c r="F58" s="159">
        <v>101419.17171036206</v>
      </c>
      <c r="G58" s="146">
        <v>2.94</v>
      </c>
      <c r="H58" s="146">
        <v>3.7</v>
      </c>
      <c r="I58" s="143">
        <v>3.2221233886064016E-2</v>
      </c>
      <c r="J58" s="161">
        <v>386518.19</v>
      </c>
      <c r="K58" s="143">
        <v>2.4548483254427496E-2</v>
      </c>
      <c r="L58" s="265">
        <v>242</v>
      </c>
      <c r="M58" s="143">
        <v>2.4766310108894671E-2</v>
      </c>
      <c r="N58" s="143">
        <v>2.3858532934131736E-2</v>
      </c>
    </row>
    <row r="59" spans="1:14">
      <c r="A59" s="16" t="s">
        <v>70</v>
      </c>
      <c r="B59" s="17" t="s">
        <v>77</v>
      </c>
      <c r="C59" s="143">
        <v>4.5816123604099736E-2</v>
      </c>
      <c r="D59" s="18">
        <v>81.98</v>
      </c>
      <c r="E59" s="143">
        <v>0.18678867600800686</v>
      </c>
      <c r="F59" s="159">
        <v>77060.755639745345</v>
      </c>
      <c r="G59" s="146">
        <v>3.93</v>
      </c>
      <c r="H59" s="146">
        <v>5.17</v>
      </c>
      <c r="I59" s="143">
        <v>3.2221233886064016E-2</v>
      </c>
      <c r="J59" s="161">
        <v>147611.65</v>
      </c>
      <c r="K59" s="143">
        <v>2.4548483254427496E-2</v>
      </c>
      <c r="L59" s="265">
        <v>242</v>
      </c>
      <c r="M59" s="143">
        <v>2.4766310108894671E-2</v>
      </c>
      <c r="N59" s="143">
        <v>2.3858532934131736E-2</v>
      </c>
    </row>
    <row r="60" spans="1:14">
      <c r="A60" s="16" t="s">
        <v>78</v>
      </c>
      <c r="B60" s="17" t="s">
        <v>322</v>
      </c>
      <c r="C60" s="143">
        <v>0.10004653327128897</v>
      </c>
      <c r="D60" s="18">
        <v>82.44</v>
      </c>
      <c r="E60" s="143">
        <v>0.51445446067764999</v>
      </c>
      <c r="F60" s="159">
        <v>29540.957694128785</v>
      </c>
      <c r="G60" s="146">
        <v>11.07</v>
      </c>
      <c r="H60" s="146">
        <v>12.1</v>
      </c>
      <c r="I60" s="143">
        <v>5.4923401794240677E-2</v>
      </c>
      <c r="J60" s="161">
        <v>64231.31</v>
      </c>
      <c r="K60" s="143">
        <v>0.10567537553334502</v>
      </c>
      <c r="L60" s="265">
        <v>1230</v>
      </c>
      <c r="M60" s="143">
        <v>9.9868298480614182E-2</v>
      </c>
      <c r="N60" s="143">
        <v>8.3052644710578841E-2</v>
      </c>
    </row>
    <row r="61" spans="1:14">
      <c r="A61" s="16" t="s">
        <v>78</v>
      </c>
      <c r="B61" s="17" t="s">
        <v>323</v>
      </c>
      <c r="C61" s="143">
        <v>0.13923714278812474</v>
      </c>
      <c r="D61" s="18">
        <v>83.16</v>
      </c>
      <c r="E61" s="143">
        <v>0.48511670203091845</v>
      </c>
      <c r="F61" s="159">
        <v>27913.633911254252</v>
      </c>
      <c r="G61" s="146">
        <v>9.61</v>
      </c>
      <c r="H61" s="146">
        <v>11.76</v>
      </c>
      <c r="I61" s="143">
        <v>5.4923401794240677E-2</v>
      </c>
      <c r="J61" s="161">
        <v>69655.86</v>
      </c>
      <c r="K61" s="143">
        <v>0.10567537553334502</v>
      </c>
      <c r="L61" s="265">
        <v>1230</v>
      </c>
      <c r="M61" s="143">
        <v>9.9868298480614182E-2</v>
      </c>
      <c r="N61" s="143">
        <v>8.3052644710578841E-2</v>
      </c>
    </row>
    <row r="62" spans="1:14">
      <c r="A62" s="16" t="s">
        <v>78</v>
      </c>
      <c r="B62" s="17" t="s">
        <v>79</v>
      </c>
      <c r="C62" s="143">
        <v>0.1198996844003607</v>
      </c>
      <c r="D62" s="18">
        <v>84.02</v>
      </c>
      <c r="E62" s="143">
        <v>0.50749023013460703</v>
      </c>
      <c r="F62" s="159">
        <v>30075.705553614327</v>
      </c>
      <c r="G62" s="146">
        <v>9.6300000000000008</v>
      </c>
      <c r="H62" s="146">
        <v>11.24</v>
      </c>
      <c r="I62" s="143">
        <v>5.4923401794240677E-2</v>
      </c>
      <c r="J62" s="161">
        <v>63152.23</v>
      </c>
      <c r="K62" s="143">
        <v>0.10567537553334502</v>
      </c>
      <c r="L62" s="265">
        <v>1230</v>
      </c>
      <c r="M62" s="143">
        <v>9.9868298480614182E-2</v>
      </c>
      <c r="N62" s="143">
        <v>8.3052644710578841E-2</v>
      </c>
    </row>
    <row r="63" spans="1:14">
      <c r="A63" s="16" t="s">
        <v>78</v>
      </c>
      <c r="B63" s="17" t="s">
        <v>80</v>
      </c>
      <c r="C63" s="143">
        <v>0.10428889798517306</v>
      </c>
      <c r="D63" s="18">
        <v>84.05</v>
      </c>
      <c r="E63" s="143">
        <v>0.51608198070162314</v>
      </c>
      <c r="F63" s="159">
        <v>31116.507119747333</v>
      </c>
      <c r="G63" s="146">
        <v>8.3800000000000008</v>
      </c>
      <c r="H63" s="146">
        <v>9.69</v>
      </c>
      <c r="I63" s="143">
        <v>5.4923401794240677E-2</v>
      </c>
      <c r="J63" s="161">
        <v>58979.22</v>
      </c>
      <c r="K63" s="143">
        <v>0.10567537553334502</v>
      </c>
      <c r="L63" s="265">
        <v>1230</v>
      </c>
      <c r="M63" s="143">
        <v>9.9868298480614182E-2</v>
      </c>
      <c r="N63" s="143">
        <v>8.3052644710578841E-2</v>
      </c>
    </row>
    <row r="64" spans="1:14">
      <c r="A64" s="16" t="s">
        <v>78</v>
      </c>
      <c r="B64" s="17" t="s">
        <v>81</v>
      </c>
      <c r="C64" s="143">
        <v>0.11989674972343677</v>
      </c>
      <c r="D64" s="18">
        <v>82.55</v>
      </c>
      <c r="E64" s="143">
        <v>0.47814262023217247</v>
      </c>
      <c r="F64" s="159">
        <v>31913.206846745976</v>
      </c>
      <c r="G64" s="146">
        <v>7.33</v>
      </c>
      <c r="H64" s="146">
        <v>8.7200000000000006</v>
      </c>
      <c r="I64" s="143">
        <v>5.4923401794240677E-2</v>
      </c>
      <c r="J64" s="161">
        <v>63522.080000000002</v>
      </c>
      <c r="K64" s="143">
        <v>0.10567537553334502</v>
      </c>
      <c r="L64" s="265">
        <v>1230</v>
      </c>
      <c r="M64" s="143">
        <v>9.9868298480614182E-2</v>
      </c>
      <c r="N64" s="143">
        <v>8.3052644710578841E-2</v>
      </c>
    </row>
    <row r="65" spans="1:14">
      <c r="A65" s="16" t="s">
        <v>78</v>
      </c>
      <c r="B65" s="17" t="s">
        <v>82</v>
      </c>
      <c r="C65" s="143">
        <v>3.7619215824796888E-2</v>
      </c>
      <c r="D65" s="18">
        <v>80.59</v>
      </c>
      <c r="E65" s="143">
        <v>0.30088719898605831</v>
      </c>
      <c r="F65" s="159">
        <v>35197.134509999996</v>
      </c>
      <c r="G65" s="146">
        <v>7.68</v>
      </c>
      <c r="H65" s="146">
        <v>9.81</v>
      </c>
      <c r="I65" s="143">
        <v>5.4923401794240677E-2</v>
      </c>
      <c r="J65" s="161">
        <v>60658.68</v>
      </c>
      <c r="K65" s="143">
        <v>0.10567537553334502</v>
      </c>
      <c r="L65" s="265">
        <v>1230</v>
      </c>
      <c r="M65" s="143">
        <v>9.9868298480614182E-2</v>
      </c>
      <c r="N65" s="143">
        <v>8.3052644710578841E-2</v>
      </c>
    </row>
    <row r="66" spans="1:14">
      <c r="A66" s="16" t="s">
        <v>78</v>
      </c>
      <c r="B66" s="17" t="s">
        <v>83</v>
      </c>
      <c r="C66" s="143">
        <v>7.0055966498375796E-2</v>
      </c>
      <c r="D66" s="18">
        <v>83.19</v>
      </c>
      <c r="E66" s="143">
        <v>0.53803552259197818</v>
      </c>
      <c r="F66" s="159">
        <v>29910.454936174392</v>
      </c>
      <c r="G66" s="146">
        <v>8.41</v>
      </c>
      <c r="H66" s="146">
        <v>9.77</v>
      </c>
      <c r="I66" s="143">
        <v>5.4923401794240677E-2</v>
      </c>
      <c r="J66" s="161">
        <v>55535.46</v>
      </c>
      <c r="K66" s="143">
        <v>0.10567537553334502</v>
      </c>
      <c r="L66" s="265">
        <v>1230</v>
      </c>
      <c r="M66" s="143">
        <v>9.9868298480614182E-2</v>
      </c>
      <c r="N66" s="143">
        <v>8.3052644710578841E-2</v>
      </c>
    </row>
    <row r="67" spans="1:14">
      <c r="A67" s="16" t="s">
        <v>84</v>
      </c>
      <c r="B67" s="17" t="s">
        <v>85</v>
      </c>
      <c r="C67" s="143">
        <v>0.1224829198130169</v>
      </c>
      <c r="D67" s="18">
        <v>83.3</v>
      </c>
      <c r="E67" s="143">
        <v>0.49764451587873415</v>
      </c>
      <c r="F67" s="159">
        <v>27579.227944311508</v>
      </c>
      <c r="G67" s="146">
        <v>9.36</v>
      </c>
      <c r="H67" s="146">
        <v>11.61</v>
      </c>
      <c r="I67" s="143">
        <v>6.2259957969999273E-2</v>
      </c>
      <c r="J67" s="161">
        <v>58639.77</v>
      </c>
      <c r="K67" s="143">
        <v>9.4044070372318669E-2</v>
      </c>
      <c r="L67" s="265">
        <v>1964</v>
      </c>
      <c r="M67" s="143">
        <v>0.10198837171950789</v>
      </c>
      <c r="N67" s="143">
        <v>9.4560878243512975E-2</v>
      </c>
    </row>
    <row r="68" spans="1:14">
      <c r="A68" s="16" t="s">
        <v>84</v>
      </c>
      <c r="B68" s="17" t="s">
        <v>86</v>
      </c>
      <c r="C68" s="143">
        <v>0.1557921950018466</v>
      </c>
      <c r="D68" s="18">
        <v>82.66</v>
      </c>
      <c r="E68" s="143">
        <v>0.52564002497658446</v>
      </c>
      <c r="F68" s="159">
        <v>28031.479104203292</v>
      </c>
      <c r="G68" s="146">
        <v>8.6199999999999992</v>
      </c>
      <c r="H68" s="146">
        <v>10.41</v>
      </c>
      <c r="I68" s="143">
        <v>6.2259957969999273E-2</v>
      </c>
      <c r="J68" s="161">
        <v>54050.37</v>
      </c>
      <c r="K68" s="143">
        <v>9.4044070372318669E-2</v>
      </c>
      <c r="L68" s="265">
        <v>1964</v>
      </c>
      <c r="M68" s="143">
        <v>0.10198837171950789</v>
      </c>
      <c r="N68" s="143">
        <v>9.4560878243512975E-2</v>
      </c>
    </row>
    <row r="69" spans="1:14">
      <c r="A69" s="16" t="s">
        <v>84</v>
      </c>
      <c r="B69" s="17" t="s">
        <v>87</v>
      </c>
      <c r="C69" s="143">
        <v>0.14065985371167714</v>
      </c>
      <c r="D69" s="18">
        <v>82.73</v>
      </c>
      <c r="E69" s="143">
        <v>0.56895682848983709</v>
      </c>
      <c r="F69" s="159">
        <v>26282.724397873222</v>
      </c>
      <c r="G69" s="146">
        <v>11.55</v>
      </c>
      <c r="H69" s="146">
        <v>13.81</v>
      </c>
      <c r="I69" s="143">
        <v>6.2259957969999273E-2</v>
      </c>
      <c r="J69" s="161">
        <v>50492.959999999999</v>
      </c>
      <c r="K69" s="143">
        <v>9.4044070372318669E-2</v>
      </c>
      <c r="L69" s="265">
        <v>1964</v>
      </c>
      <c r="M69" s="143">
        <v>0.10198837171950789</v>
      </c>
      <c r="N69" s="143">
        <v>9.4560878243512975E-2</v>
      </c>
    </row>
    <row r="70" spans="1:14">
      <c r="A70" s="16" t="s">
        <v>84</v>
      </c>
      <c r="B70" s="17" t="s">
        <v>88</v>
      </c>
      <c r="C70" s="143">
        <v>0.16321542836829006</v>
      </c>
      <c r="D70" s="18">
        <v>83.15</v>
      </c>
      <c r="E70" s="143">
        <v>0.56642587053445459</v>
      </c>
      <c r="F70" s="159">
        <v>27788.213282112843</v>
      </c>
      <c r="G70" s="146">
        <v>9.2899999999999991</v>
      </c>
      <c r="H70" s="146">
        <v>11.02</v>
      </c>
      <c r="I70" s="143">
        <v>6.2259957969999273E-2</v>
      </c>
      <c r="J70" s="161">
        <v>53480.84</v>
      </c>
      <c r="K70" s="143">
        <v>9.4044070372318669E-2</v>
      </c>
      <c r="L70" s="265">
        <v>1964</v>
      </c>
      <c r="M70" s="143">
        <v>0.10198837171950789</v>
      </c>
      <c r="N70" s="143">
        <v>9.4560878243512975E-2</v>
      </c>
    </row>
    <row r="71" spans="1:14">
      <c r="A71" s="16" t="s">
        <v>84</v>
      </c>
      <c r="B71" s="17" t="s">
        <v>89</v>
      </c>
      <c r="C71" s="143">
        <v>0.15898977396634545</v>
      </c>
      <c r="D71" s="18">
        <v>82.06</v>
      </c>
      <c r="E71" s="143">
        <v>0.60070408761979266</v>
      </c>
      <c r="F71" s="159">
        <v>25725.18725548061</v>
      </c>
      <c r="G71" s="146">
        <v>10.58</v>
      </c>
      <c r="H71" s="146">
        <v>12.1</v>
      </c>
      <c r="I71" s="143">
        <v>6.2259957969999273E-2</v>
      </c>
      <c r="J71" s="161">
        <v>50230.98</v>
      </c>
      <c r="K71" s="143">
        <v>9.4044070372318669E-2</v>
      </c>
      <c r="L71" s="265">
        <v>1964</v>
      </c>
      <c r="M71" s="143">
        <v>0.10198837171950789</v>
      </c>
      <c r="N71" s="143">
        <v>9.4560878243512975E-2</v>
      </c>
    </row>
    <row r="72" spans="1:14">
      <c r="A72" s="16" t="s">
        <v>84</v>
      </c>
      <c r="B72" s="17" t="s">
        <v>90</v>
      </c>
      <c r="C72" s="143">
        <v>7.9777566210836065E-2</v>
      </c>
      <c r="D72" s="18">
        <v>82.8</v>
      </c>
      <c r="E72" s="143">
        <v>0.45254247646986923</v>
      </c>
      <c r="F72" s="159">
        <v>31280.562009904053</v>
      </c>
      <c r="G72" s="146">
        <v>8.25</v>
      </c>
      <c r="H72" s="146">
        <v>9.2200000000000006</v>
      </c>
      <c r="I72" s="143">
        <v>6.2259957969999273E-2</v>
      </c>
      <c r="J72" s="161">
        <v>53572.15</v>
      </c>
      <c r="K72" s="143">
        <v>9.4044070372318669E-2</v>
      </c>
      <c r="L72" s="265">
        <v>1964</v>
      </c>
      <c r="M72" s="143">
        <v>0.10198837171950789</v>
      </c>
      <c r="N72" s="143">
        <v>9.4560878243512975E-2</v>
      </c>
    </row>
    <row r="73" spans="1:14">
      <c r="A73" s="16" t="s">
        <v>84</v>
      </c>
      <c r="B73" s="17" t="s">
        <v>91</v>
      </c>
      <c r="C73" s="143">
        <v>0.13873492559373846</v>
      </c>
      <c r="D73" s="18">
        <v>82.56</v>
      </c>
      <c r="E73" s="143">
        <v>0.56429344883595023</v>
      </c>
      <c r="F73" s="159">
        <v>27997.611786321559</v>
      </c>
      <c r="G73" s="146">
        <v>9.7200000000000006</v>
      </c>
      <c r="H73" s="146">
        <v>11.16</v>
      </c>
      <c r="I73" s="143">
        <v>6.2259957969999273E-2</v>
      </c>
      <c r="J73" s="161">
        <v>51026.14</v>
      </c>
      <c r="K73" s="143">
        <v>9.4044070372318669E-2</v>
      </c>
      <c r="L73" s="265">
        <v>1964</v>
      </c>
      <c r="M73" s="143">
        <v>0.10198837171950789</v>
      </c>
      <c r="N73" s="143">
        <v>9.4560878243512975E-2</v>
      </c>
    </row>
    <row r="74" spans="1:14">
      <c r="A74" s="16" t="s">
        <v>92</v>
      </c>
      <c r="B74" s="17" t="s">
        <v>93</v>
      </c>
      <c r="C74" s="143">
        <v>5.0454444690755933E-2</v>
      </c>
      <c r="D74" s="18">
        <v>81.31</v>
      </c>
      <c r="E74" s="143">
        <v>0.62287499249113953</v>
      </c>
      <c r="F74" s="159">
        <v>26857.942552704491</v>
      </c>
      <c r="G74" s="146">
        <v>10.62</v>
      </c>
      <c r="H74" s="146">
        <v>11.82</v>
      </c>
      <c r="I74" s="143">
        <v>6.6126522508987498E-2</v>
      </c>
      <c r="J74" s="161">
        <v>53708.18</v>
      </c>
      <c r="K74" s="143">
        <v>5.7688935647904609E-2</v>
      </c>
      <c r="L74" s="265">
        <v>1540</v>
      </c>
      <c r="M74" s="143">
        <v>6.7392631139378753E-2</v>
      </c>
      <c r="N74" s="143">
        <v>6.4433632734530941E-2</v>
      </c>
    </row>
    <row r="75" spans="1:14">
      <c r="A75" s="16" t="s">
        <v>92</v>
      </c>
      <c r="B75" s="17" t="s">
        <v>94</v>
      </c>
      <c r="C75" s="143">
        <v>0.1080165045682287</v>
      </c>
      <c r="D75" s="18">
        <v>80.58</v>
      </c>
      <c r="E75" s="143">
        <v>0.66266041963740074</v>
      </c>
      <c r="F75" s="159">
        <v>24995.869450088339</v>
      </c>
      <c r="G75" s="146">
        <v>13.14</v>
      </c>
      <c r="H75" s="146">
        <v>14.04</v>
      </c>
      <c r="I75" s="143">
        <v>6.6126522508987498E-2</v>
      </c>
      <c r="J75" s="161">
        <v>53439.81</v>
      </c>
      <c r="K75" s="143">
        <v>5.7688935647904609E-2</v>
      </c>
      <c r="L75" s="265">
        <v>1540</v>
      </c>
      <c r="M75" s="143">
        <v>6.7392631139378753E-2</v>
      </c>
      <c r="N75" s="143">
        <v>6.4433632734530941E-2</v>
      </c>
    </row>
    <row r="76" spans="1:14">
      <c r="A76" s="16" t="s">
        <v>92</v>
      </c>
      <c r="B76" s="17" t="s">
        <v>95</v>
      </c>
      <c r="C76" s="143">
        <v>0.13964410358050755</v>
      </c>
      <c r="D76" s="18">
        <v>82.12</v>
      </c>
      <c r="E76" s="143">
        <v>0.59479463689862277</v>
      </c>
      <c r="F76" s="159">
        <v>25440.247753376243</v>
      </c>
      <c r="G76" s="146">
        <v>10.86</v>
      </c>
      <c r="H76" s="146">
        <v>12.18</v>
      </c>
      <c r="I76" s="143">
        <v>6.6126522508987498E-2</v>
      </c>
      <c r="J76" s="161">
        <v>50304.3</v>
      </c>
      <c r="K76" s="143">
        <v>5.7688935647904609E-2</v>
      </c>
      <c r="L76" s="265">
        <v>1540</v>
      </c>
      <c r="M76" s="143">
        <v>6.7392631139378753E-2</v>
      </c>
      <c r="N76" s="143">
        <v>6.4433632734530941E-2</v>
      </c>
    </row>
    <row r="77" spans="1:14">
      <c r="A77" s="16" t="s">
        <v>92</v>
      </c>
      <c r="B77" s="17" t="s">
        <v>96</v>
      </c>
      <c r="C77" s="143">
        <v>0.23334604021728772</v>
      </c>
      <c r="D77" s="18">
        <v>83.41</v>
      </c>
      <c r="E77" s="143">
        <v>0.61355717453278424</v>
      </c>
      <c r="F77" s="159">
        <v>25506.248844310558</v>
      </c>
      <c r="G77" s="146">
        <v>9.6</v>
      </c>
      <c r="H77" s="146">
        <v>11.08</v>
      </c>
      <c r="I77" s="143">
        <v>6.6126522508987498E-2</v>
      </c>
      <c r="J77" s="161">
        <v>54512.7</v>
      </c>
      <c r="K77" s="143">
        <v>5.7688935647904609E-2</v>
      </c>
      <c r="L77" s="265">
        <v>1540</v>
      </c>
      <c r="M77" s="143">
        <v>6.7392631139378753E-2</v>
      </c>
      <c r="N77" s="143">
        <v>6.4433632734530941E-2</v>
      </c>
    </row>
    <row r="78" spans="1:14">
      <c r="A78" s="16" t="s">
        <v>92</v>
      </c>
      <c r="B78" s="17" t="s">
        <v>97</v>
      </c>
      <c r="C78" s="143">
        <v>0.22245976832776179</v>
      </c>
      <c r="D78" s="18">
        <v>82.16</v>
      </c>
      <c r="E78" s="143">
        <v>0.58201955697465579</v>
      </c>
      <c r="F78" s="159">
        <v>26358.159693388694</v>
      </c>
      <c r="G78" s="146">
        <v>8.84</v>
      </c>
      <c r="H78" s="146">
        <v>11.02</v>
      </c>
      <c r="I78" s="143">
        <v>6.6126522508987498E-2</v>
      </c>
      <c r="J78" s="161">
        <v>51943.63</v>
      </c>
      <c r="K78" s="143">
        <v>5.7688935647904609E-2</v>
      </c>
      <c r="L78" s="265">
        <v>1540</v>
      </c>
      <c r="M78" s="143">
        <v>6.7392631139378753E-2</v>
      </c>
      <c r="N78" s="143">
        <v>6.4433632734530941E-2</v>
      </c>
    </row>
    <row r="79" spans="1:14">
      <c r="A79" s="16" t="s">
        <v>92</v>
      </c>
      <c r="B79" s="17" t="s">
        <v>324</v>
      </c>
      <c r="C79" s="143">
        <v>0.1794553551872673</v>
      </c>
      <c r="D79" s="18">
        <v>84.25</v>
      </c>
      <c r="E79" s="143">
        <v>0.63773985150901558</v>
      </c>
      <c r="F79" s="159">
        <v>25498.384207889791</v>
      </c>
      <c r="G79" s="146">
        <v>9.24</v>
      </c>
      <c r="H79" s="146">
        <v>11.17</v>
      </c>
      <c r="I79" s="143">
        <v>6.6126522508987498E-2</v>
      </c>
      <c r="J79" s="161">
        <v>42213.74</v>
      </c>
      <c r="K79" s="143">
        <v>5.7688935647904609E-2</v>
      </c>
      <c r="L79" s="265">
        <v>1540</v>
      </c>
      <c r="M79" s="143">
        <v>6.7392631139378753E-2</v>
      </c>
      <c r="N79" s="143">
        <v>6.4433632734530941E-2</v>
      </c>
    </row>
    <row r="80" spans="1:14">
      <c r="A80" s="16" t="s">
        <v>92</v>
      </c>
      <c r="B80" s="17" t="s">
        <v>98</v>
      </c>
      <c r="C80" s="143">
        <v>0.29188185458132648</v>
      </c>
      <c r="D80" s="18">
        <v>82.73</v>
      </c>
      <c r="E80" s="143">
        <v>0.69765660897534076</v>
      </c>
      <c r="F80" s="159">
        <v>23173.869977272727</v>
      </c>
      <c r="G80" s="146">
        <v>9.48</v>
      </c>
      <c r="H80" s="146">
        <v>11.76</v>
      </c>
      <c r="I80" s="143">
        <v>6.6126522508987498E-2</v>
      </c>
      <c r="J80" s="161">
        <v>44169.38</v>
      </c>
      <c r="K80" s="143">
        <v>5.7688935647904609E-2</v>
      </c>
      <c r="L80" s="265">
        <v>1540</v>
      </c>
      <c r="M80" s="143">
        <v>6.7392631139378753E-2</v>
      </c>
      <c r="N80" s="143">
        <v>6.4433632734530941E-2</v>
      </c>
    </row>
    <row r="81" spans="1:14">
      <c r="A81" s="16" t="s">
        <v>99</v>
      </c>
      <c r="B81" s="17" t="s">
        <v>100</v>
      </c>
      <c r="C81" s="143">
        <v>0.102571647148826</v>
      </c>
      <c r="D81" s="18">
        <v>80.02</v>
      </c>
      <c r="E81" s="143">
        <v>0.72871595330739303</v>
      </c>
      <c r="F81" s="159">
        <v>22055.090994895891</v>
      </c>
      <c r="G81" s="146">
        <v>13.56</v>
      </c>
      <c r="H81" s="146">
        <v>14.68</v>
      </c>
      <c r="I81" s="143">
        <v>7.7258347536776961E-2</v>
      </c>
      <c r="J81" s="161">
        <v>43010.62</v>
      </c>
      <c r="K81" s="143">
        <v>0.10281138582032848</v>
      </c>
      <c r="L81" s="265">
        <v>3327</v>
      </c>
      <c r="M81" s="143">
        <v>0.11904532459606181</v>
      </c>
      <c r="N81" s="143">
        <v>0.1156125249500998</v>
      </c>
    </row>
    <row r="82" spans="1:14">
      <c r="A82" s="16" t="s">
        <v>99</v>
      </c>
      <c r="B82" s="17" t="s">
        <v>101</v>
      </c>
      <c r="C82" s="143">
        <v>0.22000645690019124</v>
      </c>
      <c r="D82" s="18">
        <v>82.14</v>
      </c>
      <c r="E82" s="143">
        <v>0.63150608168243394</v>
      </c>
      <c r="F82" s="159">
        <v>21224.791361267176</v>
      </c>
      <c r="G82" s="146">
        <v>11.16</v>
      </c>
      <c r="H82" s="146">
        <v>14.13</v>
      </c>
      <c r="I82" s="143">
        <v>7.7258347536776961E-2</v>
      </c>
      <c r="J82" s="161">
        <v>45412.27</v>
      </c>
      <c r="K82" s="143">
        <v>0.10281138582032848</v>
      </c>
      <c r="L82" s="265">
        <v>3327</v>
      </c>
      <c r="M82" s="143">
        <v>0.11904532459606181</v>
      </c>
      <c r="N82" s="143">
        <v>0.1156125249500998</v>
      </c>
    </row>
    <row r="83" spans="1:14">
      <c r="A83" s="16" t="s">
        <v>99</v>
      </c>
      <c r="B83" s="17" t="s">
        <v>102</v>
      </c>
      <c r="C83" s="143">
        <v>9.6977488719150975E-2</v>
      </c>
      <c r="D83" s="18">
        <v>82.77</v>
      </c>
      <c r="E83" s="143">
        <v>0.54308800162277293</v>
      </c>
      <c r="F83" s="159">
        <v>28754.311781987919</v>
      </c>
      <c r="G83" s="146">
        <v>9.6999999999999993</v>
      </c>
      <c r="H83" s="146">
        <v>10.66</v>
      </c>
      <c r="I83" s="143">
        <v>7.7258347536776961E-2</v>
      </c>
      <c r="J83" s="161">
        <v>44166.15</v>
      </c>
      <c r="K83" s="143">
        <v>0.10281138582032848</v>
      </c>
      <c r="L83" s="265">
        <v>3327</v>
      </c>
      <c r="M83" s="143">
        <v>0.11904532459606181</v>
      </c>
      <c r="N83" s="143">
        <v>0.1156125249500998</v>
      </c>
    </row>
    <row r="84" spans="1:14">
      <c r="A84" s="16" t="s">
        <v>99</v>
      </c>
      <c r="B84" s="17" t="s">
        <v>103</v>
      </c>
      <c r="C84" s="143">
        <v>7.4216524216524207E-2</v>
      </c>
      <c r="D84" s="18">
        <v>82.31</v>
      </c>
      <c r="E84" s="143">
        <v>0.62468521685061407</v>
      </c>
      <c r="F84" s="159">
        <v>26632.09036753347</v>
      </c>
      <c r="G84" s="146">
        <v>10.87</v>
      </c>
      <c r="H84" s="146">
        <v>11.93</v>
      </c>
      <c r="I84" s="143">
        <v>7.7258347536776961E-2</v>
      </c>
      <c r="J84" s="161">
        <v>42372.63</v>
      </c>
      <c r="K84" s="143">
        <v>0.10281138582032848</v>
      </c>
      <c r="L84" s="265">
        <v>3327</v>
      </c>
      <c r="M84" s="143">
        <v>0.11904532459606181</v>
      </c>
      <c r="N84" s="143">
        <v>0.1156125249500998</v>
      </c>
    </row>
    <row r="85" spans="1:14">
      <c r="A85" s="16" t="s">
        <v>99</v>
      </c>
      <c r="B85" s="17" t="s">
        <v>104</v>
      </c>
      <c r="C85" s="143">
        <v>9.7570589078400452E-2</v>
      </c>
      <c r="D85" s="18">
        <v>81.260000000000005</v>
      </c>
      <c r="E85" s="143">
        <v>0.67186634668635781</v>
      </c>
      <c r="F85" s="159">
        <v>23824.701185007209</v>
      </c>
      <c r="G85" s="146">
        <v>12.19</v>
      </c>
      <c r="H85" s="146">
        <v>13.76</v>
      </c>
      <c r="I85" s="143">
        <v>7.7258347536776961E-2</v>
      </c>
      <c r="J85" s="161">
        <v>39888.36</v>
      </c>
      <c r="K85" s="143">
        <v>0.10281138582032848</v>
      </c>
      <c r="L85" s="265">
        <v>3327</v>
      </c>
      <c r="M85" s="143">
        <v>0.11904532459606181</v>
      </c>
      <c r="N85" s="143">
        <v>0.1156125249500998</v>
      </c>
    </row>
    <row r="86" spans="1:14">
      <c r="A86" s="16" t="s">
        <v>99</v>
      </c>
      <c r="B86" s="17" t="s">
        <v>105</v>
      </c>
      <c r="C86" s="143">
        <v>0.1534015213374017</v>
      </c>
      <c r="D86" s="18">
        <v>82.83</v>
      </c>
      <c r="E86" s="143">
        <v>0.5982979431169263</v>
      </c>
      <c r="F86" s="159">
        <v>24872.53869842914</v>
      </c>
      <c r="G86" s="146">
        <v>11.28</v>
      </c>
      <c r="H86" s="146">
        <v>12.91</v>
      </c>
      <c r="I86" s="143">
        <v>7.7258347536776961E-2</v>
      </c>
      <c r="J86" s="161">
        <v>46440.28</v>
      </c>
      <c r="K86" s="143">
        <v>0.10281138582032848</v>
      </c>
      <c r="L86" s="265">
        <v>3327</v>
      </c>
      <c r="M86" s="143">
        <v>0.11904532459606181</v>
      </c>
      <c r="N86" s="143">
        <v>0.1156125249500998</v>
      </c>
    </row>
    <row r="87" spans="1:14">
      <c r="A87" s="16" t="s">
        <v>106</v>
      </c>
      <c r="B87" s="17" t="s">
        <v>107</v>
      </c>
      <c r="C87" s="143">
        <v>5.0655214183459973E-2</v>
      </c>
      <c r="D87" s="18">
        <v>81</v>
      </c>
      <c r="E87" s="143">
        <v>0.46670485464699984</v>
      </c>
      <c r="F87" s="159">
        <v>34024.524138897541</v>
      </c>
      <c r="G87" s="146">
        <v>10.24</v>
      </c>
      <c r="H87" s="146">
        <v>10.199999999999999</v>
      </c>
      <c r="I87" s="143">
        <v>5.7107809731497886E-2</v>
      </c>
      <c r="J87" s="161">
        <v>98890.1</v>
      </c>
      <c r="K87" s="143">
        <v>3.9160675667777194E-2</v>
      </c>
      <c r="L87" s="265">
        <v>520</v>
      </c>
      <c r="M87" s="143">
        <v>3.7294015611448399E-2</v>
      </c>
      <c r="N87" s="143">
        <v>4.3444361277445109E-2</v>
      </c>
    </row>
    <row r="88" spans="1:14">
      <c r="A88" s="16" t="s">
        <v>106</v>
      </c>
      <c r="B88" s="17" t="s">
        <v>108</v>
      </c>
      <c r="C88" s="143">
        <v>1.9285488460322478E-2</v>
      </c>
      <c r="D88" s="18">
        <v>82.23</v>
      </c>
      <c r="E88" s="143">
        <v>0.29066157153092909</v>
      </c>
      <c r="F88" s="159">
        <v>45040.730192217532</v>
      </c>
      <c r="G88" s="146">
        <v>8.3800000000000008</v>
      </c>
      <c r="H88" s="146">
        <v>9.24</v>
      </c>
      <c r="I88" s="143">
        <v>5.7107809731497886E-2</v>
      </c>
      <c r="J88" s="161">
        <v>96989.93</v>
      </c>
      <c r="K88" s="143">
        <v>3.9160675667777194E-2</v>
      </c>
      <c r="L88" s="265">
        <v>520</v>
      </c>
      <c r="M88" s="143">
        <v>3.7294015611448399E-2</v>
      </c>
      <c r="N88" s="143">
        <v>4.3444361277445109E-2</v>
      </c>
    </row>
    <row r="89" spans="1:14">
      <c r="A89" s="16" t="s">
        <v>106</v>
      </c>
      <c r="B89" s="17" t="s">
        <v>109</v>
      </c>
      <c r="C89" s="143">
        <v>3.6562203228869897E-2</v>
      </c>
      <c r="D89" s="18">
        <v>83.47</v>
      </c>
      <c r="E89" s="143">
        <v>0.3832678530159464</v>
      </c>
      <c r="F89" s="159">
        <v>40428.409853051293</v>
      </c>
      <c r="G89" s="146">
        <v>7.71</v>
      </c>
      <c r="H89" s="146">
        <v>8.7899999999999991</v>
      </c>
      <c r="I89" s="143">
        <v>5.7107809731497886E-2</v>
      </c>
      <c r="J89" s="161">
        <v>81953.86</v>
      </c>
      <c r="K89" s="143">
        <v>3.9160675667777194E-2</v>
      </c>
      <c r="L89" s="265">
        <v>520</v>
      </c>
      <c r="M89" s="143">
        <v>3.7294015611448399E-2</v>
      </c>
      <c r="N89" s="143">
        <v>4.3444361277445109E-2</v>
      </c>
    </row>
    <row r="90" spans="1:14">
      <c r="A90" s="16" t="s">
        <v>106</v>
      </c>
      <c r="B90" s="17" t="s">
        <v>110</v>
      </c>
      <c r="C90" s="143">
        <v>5.665371402827054E-2</v>
      </c>
      <c r="D90" s="18">
        <v>83.52</v>
      </c>
      <c r="E90" s="143">
        <v>0.44376234829240757</v>
      </c>
      <c r="F90" s="159">
        <v>35438.871174048836</v>
      </c>
      <c r="G90" s="146">
        <v>9.6199999999999992</v>
      </c>
      <c r="H90" s="146">
        <v>10.73</v>
      </c>
      <c r="I90" s="143">
        <v>5.7107809731497886E-2</v>
      </c>
      <c r="J90" s="161">
        <v>87817.15</v>
      </c>
      <c r="K90" s="143">
        <v>3.9160675667777194E-2</v>
      </c>
      <c r="L90" s="265">
        <v>520</v>
      </c>
      <c r="M90" s="143">
        <v>3.7294015611448399E-2</v>
      </c>
      <c r="N90" s="143">
        <v>4.3444361277445109E-2</v>
      </c>
    </row>
    <row r="91" spans="1:14">
      <c r="A91" s="16" t="s">
        <v>106</v>
      </c>
      <c r="B91" s="17" t="s">
        <v>111</v>
      </c>
      <c r="C91" s="143">
        <v>8.5374511892083782E-2</v>
      </c>
      <c r="D91" s="18">
        <v>81.81</v>
      </c>
      <c r="E91" s="143">
        <v>0.53313521545319464</v>
      </c>
      <c r="F91" s="159">
        <v>28013.706874719352</v>
      </c>
      <c r="G91" s="146">
        <v>9.92</v>
      </c>
      <c r="H91" s="146">
        <v>11.84</v>
      </c>
      <c r="I91" s="143">
        <v>5.7107809731497886E-2</v>
      </c>
      <c r="J91" s="161">
        <v>72379.86</v>
      </c>
      <c r="K91" s="143">
        <v>3.9160675667777194E-2</v>
      </c>
      <c r="L91" s="265">
        <v>520</v>
      </c>
      <c r="M91" s="143">
        <v>3.7294015611448399E-2</v>
      </c>
      <c r="N91" s="143">
        <v>4.3444361277445109E-2</v>
      </c>
    </row>
    <row r="92" spans="1:14">
      <c r="A92" s="16" t="s">
        <v>106</v>
      </c>
      <c r="B92" s="17" t="s">
        <v>112</v>
      </c>
      <c r="C92" s="143">
        <v>6.6242492715704343E-2</v>
      </c>
      <c r="D92" s="18">
        <v>84.3</v>
      </c>
      <c r="E92" s="143">
        <v>0.48134900357690341</v>
      </c>
      <c r="F92" s="159">
        <v>29156.115996085558</v>
      </c>
      <c r="G92" s="146">
        <v>8.8000000000000007</v>
      </c>
      <c r="H92" s="146">
        <v>9.86</v>
      </c>
      <c r="I92" s="143">
        <v>5.7107809731497886E-2</v>
      </c>
      <c r="J92" s="161">
        <v>74639.28</v>
      </c>
      <c r="K92" s="143">
        <v>3.9160675667777194E-2</v>
      </c>
      <c r="L92" s="265">
        <v>520</v>
      </c>
      <c r="M92" s="143">
        <v>3.7294015611448399E-2</v>
      </c>
      <c r="N92" s="143">
        <v>4.3444361277445109E-2</v>
      </c>
    </row>
    <row r="93" spans="1:14">
      <c r="A93" s="16" t="s">
        <v>113</v>
      </c>
      <c r="B93" s="17" t="s">
        <v>114</v>
      </c>
      <c r="C93" s="143">
        <v>0.11452747989276139</v>
      </c>
      <c r="D93" s="18">
        <v>83.91</v>
      </c>
      <c r="E93" s="143">
        <v>0.49792650165619051</v>
      </c>
      <c r="F93" s="159">
        <v>28196.623938505836</v>
      </c>
      <c r="G93" s="146">
        <v>8.43</v>
      </c>
      <c r="H93" s="146">
        <v>10.82</v>
      </c>
      <c r="I93" s="143">
        <v>4.647074504492172E-2</v>
      </c>
      <c r="J93" s="161">
        <v>69508.259999999995</v>
      </c>
      <c r="K93" s="143">
        <v>7.3060962066748489E-2</v>
      </c>
      <c r="L93" s="265">
        <v>596</v>
      </c>
      <c r="M93" s="143">
        <v>6.4662233786258072E-2</v>
      </c>
      <c r="N93" s="143">
        <v>7.5380489021956085E-2</v>
      </c>
    </row>
    <row r="94" spans="1:14">
      <c r="A94" s="16" t="s">
        <v>113</v>
      </c>
      <c r="B94" s="17" t="s">
        <v>115</v>
      </c>
      <c r="C94" s="143">
        <v>0.11939175931981687</v>
      </c>
      <c r="D94" s="18">
        <v>82.85</v>
      </c>
      <c r="E94" s="143">
        <v>0.50781800837791879</v>
      </c>
      <c r="F94" s="159">
        <v>30038.955543266948</v>
      </c>
      <c r="G94" s="146">
        <v>8.18</v>
      </c>
      <c r="H94" s="146">
        <v>9.9499999999999993</v>
      </c>
      <c r="I94" s="143">
        <v>4.647074504492172E-2</v>
      </c>
      <c r="J94" s="161">
        <v>70105.52</v>
      </c>
      <c r="K94" s="143">
        <v>7.3060962066748489E-2</v>
      </c>
      <c r="L94" s="265">
        <v>596</v>
      </c>
      <c r="M94" s="143">
        <v>6.4662233786258072E-2</v>
      </c>
      <c r="N94" s="143">
        <v>7.5380489021956085E-2</v>
      </c>
    </row>
    <row r="95" spans="1:14">
      <c r="A95" s="16" t="s">
        <v>113</v>
      </c>
      <c r="B95" s="17" t="s">
        <v>116</v>
      </c>
      <c r="C95" s="143">
        <v>0.13387765149961023</v>
      </c>
      <c r="D95" s="18">
        <v>83.58</v>
      </c>
      <c r="E95" s="143">
        <v>0.44004282655246252</v>
      </c>
      <c r="F95" s="159">
        <v>30421.555716709925</v>
      </c>
      <c r="G95" s="146">
        <v>8.2100000000000009</v>
      </c>
      <c r="H95" s="146">
        <v>10.76</v>
      </c>
      <c r="I95" s="143">
        <v>4.647074504492172E-2</v>
      </c>
      <c r="J95" s="161">
        <v>78617.45</v>
      </c>
      <c r="K95" s="143">
        <v>7.3060962066748489E-2</v>
      </c>
      <c r="L95" s="265">
        <v>596</v>
      </c>
      <c r="M95" s="143">
        <v>6.4662233786258072E-2</v>
      </c>
      <c r="N95" s="143">
        <v>7.5380489021956085E-2</v>
      </c>
    </row>
    <row r="96" spans="1:14">
      <c r="A96" s="16" t="s">
        <v>113</v>
      </c>
      <c r="B96" s="17" t="s">
        <v>325</v>
      </c>
      <c r="C96" s="143">
        <v>8.7295101668028646E-2</v>
      </c>
      <c r="D96" s="18">
        <v>83.74</v>
      </c>
      <c r="E96" s="143">
        <v>0.36101796407185627</v>
      </c>
      <c r="F96" s="159">
        <v>34263.241684077606</v>
      </c>
      <c r="G96" s="146">
        <v>7.71</v>
      </c>
      <c r="H96" s="146">
        <v>9.43</v>
      </c>
      <c r="I96" s="143">
        <v>4.647074504492172E-2</v>
      </c>
      <c r="J96" s="161">
        <v>84627.53</v>
      </c>
      <c r="K96" s="143">
        <v>7.3060962066748489E-2</v>
      </c>
      <c r="L96" s="265">
        <v>596</v>
      </c>
      <c r="M96" s="143">
        <v>6.4662233786258072E-2</v>
      </c>
      <c r="N96" s="143">
        <v>7.5380489021956085E-2</v>
      </c>
    </row>
    <row r="97" spans="1:14">
      <c r="A97" s="16" t="s">
        <v>113</v>
      </c>
      <c r="B97" s="17" t="s">
        <v>117</v>
      </c>
      <c r="C97" s="143">
        <v>4.7874695594421077E-2</v>
      </c>
      <c r="D97" s="18">
        <v>84.16</v>
      </c>
      <c r="E97" s="143">
        <v>0.34616988739051857</v>
      </c>
      <c r="F97" s="159">
        <v>42449.94687985818</v>
      </c>
      <c r="G97" s="146">
        <v>7.46</v>
      </c>
      <c r="H97" s="146">
        <v>9.14</v>
      </c>
      <c r="I97" s="143">
        <v>4.647074504492172E-2</v>
      </c>
      <c r="J97" s="161">
        <v>94529</v>
      </c>
      <c r="K97" s="143">
        <v>7.3060962066748489E-2</v>
      </c>
      <c r="L97" s="265">
        <v>596</v>
      </c>
      <c r="M97" s="143">
        <v>6.4662233786258072E-2</v>
      </c>
      <c r="N97" s="143">
        <v>7.5380489021956085E-2</v>
      </c>
    </row>
    <row r="98" spans="1:14">
      <c r="A98" s="16" t="s">
        <v>113</v>
      </c>
      <c r="B98" s="17" t="s">
        <v>118</v>
      </c>
      <c r="C98" s="143">
        <v>4.7776079787661872E-2</v>
      </c>
      <c r="D98" s="18">
        <v>83.87</v>
      </c>
      <c r="E98" s="143">
        <v>0.19311312607944733</v>
      </c>
      <c r="F98" s="159">
        <v>56198.189895321513</v>
      </c>
      <c r="G98" s="146">
        <v>5.16</v>
      </c>
      <c r="H98" s="146">
        <v>7.33</v>
      </c>
      <c r="I98" s="143">
        <v>4.647074504492172E-2</v>
      </c>
      <c r="J98" s="161">
        <v>102522.46</v>
      </c>
      <c r="K98" s="143">
        <v>7.3060962066748489E-2</v>
      </c>
      <c r="L98" s="265">
        <v>596</v>
      </c>
      <c r="M98" s="143">
        <v>6.4662233786258072E-2</v>
      </c>
      <c r="N98" s="143">
        <v>7.5380489021956085E-2</v>
      </c>
    </row>
    <row r="99" spans="1:14">
      <c r="A99" s="16" t="s">
        <v>113</v>
      </c>
      <c r="B99" s="17" t="s">
        <v>119</v>
      </c>
      <c r="C99" s="143">
        <v>4.8982188295165402E-2</v>
      </c>
      <c r="D99" s="18">
        <v>83.89</v>
      </c>
      <c r="E99" s="143">
        <v>0.19818331957060281</v>
      </c>
      <c r="F99" s="159">
        <v>54247.157206375836</v>
      </c>
      <c r="G99" s="146">
        <v>5.92</v>
      </c>
      <c r="H99" s="146">
        <v>8.5</v>
      </c>
      <c r="I99" s="143">
        <v>4.647074504492172E-2</v>
      </c>
      <c r="J99" s="161">
        <v>112367.5</v>
      </c>
      <c r="K99" s="143">
        <v>7.3060962066748489E-2</v>
      </c>
      <c r="L99" s="265">
        <v>596</v>
      </c>
      <c r="M99" s="143">
        <v>6.4662233786258072E-2</v>
      </c>
      <c r="N99" s="143">
        <v>7.5380489021956085E-2</v>
      </c>
    </row>
    <row r="100" spans="1:14">
      <c r="A100" s="16" t="s">
        <v>113</v>
      </c>
      <c r="B100" s="17" t="s">
        <v>120</v>
      </c>
      <c r="C100" s="143">
        <v>4.825396825396825E-2</v>
      </c>
      <c r="D100" s="18">
        <v>84.1</v>
      </c>
      <c r="E100" s="143">
        <v>0.16843033509700175</v>
      </c>
      <c r="F100" s="159">
        <v>67826.149299820463</v>
      </c>
      <c r="G100" s="146">
        <v>4.01</v>
      </c>
      <c r="H100" s="146">
        <v>4.6100000000000003</v>
      </c>
      <c r="I100" s="143">
        <v>4.647074504492172E-2</v>
      </c>
      <c r="J100" s="161">
        <v>168128.52</v>
      </c>
      <c r="K100" s="143">
        <v>7.3060962066748489E-2</v>
      </c>
      <c r="L100" s="265">
        <v>596</v>
      </c>
      <c r="M100" s="143">
        <v>6.4662233786258072E-2</v>
      </c>
      <c r="N100" s="143">
        <v>7.5380489021956085E-2</v>
      </c>
    </row>
    <row r="101" spans="1:14">
      <c r="A101" s="16" t="s">
        <v>113</v>
      </c>
      <c r="B101" s="17" t="s">
        <v>121</v>
      </c>
      <c r="C101" s="143">
        <v>2.5341750306553432E-2</v>
      </c>
      <c r="D101" s="18">
        <v>83.94</v>
      </c>
      <c r="E101" s="143">
        <v>0.16098743937321228</v>
      </c>
      <c r="F101" s="159">
        <v>65589.452333289999</v>
      </c>
      <c r="G101" s="146">
        <v>5.42</v>
      </c>
      <c r="H101" s="146">
        <v>7.25</v>
      </c>
      <c r="I101" s="143">
        <v>4.647074504492172E-2</v>
      </c>
      <c r="J101" s="161">
        <v>112754.23</v>
      </c>
      <c r="K101" s="143">
        <v>7.3060962066748489E-2</v>
      </c>
      <c r="L101" s="265">
        <v>596</v>
      </c>
      <c r="M101" s="143">
        <v>6.4662233786258072E-2</v>
      </c>
      <c r="N101" s="143">
        <v>7.5380489021956085E-2</v>
      </c>
    </row>
    <row r="102" spans="1:14">
      <c r="A102" s="16" t="s">
        <v>122</v>
      </c>
      <c r="B102" s="17" t="s">
        <v>123</v>
      </c>
      <c r="C102" s="143">
        <v>2.9237162362718908E-2</v>
      </c>
      <c r="D102" s="18">
        <v>78.81</v>
      </c>
      <c r="E102" s="143">
        <v>0.13226584777363457</v>
      </c>
      <c r="F102" s="159">
        <v>81736.54715849596</v>
      </c>
      <c r="G102" s="146">
        <v>4.29</v>
      </c>
      <c r="H102" s="146">
        <v>5.81</v>
      </c>
      <c r="I102" s="143">
        <v>3.8742548701435189E-2</v>
      </c>
      <c r="J102" s="161">
        <v>144304.94</v>
      </c>
      <c r="K102" s="143">
        <v>4.8629376351627798E-2</v>
      </c>
      <c r="L102" s="265">
        <v>403</v>
      </c>
      <c r="M102" s="143">
        <v>4.2112363881661369E-2</v>
      </c>
      <c r="N102" s="143">
        <v>4.1853792415169663E-2</v>
      </c>
    </row>
    <row r="103" spans="1:14">
      <c r="A103" s="16" t="s">
        <v>122</v>
      </c>
      <c r="B103" s="17" t="s">
        <v>124</v>
      </c>
      <c r="C103" s="143">
        <v>4.0277117435305307E-2</v>
      </c>
      <c r="D103" s="18">
        <v>83.4</v>
      </c>
      <c r="E103" s="143">
        <v>0.13875269660717787</v>
      </c>
      <c r="F103" s="159">
        <v>97253.642316433572</v>
      </c>
      <c r="G103" s="146">
        <v>3.86</v>
      </c>
      <c r="H103" s="146">
        <v>5.23</v>
      </c>
      <c r="I103" s="143">
        <v>3.8742548701435189E-2</v>
      </c>
      <c r="J103" s="161">
        <v>214047.1</v>
      </c>
      <c r="K103" s="143">
        <v>4.8629376351627798E-2</v>
      </c>
      <c r="L103" s="265">
        <v>403</v>
      </c>
      <c r="M103" s="143">
        <v>4.2112363881661369E-2</v>
      </c>
      <c r="N103" s="143">
        <v>4.1853792415169663E-2</v>
      </c>
    </row>
    <row r="104" spans="1:14">
      <c r="A104" s="16" t="s">
        <v>122</v>
      </c>
      <c r="B104" s="17" t="s">
        <v>125</v>
      </c>
      <c r="C104" s="143">
        <v>4.7973022866566566E-2</v>
      </c>
      <c r="D104" s="18">
        <v>84.43</v>
      </c>
      <c r="E104" s="143">
        <v>0.4011120668468911</v>
      </c>
      <c r="F104" s="159">
        <v>39790.240091819171</v>
      </c>
      <c r="G104" s="146">
        <v>7.15</v>
      </c>
      <c r="H104" s="146">
        <v>8.66</v>
      </c>
      <c r="I104" s="143">
        <v>3.8742548701435189E-2</v>
      </c>
      <c r="J104" s="161">
        <v>93176</v>
      </c>
      <c r="K104" s="143">
        <v>4.8629376351627798E-2</v>
      </c>
      <c r="L104" s="265">
        <v>403</v>
      </c>
      <c r="M104" s="143">
        <v>4.2112363881661369E-2</v>
      </c>
      <c r="N104" s="143">
        <v>4.1853792415169663E-2</v>
      </c>
    </row>
    <row r="105" spans="1:14">
      <c r="A105" s="16" t="s">
        <v>122</v>
      </c>
      <c r="B105" s="17" t="s">
        <v>126</v>
      </c>
      <c r="C105" s="143">
        <v>6.3702796801469189E-2</v>
      </c>
      <c r="D105" s="18">
        <v>83.56</v>
      </c>
      <c r="E105" s="143">
        <v>0.47250665451667828</v>
      </c>
      <c r="F105" s="159">
        <v>33701.43128620473</v>
      </c>
      <c r="G105" s="146">
        <v>8.7799999999999994</v>
      </c>
      <c r="H105" s="146">
        <v>10.6</v>
      </c>
      <c r="I105" s="143">
        <v>3.8742548701435189E-2</v>
      </c>
      <c r="J105" s="161">
        <v>80444.05</v>
      </c>
      <c r="K105" s="143">
        <v>4.8629376351627798E-2</v>
      </c>
      <c r="L105" s="265">
        <v>403</v>
      </c>
      <c r="M105" s="143">
        <v>4.2112363881661369E-2</v>
      </c>
      <c r="N105" s="143">
        <v>4.1853792415169663E-2</v>
      </c>
    </row>
    <row r="106" spans="1:14">
      <c r="A106" s="16" t="s">
        <v>122</v>
      </c>
      <c r="B106" s="17" t="s">
        <v>127</v>
      </c>
      <c r="C106" s="143">
        <v>5.1535590334621177E-2</v>
      </c>
      <c r="D106" s="18">
        <v>84.21</v>
      </c>
      <c r="E106" s="143">
        <v>0.3920656403315852</v>
      </c>
      <c r="F106" s="159">
        <v>36691.478392605633</v>
      </c>
      <c r="G106" s="146">
        <v>8.7200000000000006</v>
      </c>
      <c r="H106" s="146">
        <v>10.35</v>
      </c>
      <c r="I106" s="143">
        <v>3.8742548701435189E-2</v>
      </c>
      <c r="J106" s="161">
        <v>104658.69</v>
      </c>
      <c r="K106" s="143">
        <v>4.8629376351627798E-2</v>
      </c>
      <c r="L106" s="265">
        <v>403</v>
      </c>
      <c r="M106" s="143">
        <v>4.2112363881661369E-2</v>
      </c>
      <c r="N106" s="143">
        <v>4.1853792415169663E-2</v>
      </c>
    </row>
    <row r="107" spans="1:14">
      <c r="A107" s="16" t="s">
        <v>122</v>
      </c>
      <c r="B107" s="17" t="s">
        <v>128</v>
      </c>
      <c r="C107" s="143">
        <v>4.8510967456765572E-2</v>
      </c>
      <c r="D107" s="18">
        <v>83.16</v>
      </c>
      <c r="E107" s="143">
        <v>0.14751049621009327</v>
      </c>
      <c r="F107" s="159">
        <v>55975.145579473152</v>
      </c>
      <c r="G107" s="146">
        <v>5.14</v>
      </c>
      <c r="H107" s="146">
        <v>7.08</v>
      </c>
      <c r="I107" s="143">
        <v>3.8742548701435189E-2</v>
      </c>
      <c r="J107" s="161">
        <v>114377.07</v>
      </c>
      <c r="K107" s="143">
        <v>4.8629376351627798E-2</v>
      </c>
      <c r="L107" s="265">
        <v>403</v>
      </c>
      <c r="M107" s="143">
        <v>4.2112363881661369E-2</v>
      </c>
      <c r="N107" s="143">
        <v>4.1853792415169663E-2</v>
      </c>
    </row>
    <row r="108" spans="1:14">
      <c r="A108" s="16" t="s">
        <v>129</v>
      </c>
      <c r="B108" s="17" t="s">
        <v>326</v>
      </c>
      <c r="C108" s="143">
        <v>0.13826497212126684</v>
      </c>
      <c r="D108" s="18">
        <v>82.02</v>
      </c>
      <c r="E108" s="143">
        <v>0.63749314818198433</v>
      </c>
      <c r="F108" s="159">
        <v>24884.414737719635</v>
      </c>
      <c r="G108" s="146">
        <v>12.39</v>
      </c>
      <c r="H108" s="146">
        <v>13.53</v>
      </c>
      <c r="I108" s="143">
        <v>7.6556005952075526E-2</v>
      </c>
      <c r="J108" s="161">
        <v>51666.28</v>
      </c>
      <c r="K108" s="143">
        <v>5.2370097609445318E-2</v>
      </c>
      <c r="L108" s="265">
        <v>1563</v>
      </c>
      <c r="M108" s="143">
        <v>5.9554784619832324E-2</v>
      </c>
      <c r="N108" s="143">
        <v>5.9849051896207588E-2</v>
      </c>
    </row>
    <row r="109" spans="1:14">
      <c r="A109" s="16" t="s">
        <v>129</v>
      </c>
      <c r="B109" s="17" t="s">
        <v>130</v>
      </c>
      <c r="C109" s="143">
        <v>0.26893792747451284</v>
      </c>
      <c r="D109" s="18">
        <v>81.25</v>
      </c>
      <c r="E109" s="143">
        <v>0.74686231081579924</v>
      </c>
      <c r="F109" s="159">
        <v>19587.094904064368</v>
      </c>
      <c r="G109" s="146">
        <v>13.77</v>
      </c>
      <c r="H109" s="146">
        <v>17.18</v>
      </c>
      <c r="I109" s="143">
        <v>7.6556005952075526E-2</v>
      </c>
      <c r="J109" s="161">
        <v>26876.799999999999</v>
      </c>
      <c r="K109" s="143">
        <v>5.2370097609445318E-2</v>
      </c>
      <c r="L109" s="265">
        <v>1563</v>
      </c>
      <c r="M109" s="143">
        <v>5.9554784619832324E-2</v>
      </c>
      <c r="N109" s="143">
        <v>5.9849051896207588E-2</v>
      </c>
    </row>
    <row r="110" spans="1:14">
      <c r="A110" s="16" t="s">
        <v>129</v>
      </c>
      <c r="B110" s="17" t="s">
        <v>131</v>
      </c>
      <c r="C110" s="143">
        <v>9.185460915261659E-2</v>
      </c>
      <c r="D110" s="18">
        <v>82.02</v>
      </c>
      <c r="E110" s="143">
        <v>0.46362455342643716</v>
      </c>
      <c r="F110" s="159">
        <v>30153.30453444098</v>
      </c>
      <c r="G110" s="146">
        <v>8.65</v>
      </c>
      <c r="H110" s="146">
        <v>10.39</v>
      </c>
      <c r="I110" s="143">
        <v>7.6556005952075526E-2</v>
      </c>
      <c r="J110" s="161">
        <v>61604.11</v>
      </c>
      <c r="K110" s="143">
        <v>5.2370097609445318E-2</v>
      </c>
      <c r="L110" s="265">
        <v>1563</v>
      </c>
      <c r="M110" s="143">
        <v>5.9554784619832324E-2</v>
      </c>
      <c r="N110" s="143">
        <v>5.9849051896207588E-2</v>
      </c>
    </row>
    <row r="111" spans="1:14">
      <c r="A111" s="16" t="s">
        <v>129</v>
      </c>
      <c r="B111" s="17" t="s">
        <v>132</v>
      </c>
      <c r="C111" s="143">
        <v>0.13714672075726841</v>
      </c>
      <c r="D111" s="18">
        <v>83.28</v>
      </c>
      <c r="E111" s="143">
        <v>0.57422979473432967</v>
      </c>
      <c r="F111" s="159">
        <v>28416.052490963382</v>
      </c>
      <c r="G111" s="146">
        <v>9.7899999999999991</v>
      </c>
      <c r="H111" s="146">
        <v>11.07</v>
      </c>
      <c r="I111" s="143">
        <v>7.6556005952075526E-2</v>
      </c>
      <c r="J111" s="161">
        <v>52206.91</v>
      </c>
      <c r="K111" s="143">
        <v>5.2370097609445318E-2</v>
      </c>
      <c r="L111" s="265">
        <v>1563</v>
      </c>
      <c r="M111" s="143">
        <v>5.9554784619832324E-2</v>
      </c>
      <c r="N111" s="143">
        <v>5.9849051896207588E-2</v>
      </c>
    </row>
    <row r="112" spans="1:14">
      <c r="A112" s="16" t="s">
        <v>129</v>
      </c>
      <c r="B112" s="17" t="s">
        <v>133</v>
      </c>
      <c r="C112" s="143">
        <v>0.11209526621395532</v>
      </c>
      <c r="D112" s="18">
        <v>83.21</v>
      </c>
      <c r="E112" s="143">
        <v>0.58842722616884191</v>
      </c>
      <c r="F112" s="159">
        <v>28062.429956260723</v>
      </c>
      <c r="G112" s="146">
        <v>10.62</v>
      </c>
      <c r="H112" s="146">
        <v>12.46</v>
      </c>
      <c r="I112" s="143">
        <v>7.6556005952075526E-2</v>
      </c>
      <c r="J112" s="161">
        <v>58943.3</v>
      </c>
      <c r="K112" s="143">
        <v>5.2370097609445318E-2</v>
      </c>
      <c r="L112" s="265">
        <v>1563</v>
      </c>
      <c r="M112" s="143">
        <v>5.9554784619832324E-2</v>
      </c>
      <c r="N112" s="143">
        <v>5.9849051896207588E-2</v>
      </c>
    </row>
    <row r="113" spans="1:14">
      <c r="A113" s="16" t="s">
        <v>134</v>
      </c>
      <c r="B113" s="17" t="s">
        <v>135</v>
      </c>
      <c r="C113" s="143">
        <v>0.10163563160543532</v>
      </c>
      <c r="D113" s="18">
        <v>82.85</v>
      </c>
      <c r="E113" s="143">
        <v>0.64314460172078824</v>
      </c>
      <c r="F113" s="159">
        <v>28357.195238000593</v>
      </c>
      <c r="G113" s="146">
        <v>12.05</v>
      </c>
      <c r="H113" s="146">
        <v>13.6</v>
      </c>
      <c r="I113" s="143">
        <v>6.3105304639388723E-2</v>
      </c>
      <c r="J113" s="161">
        <v>55794.28</v>
      </c>
      <c r="K113" s="143">
        <v>2.5951253726109066E-2</v>
      </c>
      <c r="L113" s="265">
        <v>1370</v>
      </c>
      <c r="M113" s="143">
        <v>2.1007998458128552E-2</v>
      </c>
      <c r="N113" s="143">
        <v>2.223677644710579E-2</v>
      </c>
    </row>
    <row r="114" spans="1:14">
      <c r="A114" s="16" t="s">
        <v>134</v>
      </c>
      <c r="B114" s="17" t="s">
        <v>136</v>
      </c>
      <c r="C114" s="143">
        <v>3.255813953488372E-2</v>
      </c>
      <c r="D114" s="18">
        <v>82.28</v>
      </c>
      <c r="E114" s="143">
        <v>0.44891965596811412</v>
      </c>
      <c r="F114" s="159">
        <v>36426.582003659656</v>
      </c>
      <c r="G114" s="146">
        <v>9.2200000000000006</v>
      </c>
      <c r="H114" s="146">
        <v>10.59</v>
      </c>
      <c r="I114" s="143">
        <v>6.3105304639388723E-2</v>
      </c>
      <c r="J114" s="161">
        <v>57584.02</v>
      </c>
      <c r="K114" s="143">
        <v>2.5951253726109066E-2</v>
      </c>
      <c r="L114" s="265">
        <v>1370</v>
      </c>
      <c r="M114" s="143">
        <v>2.1007998458128552E-2</v>
      </c>
      <c r="N114" s="143">
        <v>2.223677644710579E-2</v>
      </c>
    </row>
    <row r="115" spans="1:14">
      <c r="A115" s="16" t="s">
        <v>134</v>
      </c>
      <c r="B115" s="17" t="s">
        <v>327</v>
      </c>
      <c r="C115" s="143">
        <v>5.5693126060439309E-2</v>
      </c>
      <c r="D115" s="18">
        <v>82.85</v>
      </c>
      <c r="E115" s="143">
        <v>0.27867445621678716</v>
      </c>
      <c r="F115" s="159">
        <v>32080.210261506927</v>
      </c>
      <c r="G115" s="146">
        <v>7.65</v>
      </c>
      <c r="H115" s="146">
        <v>9.8000000000000007</v>
      </c>
      <c r="I115" s="143">
        <v>6.3105304639388723E-2</v>
      </c>
      <c r="J115" s="161">
        <v>70762.740000000005</v>
      </c>
      <c r="K115" s="143">
        <v>2.5951253726109066E-2</v>
      </c>
      <c r="L115" s="265">
        <v>1370</v>
      </c>
      <c r="M115" s="143">
        <v>2.1007998458128552E-2</v>
      </c>
      <c r="N115" s="143">
        <v>2.223677644710579E-2</v>
      </c>
    </row>
    <row r="116" spans="1:14">
      <c r="A116" s="16" t="s">
        <v>137</v>
      </c>
      <c r="B116" s="17" t="s">
        <v>138</v>
      </c>
      <c r="C116" s="143">
        <v>9.9152046783625727E-2</v>
      </c>
      <c r="D116" s="18">
        <v>83.34</v>
      </c>
      <c r="E116" s="143">
        <v>0.66301558730037147</v>
      </c>
      <c r="F116" s="159">
        <v>24737.461738598104</v>
      </c>
      <c r="G116" s="146">
        <v>11.92</v>
      </c>
      <c r="H116" s="146">
        <v>13.81</v>
      </c>
      <c r="I116" s="143">
        <v>6.2535329215953103E-2</v>
      </c>
      <c r="J116" s="161">
        <v>54182.2</v>
      </c>
      <c r="K116" s="143">
        <v>3.0860950376994566E-2</v>
      </c>
      <c r="L116" s="265">
        <v>669</v>
      </c>
      <c r="M116" s="143">
        <v>2.4252352960071954E-2</v>
      </c>
      <c r="N116" s="143">
        <v>2.3858532934131736E-2</v>
      </c>
    </row>
    <row r="117" spans="1:14">
      <c r="A117" s="16" t="s">
        <v>137</v>
      </c>
      <c r="B117" s="17" t="s">
        <v>328</v>
      </c>
      <c r="C117" s="143">
        <v>3.6060554516074164E-2</v>
      </c>
      <c r="D117" s="18">
        <v>83.34</v>
      </c>
      <c r="E117" s="143">
        <v>0.35197044334975369</v>
      </c>
      <c r="F117" s="159">
        <v>38092.09981925731</v>
      </c>
      <c r="G117" s="146">
        <v>8.94</v>
      </c>
      <c r="H117" s="146">
        <v>9.35</v>
      </c>
      <c r="I117" s="143">
        <v>6.2535329215953103E-2</v>
      </c>
      <c r="J117" s="161">
        <v>61754.93</v>
      </c>
      <c r="K117" s="143">
        <v>3.0860950376994566E-2</v>
      </c>
      <c r="L117" s="265">
        <v>669</v>
      </c>
      <c r="M117" s="143">
        <v>2.4252352960071954E-2</v>
      </c>
      <c r="N117" s="143">
        <v>2.3858532934131736E-2</v>
      </c>
    </row>
    <row r="118" spans="1:14">
      <c r="A118" s="16" t="s">
        <v>137</v>
      </c>
      <c r="B118" s="17" t="s">
        <v>329</v>
      </c>
      <c r="C118" s="143">
        <v>1.7546754675467548E-2</v>
      </c>
      <c r="D118" s="18">
        <v>83.34</v>
      </c>
      <c r="E118" s="143">
        <v>0.23176857786246319</v>
      </c>
      <c r="F118" s="159">
        <v>39290.701014584658</v>
      </c>
      <c r="G118" s="146">
        <v>5.73</v>
      </c>
      <c r="H118" s="146">
        <v>6.57</v>
      </c>
      <c r="I118" s="143">
        <v>6.2535329215953103E-2</v>
      </c>
      <c r="J118" s="161">
        <v>77028.05</v>
      </c>
      <c r="K118" s="143">
        <v>3.0860950376994566E-2</v>
      </c>
      <c r="L118" s="265">
        <v>669</v>
      </c>
      <c r="M118" s="143">
        <v>2.4252352960071954E-2</v>
      </c>
      <c r="N118" s="143">
        <v>2.3858532934131736E-2</v>
      </c>
    </row>
    <row r="119" spans="1:14">
      <c r="A119" s="16" t="s">
        <v>137</v>
      </c>
      <c r="B119" s="17" t="s">
        <v>330</v>
      </c>
      <c r="C119" s="143">
        <v>4.2328042328042326E-2</v>
      </c>
      <c r="D119" s="18">
        <v>83.34</v>
      </c>
      <c r="E119" s="143">
        <v>0.35897435897435898</v>
      </c>
      <c r="F119" s="159">
        <v>38691.40041692098</v>
      </c>
      <c r="G119" s="146">
        <v>6.01</v>
      </c>
      <c r="H119" s="146">
        <v>9.41</v>
      </c>
      <c r="I119" s="143">
        <v>6.2535329215953103E-2</v>
      </c>
      <c r="J119" s="161">
        <v>106107.71</v>
      </c>
      <c r="K119" s="143">
        <v>3.0860950376994566E-2</v>
      </c>
      <c r="L119" s="265">
        <v>669</v>
      </c>
      <c r="M119" s="143">
        <v>2.4252352960071954E-2</v>
      </c>
      <c r="N119" s="143">
        <v>2.3858532934131736E-2</v>
      </c>
    </row>
    <row r="120" spans="1:14">
      <c r="A120" s="16" t="s">
        <v>139</v>
      </c>
      <c r="B120" s="17" t="s">
        <v>140</v>
      </c>
      <c r="C120" s="143">
        <v>0.10208501578445048</v>
      </c>
      <c r="D120" s="18">
        <v>83.06</v>
      </c>
      <c r="E120" s="143">
        <v>0.48927913068788204</v>
      </c>
      <c r="F120" s="159">
        <v>31368.082104293884</v>
      </c>
      <c r="G120" s="146">
        <v>9.08</v>
      </c>
      <c r="H120" s="146">
        <v>11.26</v>
      </c>
      <c r="I120" s="143">
        <v>5.2258064516129035E-2</v>
      </c>
      <c r="J120" s="161">
        <v>67547.839999999997</v>
      </c>
      <c r="K120" s="143">
        <v>5.5526331170728853E-2</v>
      </c>
      <c r="L120" s="265">
        <v>807</v>
      </c>
      <c r="M120" s="143">
        <v>6.8163566862612823E-2</v>
      </c>
      <c r="N120" s="143">
        <v>5.7821856287425151E-2</v>
      </c>
    </row>
    <row r="121" spans="1:14">
      <c r="A121" s="16" t="s">
        <v>139</v>
      </c>
      <c r="B121" s="17" t="s">
        <v>141</v>
      </c>
      <c r="C121" s="143">
        <v>7.4376467956604408E-2</v>
      </c>
      <c r="D121" s="18">
        <v>81.489999999999995</v>
      </c>
      <c r="E121" s="143">
        <v>0.65717476270240094</v>
      </c>
      <c r="F121" s="159">
        <v>23534.745027670171</v>
      </c>
      <c r="G121" s="146">
        <v>11.97</v>
      </c>
      <c r="H121" s="146">
        <v>14.41</v>
      </c>
      <c r="I121" s="143">
        <v>5.2258064516129035E-2</v>
      </c>
      <c r="J121" s="161">
        <v>62968.18</v>
      </c>
      <c r="K121" s="143">
        <v>5.5526331170728853E-2</v>
      </c>
      <c r="L121" s="265">
        <v>807</v>
      </c>
      <c r="M121" s="143">
        <v>6.8163566862612823E-2</v>
      </c>
      <c r="N121" s="143">
        <v>5.7821856287425151E-2</v>
      </c>
    </row>
    <row r="122" spans="1:14">
      <c r="A122" s="16" t="s">
        <v>139</v>
      </c>
      <c r="B122" s="17" t="s">
        <v>142</v>
      </c>
      <c r="C122" s="143">
        <v>0.10711718188353701</v>
      </c>
      <c r="D122" s="18">
        <v>78.36</v>
      </c>
      <c r="E122" s="143">
        <v>0.69253920481546016</v>
      </c>
      <c r="F122" s="159">
        <v>21841.988840086608</v>
      </c>
      <c r="G122" s="146">
        <v>13.07</v>
      </c>
      <c r="H122" s="146">
        <v>15.08</v>
      </c>
      <c r="I122" s="143">
        <v>5.2258064516129035E-2</v>
      </c>
      <c r="J122" s="161">
        <v>46961.13</v>
      </c>
      <c r="K122" s="143">
        <v>5.5526331170728853E-2</v>
      </c>
      <c r="L122" s="265">
        <v>807</v>
      </c>
      <c r="M122" s="143">
        <v>6.8163566862612823E-2</v>
      </c>
      <c r="N122" s="143">
        <v>5.7821856287425151E-2</v>
      </c>
    </row>
    <row r="123" spans="1:14">
      <c r="A123" s="16" t="s">
        <v>139</v>
      </c>
      <c r="B123" s="17" t="s">
        <v>143</v>
      </c>
      <c r="C123" s="143">
        <v>5.9568068841639163E-2</v>
      </c>
      <c r="D123" s="18">
        <v>81.45</v>
      </c>
      <c r="E123" s="143">
        <v>0.56915400571845043</v>
      </c>
      <c r="F123" s="159">
        <v>28111.351410726566</v>
      </c>
      <c r="G123" s="146">
        <v>10.07</v>
      </c>
      <c r="H123" s="146">
        <v>11.49</v>
      </c>
      <c r="I123" s="143">
        <v>5.2258064516129035E-2</v>
      </c>
      <c r="J123" s="161">
        <v>73483.649999999994</v>
      </c>
      <c r="K123" s="143">
        <v>5.5526331170728853E-2</v>
      </c>
      <c r="L123" s="265">
        <v>807</v>
      </c>
      <c r="M123" s="143">
        <v>6.8163566862612823E-2</v>
      </c>
      <c r="N123" s="143">
        <v>5.7821856287425151E-2</v>
      </c>
    </row>
    <row r="124" spans="1:14">
      <c r="A124" s="16" t="s">
        <v>139</v>
      </c>
      <c r="B124" s="17" t="s">
        <v>144</v>
      </c>
      <c r="C124" s="143">
        <v>2.4366286438529783E-2</v>
      </c>
      <c r="D124" s="18">
        <v>83.81</v>
      </c>
      <c r="E124" s="143">
        <v>0.31627421623338325</v>
      </c>
      <c r="F124" s="159">
        <v>43369.468554283601</v>
      </c>
      <c r="G124" s="146">
        <v>5.98</v>
      </c>
      <c r="H124" s="146">
        <v>7.08</v>
      </c>
      <c r="I124" s="143">
        <v>5.2258064516129035E-2</v>
      </c>
      <c r="J124" s="161">
        <v>80925.23</v>
      </c>
      <c r="K124" s="143">
        <v>5.5526331170728853E-2</v>
      </c>
      <c r="L124" s="265">
        <v>807</v>
      </c>
      <c r="M124" s="143">
        <v>6.8163566862612823E-2</v>
      </c>
      <c r="N124" s="143">
        <v>5.7821856287425151E-2</v>
      </c>
    </row>
    <row r="125" spans="1:14">
      <c r="A125" s="16" t="s">
        <v>139</v>
      </c>
      <c r="B125" s="17" t="s">
        <v>145</v>
      </c>
      <c r="C125" s="143">
        <v>9.3962611094085199E-2</v>
      </c>
      <c r="D125" s="18">
        <v>85.24</v>
      </c>
      <c r="E125" s="143">
        <v>0.28790689829650867</v>
      </c>
      <c r="F125" s="159">
        <v>38202.727063900413</v>
      </c>
      <c r="G125" s="146">
        <v>5.6</v>
      </c>
      <c r="H125" s="146">
        <v>7.91</v>
      </c>
      <c r="I125" s="143">
        <v>5.2258064516129035E-2</v>
      </c>
      <c r="J125" s="161">
        <v>59944.22</v>
      </c>
      <c r="K125" s="143">
        <v>5.5526331170728853E-2</v>
      </c>
      <c r="L125" s="265">
        <v>807</v>
      </c>
      <c r="M125" s="143">
        <v>6.8163566862612823E-2</v>
      </c>
      <c r="N125" s="143">
        <v>5.7821856287425151E-2</v>
      </c>
    </row>
    <row r="126" spans="1:14">
      <c r="A126" s="16" t="s">
        <v>139</v>
      </c>
      <c r="B126" s="17" t="s">
        <v>146</v>
      </c>
      <c r="C126" s="143">
        <v>8.7520600301553342E-2</v>
      </c>
      <c r="D126" s="18">
        <v>83.06</v>
      </c>
      <c r="E126" s="143">
        <v>0.54008532574882229</v>
      </c>
      <c r="F126" s="159">
        <v>31306.00894479451</v>
      </c>
      <c r="G126" s="146">
        <v>8.84</v>
      </c>
      <c r="H126" s="146">
        <v>11.23</v>
      </c>
      <c r="I126" s="143">
        <v>5.2258064516129035E-2</v>
      </c>
      <c r="J126" s="161">
        <v>62705.279999999999</v>
      </c>
      <c r="K126" s="143">
        <v>5.5526331170728853E-2</v>
      </c>
      <c r="L126" s="265">
        <v>807</v>
      </c>
      <c r="M126" s="143">
        <v>6.8163566862612823E-2</v>
      </c>
      <c r="N126" s="143">
        <v>5.7821856287425151E-2</v>
      </c>
    </row>
    <row r="127" spans="1:14">
      <c r="A127" s="16" t="s">
        <v>139</v>
      </c>
      <c r="B127" s="17" t="s">
        <v>331</v>
      </c>
      <c r="C127" s="143">
        <v>3.7210950651191635E-2</v>
      </c>
      <c r="D127" s="18">
        <v>84.45</v>
      </c>
      <c r="E127" s="143">
        <v>0.26099092812281927</v>
      </c>
      <c r="F127" s="159">
        <v>54441.104586305271</v>
      </c>
      <c r="G127" s="146">
        <v>6.23</v>
      </c>
      <c r="H127" s="146">
        <v>7.7</v>
      </c>
      <c r="I127" s="143">
        <v>5.2258064516129035E-2</v>
      </c>
      <c r="J127" s="161">
        <v>119894.91</v>
      </c>
      <c r="K127" s="143">
        <v>5.5526331170728853E-2</v>
      </c>
      <c r="L127" s="265">
        <v>807</v>
      </c>
      <c r="M127" s="143">
        <v>6.8163566862612823E-2</v>
      </c>
      <c r="N127" s="143">
        <v>5.7821856287425151E-2</v>
      </c>
    </row>
    <row r="128" spans="1:14">
      <c r="A128" s="16" t="s">
        <v>147</v>
      </c>
      <c r="B128" s="17" t="s">
        <v>148</v>
      </c>
      <c r="C128" s="143">
        <v>2.411807055435565E-2</v>
      </c>
      <c r="D128" s="18">
        <v>83.91</v>
      </c>
      <c r="E128" s="143">
        <v>0.20959836623553438</v>
      </c>
      <c r="F128" s="159">
        <v>52281.190739049795</v>
      </c>
      <c r="G128" s="146">
        <v>4.9800000000000004</v>
      </c>
      <c r="H128" s="146">
        <v>6.35</v>
      </c>
      <c r="I128" s="143">
        <v>3.3185413852980898E-2</v>
      </c>
      <c r="J128" s="161">
        <v>88289.33</v>
      </c>
      <c r="K128" s="143">
        <v>9.351803144543808E-3</v>
      </c>
      <c r="L128" s="265">
        <v>73</v>
      </c>
      <c r="M128" s="143">
        <v>8.2554367029648908E-3</v>
      </c>
      <c r="N128" s="143">
        <v>9.2315369261477039E-3</v>
      </c>
    </row>
    <row r="129" spans="1:14">
      <c r="A129" s="20" t="s">
        <v>147</v>
      </c>
      <c r="B129" s="21" t="s">
        <v>149</v>
      </c>
      <c r="C129" s="148">
        <v>0.13823857302118173</v>
      </c>
      <c r="D129" s="19">
        <v>81.84</v>
      </c>
      <c r="E129" s="148">
        <v>0.59191176470588236</v>
      </c>
      <c r="F129" s="160">
        <v>24254.314661654134</v>
      </c>
      <c r="G129" s="147">
        <v>7.82</v>
      </c>
      <c r="H129" s="147">
        <v>9.27</v>
      </c>
      <c r="I129" s="148">
        <v>3.3185413852980898E-2</v>
      </c>
      <c r="J129" s="162">
        <v>73598.759999999995</v>
      </c>
      <c r="K129" s="143">
        <v>9.351803144543808E-3</v>
      </c>
      <c r="L129" s="265">
        <v>73</v>
      </c>
      <c r="M129" s="143">
        <v>8.2554367029648908E-3</v>
      </c>
      <c r="N129" s="143">
        <v>9.2315369261477039E-3</v>
      </c>
    </row>
    <row r="130" spans="1:14">
      <c r="A130" s="16" t="s">
        <v>147</v>
      </c>
      <c r="B130" s="17" t="s">
        <v>150</v>
      </c>
      <c r="C130" s="143">
        <v>0.10169029443838604</v>
      </c>
      <c r="D130" s="18">
        <v>82.96</v>
      </c>
      <c r="E130" s="143">
        <v>0.5049638229850244</v>
      </c>
      <c r="F130" s="159">
        <v>29450.042165929957</v>
      </c>
      <c r="G130" s="146">
        <v>7.55</v>
      </c>
      <c r="H130" s="146">
        <v>10.039999999999999</v>
      </c>
      <c r="I130" s="143">
        <v>3.3185413852980898E-2</v>
      </c>
      <c r="J130" s="161">
        <v>82966.28</v>
      </c>
      <c r="K130" s="143">
        <v>9.351803144543808E-3</v>
      </c>
      <c r="L130" s="265">
        <v>73</v>
      </c>
      <c r="M130" s="143">
        <v>8.2554367029648908E-3</v>
      </c>
      <c r="N130" s="143">
        <v>9.2315369261477039E-3</v>
      </c>
    </row>
    <row r="131" spans="1:14">
      <c r="A131" s="16" t="s">
        <v>147</v>
      </c>
      <c r="B131" s="17" t="s">
        <v>151</v>
      </c>
      <c r="C131" s="143">
        <v>5.1914893617021278E-2</v>
      </c>
      <c r="D131" s="18">
        <v>83.02</v>
      </c>
      <c r="E131" s="143">
        <v>0.30694143167028198</v>
      </c>
      <c r="F131" s="159">
        <v>40271.041996996995</v>
      </c>
      <c r="G131" s="146">
        <v>5.77</v>
      </c>
      <c r="H131" s="146">
        <v>7.17</v>
      </c>
      <c r="I131" s="143">
        <v>3.3185413852980898E-2</v>
      </c>
      <c r="J131" s="161">
        <v>101313.54</v>
      </c>
      <c r="K131" s="143">
        <v>9.351803144543808E-3</v>
      </c>
      <c r="L131" s="265">
        <v>73</v>
      </c>
      <c r="M131" s="143">
        <v>8.2554367029648908E-3</v>
      </c>
      <c r="N131" s="143">
        <v>9.2315369261477039E-3</v>
      </c>
    </row>
    <row r="132" spans="1:14">
      <c r="A132" s="16" t="s">
        <v>147</v>
      </c>
      <c r="B132" s="17" t="s">
        <v>152</v>
      </c>
      <c r="C132" s="143">
        <v>2.4367509986684421E-2</v>
      </c>
      <c r="D132" s="18">
        <v>84.65</v>
      </c>
      <c r="E132" s="143">
        <v>0.15305913648455086</v>
      </c>
      <c r="F132" s="159">
        <v>65879.163713692949</v>
      </c>
      <c r="G132" s="146">
        <v>4.2</v>
      </c>
      <c r="H132" s="146">
        <v>5.46</v>
      </c>
      <c r="I132" s="143">
        <v>3.3185413852980898E-2</v>
      </c>
      <c r="J132" s="161">
        <v>115899.58</v>
      </c>
      <c r="K132" s="143">
        <v>9.351803144543808E-3</v>
      </c>
      <c r="L132" s="265">
        <v>73</v>
      </c>
      <c r="M132" s="143">
        <v>8.2554367029648908E-3</v>
      </c>
      <c r="N132" s="143">
        <v>9.2315369261477039E-3</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U136"/>
  <sheetViews>
    <sheetView showGridLines="0" showWhiteSpace="0" view="pageLayout" topLeftCell="B1" zoomScaleNormal="100" workbookViewId="0">
      <selection activeCell="K6" sqref="K6"/>
    </sheetView>
  </sheetViews>
  <sheetFormatPr defaultColWidth="11.19921875" defaultRowHeight="15.6"/>
  <cols>
    <col min="2" max="2" width="20" bestFit="1" customWidth="1"/>
    <col min="3" max="3" width="29.19921875" bestFit="1" customWidth="1"/>
    <col min="4" max="4" width="14.19921875" customWidth="1"/>
    <col min="6" max="6" width="12.19921875" customWidth="1"/>
    <col min="7" max="7" width="12.69921875" bestFit="1" customWidth="1"/>
    <col min="8" max="8" width="12.69921875" customWidth="1"/>
    <col min="9" max="9" width="12.5" customWidth="1"/>
    <col min="10" max="10" width="11.69921875" customWidth="1"/>
    <col min="11" max="11" width="12.69921875" bestFit="1" customWidth="1"/>
    <col min="12" max="12" width="13.19921875" customWidth="1"/>
    <col min="14" max="14" width="12.69921875" customWidth="1"/>
    <col min="15" max="15" width="14" customWidth="1"/>
    <col min="16" max="16" width="11.59765625" bestFit="1" customWidth="1"/>
  </cols>
  <sheetData>
    <row r="1" spans="1:21" ht="30" thickTop="1" thickBot="1">
      <c r="A1" s="264"/>
      <c r="B1" s="264"/>
      <c r="C1" s="264"/>
      <c r="D1" s="328" t="s">
        <v>2</v>
      </c>
      <c r="E1" s="329"/>
      <c r="F1" s="330"/>
      <c r="G1" s="178" t="s">
        <v>208</v>
      </c>
      <c r="H1" s="331" t="s">
        <v>4</v>
      </c>
      <c r="I1" s="332"/>
      <c r="J1" s="332"/>
      <c r="K1" s="179" t="s">
        <v>289</v>
      </c>
      <c r="L1" s="333" t="s">
        <v>220</v>
      </c>
      <c r="M1" s="334"/>
      <c r="N1" s="334"/>
      <c r="O1" s="334"/>
      <c r="P1" s="180" t="s">
        <v>266</v>
      </c>
    </row>
    <row r="2" spans="1:21" ht="111.6" thickTop="1" thickBot="1">
      <c r="A2" s="264"/>
      <c r="B2" s="264"/>
      <c r="C2" s="181" t="s">
        <v>263</v>
      </c>
      <c r="D2" s="267" t="s">
        <v>260</v>
      </c>
      <c r="E2" s="190" t="s">
        <v>332</v>
      </c>
      <c r="F2" s="268" t="s">
        <v>295</v>
      </c>
      <c r="G2" s="269" t="s">
        <v>296</v>
      </c>
      <c r="H2" s="270" t="s">
        <v>297</v>
      </c>
      <c r="I2" s="270" t="s">
        <v>298</v>
      </c>
      <c r="J2" s="271" t="s">
        <v>337</v>
      </c>
      <c r="K2" s="269" t="s">
        <v>299</v>
      </c>
      <c r="L2" s="270" t="s">
        <v>311</v>
      </c>
      <c r="M2" s="270" t="s">
        <v>312</v>
      </c>
      <c r="N2" s="271" t="s">
        <v>313</v>
      </c>
      <c r="O2" s="271" t="s">
        <v>314</v>
      </c>
      <c r="P2" s="272" t="s">
        <v>300</v>
      </c>
    </row>
    <row r="3" spans="1:21" ht="28.8" thickTop="1" thickBot="1">
      <c r="A3" s="264"/>
      <c r="B3" s="264"/>
      <c r="C3" s="181" t="s">
        <v>264</v>
      </c>
      <c r="D3" s="267" t="s">
        <v>333</v>
      </c>
      <c r="E3" s="189">
        <v>2012</v>
      </c>
      <c r="F3" s="267" t="s">
        <v>333</v>
      </c>
      <c r="G3" s="270">
        <v>2015</v>
      </c>
      <c r="H3" s="273" t="s">
        <v>334</v>
      </c>
      <c r="I3" s="273" t="s">
        <v>334</v>
      </c>
      <c r="J3" s="273" t="s">
        <v>334</v>
      </c>
      <c r="K3" s="274">
        <v>2018</v>
      </c>
      <c r="L3" s="273" t="s">
        <v>334</v>
      </c>
      <c r="M3" s="273" t="s">
        <v>334</v>
      </c>
      <c r="N3" s="273" t="s">
        <v>334</v>
      </c>
      <c r="O3" s="273" t="s">
        <v>334</v>
      </c>
      <c r="P3" s="276" t="s">
        <v>335</v>
      </c>
    </row>
    <row r="4" spans="1:21" ht="125.4" thickTop="1" thickBot="1">
      <c r="A4" s="264"/>
      <c r="B4" s="264"/>
      <c r="C4" s="181" t="s">
        <v>261</v>
      </c>
      <c r="D4" s="267" t="s">
        <v>265</v>
      </c>
      <c r="E4" s="188" t="s">
        <v>310</v>
      </c>
      <c r="F4" s="267" t="s">
        <v>265</v>
      </c>
      <c r="G4" s="274" t="s">
        <v>301</v>
      </c>
      <c r="H4" s="275" t="s">
        <v>302</v>
      </c>
      <c r="I4" s="275" t="s">
        <v>302</v>
      </c>
      <c r="J4" s="275" t="s">
        <v>302</v>
      </c>
      <c r="K4" s="274" t="s">
        <v>303</v>
      </c>
      <c r="L4" s="267" t="s">
        <v>315</v>
      </c>
      <c r="M4" s="267" t="s">
        <v>315</v>
      </c>
      <c r="N4" s="267" t="s">
        <v>315</v>
      </c>
      <c r="O4" s="267" t="s">
        <v>315</v>
      </c>
      <c r="P4" s="272" t="s">
        <v>267</v>
      </c>
    </row>
    <row r="5" spans="1:21" ht="44.4" thickTop="1" thickBot="1">
      <c r="A5" s="264"/>
      <c r="B5" s="264"/>
      <c r="C5" s="181" t="s">
        <v>262</v>
      </c>
      <c r="D5" s="183" t="s">
        <v>304</v>
      </c>
      <c r="E5" s="184" t="s">
        <v>212</v>
      </c>
      <c r="F5" s="184" t="s">
        <v>305</v>
      </c>
      <c r="G5" s="185" t="s">
        <v>210</v>
      </c>
      <c r="H5" s="183" t="s">
        <v>306</v>
      </c>
      <c r="I5" s="186" t="s">
        <v>307</v>
      </c>
      <c r="J5" s="187" t="s">
        <v>308</v>
      </c>
      <c r="K5" s="182" t="s">
        <v>309</v>
      </c>
      <c r="L5" s="183" t="s">
        <v>207</v>
      </c>
      <c r="M5" s="186" t="s">
        <v>209</v>
      </c>
      <c r="N5" s="187" t="s">
        <v>226</v>
      </c>
      <c r="O5" s="187" t="s">
        <v>227</v>
      </c>
      <c r="P5" s="180" t="s">
        <v>2</v>
      </c>
    </row>
    <row r="6" spans="1:21" ht="16.2" thickTop="1">
      <c r="A6" s="264"/>
      <c r="B6" s="277" t="s">
        <v>17</v>
      </c>
      <c r="C6" s="278" t="s">
        <v>18</v>
      </c>
      <c r="D6" s="279">
        <v>7.7237397290695092E-2</v>
      </c>
      <c r="E6" s="266">
        <v>79.53</v>
      </c>
      <c r="F6" s="280">
        <v>0.26652407532995981</v>
      </c>
      <c r="G6" s="281">
        <v>34675.847913459736</v>
      </c>
      <c r="H6" s="282">
        <v>8.2100000000000009</v>
      </c>
      <c r="I6" s="282">
        <v>10.76</v>
      </c>
      <c r="J6" s="280">
        <v>4.7497384726804537E-2</v>
      </c>
      <c r="K6" s="281">
        <v>124121.57</v>
      </c>
      <c r="L6" s="280">
        <v>3.4718569174118884E-2</v>
      </c>
      <c r="M6" s="283">
        <v>897</v>
      </c>
      <c r="N6" s="280">
        <v>2.8845844977674985E-2</v>
      </c>
      <c r="O6" s="280">
        <v>2.7632235528942117E-2</v>
      </c>
      <c r="P6" s="283">
        <v>22490</v>
      </c>
    </row>
    <row r="7" spans="1:21">
      <c r="A7" s="264"/>
      <c r="B7" s="284" t="s">
        <v>17</v>
      </c>
      <c r="C7" s="285" t="s">
        <v>19</v>
      </c>
      <c r="D7" s="279">
        <v>0.1636343266860856</v>
      </c>
      <c r="E7" s="266">
        <v>82.04</v>
      </c>
      <c r="F7" s="280">
        <v>0.35072716235120227</v>
      </c>
      <c r="G7" s="281">
        <v>25999.832743082243</v>
      </c>
      <c r="H7" s="282">
        <v>8.94</v>
      </c>
      <c r="I7" s="282">
        <v>11.99</v>
      </c>
      <c r="J7" s="280">
        <v>4.7497384726804537E-2</v>
      </c>
      <c r="K7" s="281">
        <v>86821.52</v>
      </c>
      <c r="L7" s="280">
        <v>3.4718569174118884E-2</v>
      </c>
      <c r="M7" s="283">
        <v>897</v>
      </c>
      <c r="N7" s="280">
        <v>2.8845844977674985E-2</v>
      </c>
      <c r="O7" s="280">
        <v>2.7632235528942117E-2</v>
      </c>
      <c r="P7" s="283">
        <v>44499</v>
      </c>
    </row>
    <row r="8" spans="1:21">
      <c r="A8" s="264"/>
      <c r="B8" s="284" t="s">
        <v>17</v>
      </c>
      <c r="C8" s="285" t="s">
        <v>20</v>
      </c>
      <c r="D8" s="279">
        <v>9.2678757952711036E-2</v>
      </c>
      <c r="E8" s="266">
        <v>80.94</v>
      </c>
      <c r="F8" s="280">
        <v>0.23501146663754505</v>
      </c>
      <c r="G8" s="281">
        <v>34952.679804656669</v>
      </c>
      <c r="H8" s="282">
        <v>6.88</v>
      </c>
      <c r="I8" s="282">
        <v>9.0399999999999991</v>
      </c>
      <c r="J8" s="280">
        <v>4.7497384726804537E-2</v>
      </c>
      <c r="K8" s="281">
        <v>147344.70000000001</v>
      </c>
      <c r="L8" s="280">
        <v>3.4718569174118884E-2</v>
      </c>
      <c r="M8" s="283">
        <v>897</v>
      </c>
      <c r="N8" s="280">
        <v>2.8845844977674985E-2</v>
      </c>
      <c r="O8" s="280">
        <v>2.7632235528942117E-2</v>
      </c>
      <c r="P8" s="283">
        <v>10445</v>
      </c>
    </row>
    <row r="9" spans="1:21">
      <c r="A9" s="264"/>
      <c r="B9" s="284" t="s">
        <v>17</v>
      </c>
      <c r="C9" s="285" t="s">
        <v>21</v>
      </c>
      <c r="D9" s="279">
        <v>9.6935697912896621E-2</v>
      </c>
      <c r="E9" s="266">
        <v>81.36</v>
      </c>
      <c r="F9" s="280">
        <v>0.21742532005689899</v>
      </c>
      <c r="G9" s="281">
        <v>40314.882263767009</v>
      </c>
      <c r="H9" s="282">
        <v>6.63</v>
      </c>
      <c r="I9" s="282">
        <v>9.39</v>
      </c>
      <c r="J9" s="280">
        <v>4.7497384726804537E-2</v>
      </c>
      <c r="K9" s="281">
        <v>158945.04</v>
      </c>
      <c r="L9" s="280">
        <v>3.4718569174118884E-2</v>
      </c>
      <c r="M9" s="283">
        <v>897</v>
      </c>
      <c r="N9" s="280">
        <v>2.8845844977674985E-2</v>
      </c>
      <c r="O9" s="280">
        <v>2.7632235528942117E-2</v>
      </c>
      <c r="P9" s="283">
        <v>16583</v>
      </c>
      <c r="T9" s="22"/>
      <c r="U9" s="22"/>
    </row>
    <row r="10" spans="1:21">
      <c r="A10" s="264"/>
      <c r="B10" s="284" t="s">
        <v>17</v>
      </c>
      <c r="C10" s="285" t="s">
        <v>22</v>
      </c>
      <c r="D10" s="279">
        <v>0.11230863837913066</v>
      </c>
      <c r="E10" s="266">
        <v>82.81</v>
      </c>
      <c r="F10" s="280">
        <v>0.26114939047474822</v>
      </c>
      <c r="G10" s="281">
        <v>30701.652039292203</v>
      </c>
      <c r="H10" s="282">
        <v>7.06</v>
      </c>
      <c r="I10" s="282">
        <v>9.92</v>
      </c>
      <c r="J10" s="280">
        <v>4.7497384726804537E-2</v>
      </c>
      <c r="K10" s="281">
        <v>106883.32</v>
      </c>
      <c r="L10" s="280">
        <v>3.4718569174118884E-2</v>
      </c>
      <c r="M10" s="283">
        <v>897</v>
      </c>
      <c r="N10" s="280">
        <v>2.8845844977674985E-2</v>
      </c>
      <c r="O10" s="280">
        <v>2.7632235528942117E-2</v>
      </c>
      <c r="P10" s="283">
        <v>30744</v>
      </c>
    </row>
    <row r="11" spans="1:21">
      <c r="A11" s="264"/>
      <c r="B11" s="284" t="s">
        <v>17</v>
      </c>
      <c r="C11" s="285" t="s">
        <v>23</v>
      </c>
      <c r="D11" s="279">
        <v>0.11790029162616303</v>
      </c>
      <c r="E11" s="266">
        <v>79.08</v>
      </c>
      <c r="F11" s="280">
        <v>0.26512226512226511</v>
      </c>
      <c r="G11" s="281">
        <v>30935.804311342592</v>
      </c>
      <c r="H11" s="282">
        <v>7.9</v>
      </c>
      <c r="I11" s="282">
        <v>11.45</v>
      </c>
      <c r="J11" s="280">
        <v>4.7497384726804537E-2</v>
      </c>
      <c r="K11" s="281">
        <v>171610.78</v>
      </c>
      <c r="L11" s="280">
        <v>3.4718569174118884E-2</v>
      </c>
      <c r="M11" s="283">
        <v>897</v>
      </c>
      <c r="N11" s="280">
        <v>2.8845844977674985E-2</v>
      </c>
      <c r="O11" s="280">
        <v>2.7632235528942117E-2</v>
      </c>
      <c r="P11" s="283">
        <v>7203</v>
      </c>
    </row>
    <row r="12" spans="1:21">
      <c r="A12" s="264"/>
      <c r="B12" s="284" t="s">
        <v>24</v>
      </c>
      <c r="C12" s="285" t="s">
        <v>25</v>
      </c>
      <c r="D12" s="279">
        <v>3.6753378229675601E-2</v>
      </c>
      <c r="E12" s="266">
        <v>83.7</v>
      </c>
      <c r="F12" s="280">
        <v>0.26624692033944702</v>
      </c>
      <c r="G12" s="281">
        <v>41950.812045864746</v>
      </c>
      <c r="H12" s="282">
        <v>6.83</v>
      </c>
      <c r="I12" s="282">
        <v>8.06</v>
      </c>
      <c r="J12" s="280">
        <v>3.9670622889987663E-2</v>
      </c>
      <c r="K12" s="281">
        <v>87446.56</v>
      </c>
      <c r="L12" s="280">
        <v>3.5244608100999476E-2</v>
      </c>
      <c r="M12" s="283">
        <v>266</v>
      </c>
      <c r="N12" s="280">
        <v>3.5238187016157531E-2</v>
      </c>
      <c r="O12" s="280">
        <v>3.9202844311377244E-2</v>
      </c>
      <c r="P12" s="283">
        <v>22710</v>
      </c>
    </row>
    <row r="13" spans="1:21">
      <c r="A13" s="264"/>
      <c r="B13" s="284" t="s">
        <v>24</v>
      </c>
      <c r="C13" s="285" t="s">
        <v>316</v>
      </c>
      <c r="D13" s="279">
        <v>3.7958150798617724E-2</v>
      </c>
      <c r="E13" s="266">
        <v>84.41</v>
      </c>
      <c r="F13" s="280">
        <v>0.26345045985917864</v>
      </c>
      <c r="G13" s="281">
        <v>44669.182438943455</v>
      </c>
      <c r="H13" s="282">
        <v>6.57</v>
      </c>
      <c r="I13" s="282">
        <v>7.67</v>
      </c>
      <c r="J13" s="280">
        <v>3.9670622889987663E-2</v>
      </c>
      <c r="K13" s="281">
        <v>83248.38</v>
      </c>
      <c r="L13" s="280">
        <v>3.5244608100999476E-2</v>
      </c>
      <c r="M13" s="283">
        <v>266</v>
      </c>
      <c r="N13" s="280">
        <v>3.5238187016157531E-2</v>
      </c>
      <c r="O13" s="280">
        <v>3.9202844311377244E-2</v>
      </c>
      <c r="P13" s="283">
        <v>36774</v>
      </c>
    </row>
    <row r="14" spans="1:21">
      <c r="A14" s="264"/>
      <c r="B14" s="284" t="s">
        <v>24</v>
      </c>
      <c r="C14" s="285" t="s">
        <v>317</v>
      </c>
      <c r="D14" s="279">
        <v>0.10040911157129148</v>
      </c>
      <c r="E14" s="266">
        <v>83.39</v>
      </c>
      <c r="F14" s="280">
        <v>0.39527626506761304</v>
      </c>
      <c r="G14" s="281">
        <v>31933.911996619991</v>
      </c>
      <c r="H14" s="282">
        <v>7.87</v>
      </c>
      <c r="I14" s="282">
        <v>9.81</v>
      </c>
      <c r="J14" s="280">
        <v>3.9670622889987663E-2</v>
      </c>
      <c r="K14" s="281">
        <v>79471.759999999995</v>
      </c>
      <c r="L14" s="280">
        <v>3.5244608100999476E-2</v>
      </c>
      <c r="M14" s="283">
        <v>266</v>
      </c>
      <c r="N14" s="280">
        <v>3.5238187016157531E-2</v>
      </c>
      <c r="O14" s="280">
        <v>3.9202844311377244E-2</v>
      </c>
      <c r="P14" s="283">
        <v>19883</v>
      </c>
    </row>
    <row r="15" spans="1:21">
      <c r="A15" s="264"/>
      <c r="B15" s="284" t="s">
        <v>24</v>
      </c>
      <c r="C15" s="285" t="s">
        <v>26</v>
      </c>
      <c r="D15" s="279">
        <v>3.9736131311032617E-2</v>
      </c>
      <c r="E15" s="266">
        <v>82.86</v>
      </c>
      <c r="F15" s="280">
        <v>0.17371601208459214</v>
      </c>
      <c r="G15" s="281">
        <v>48935.036576627012</v>
      </c>
      <c r="H15" s="282">
        <v>4.9400000000000004</v>
      </c>
      <c r="I15" s="282">
        <v>6.22</v>
      </c>
      <c r="J15" s="280">
        <v>3.9670622889987663E-2</v>
      </c>
      <c r="K15" s="281">
        <v>90178.67</v>
      </c>
      <c r="L15" s="280">
        <v>3.5244608100999476E-2</v>
      </c>
      <c r="M15" s="283">
        <v>266</v>
      </c>
      <c r="N15" s="280">
        <v>3.5238187016157531E-2</v>
      </c>
      <c r="O15" s="280">
        <v>3.9202844311377244E-2</v>
      </c>
      <c r="P15" s="283">
        <v>19561</v>
      </c>
    </row>
    <row r="16" spans="1:21">
      <c r="A16" s="264"/>
      <c r="B16" s="284" t="s">
        <v>24</v>
      </c>
      <c r="C16" s="285" t="s">
        <v>318</v>
      </c>
      <c r="D16" s="279">
        <v>7.5455902158482871E-2</v>
      </c>
      <c r="E16" s="266">
        <v>83.46</v>
      </c>
      <c r="F16" s="280">
        <v>0.28848581179000515</v>
      </c>
      <c r="G16" s="281">
        <v>39647.688652559234</v>
      </c>
      <c r="H16" s="282">
        <v>6.42</v>
      </c>
      <c r="I16" s="282">
        <v>7.8</v>
      </c>
      <c r="J16" s="280">
        <v>3.9670622889987663E-2</v>
      </c>
      <c r="K16" s="281">
        <v>83583.649999999994</v>
      </c>
      <c r="L16" s="280">
        <v>3.5244608100999476E-2</v>
      </c>
      <c r="M16" s="283">
        <v>266</v>
      </c>
      <c r="N16" s="280">
        <v>3.5238187016157531E-2</v>
      </c>
      <c r="O16" s="280">
        <v>3.9202844311377244E-2</v>
      </c>
      <c r="P16" s="283">
        <v>27616</v>
      </c>
    </row>
    <row r="17" spans="1:16">
      <c r="A17" s="264"/>
      <c r="B17" s="284" t="s">
        <v>24</v>
      </c>
      <c r="C17" s="285" t="s">
        <v>27</v>
      </c>
      <c r="D17" s="279">
        <v>9.7444461705763541E-2</v>
      </c>
      <c r="E17" s="266">
        <v>83.27</v>
      </c>
      <c r="F17" s="280">
        <v>0.32320647622592352</v>
      </c>
      <c r="G17" s="281">
        <v>33938.36905297661</v>
      </c>
      <c r="H17" s="282">
        <v>7.21</v>
      </c>
      <c r="I17" s="282">
        <v>9.23</v>
      </c>
      <c r="J17" s="280">
        <v>3.9670622889987663E-2</v>
      </c>
      <c r="K17" s="281">
        <v>81739.38</v>
      </c>
      <c r="L17" s="280">
        <v>3.5244608100999476E-2</v>
      </c>
      <c r="M17" s="283">
        <v>266</v>
      </c>
      <c r="N17" s="280">
        <v>3.5238187016157531E-2</v>
      </c>
      <c r="O17" s="280">
        <v>3.9202844311377244E-2</v>
      </c>
      <c r="P17" s="283">
        <v>25805</v>
      </c>
    </row>
    <row r="18" spans="1:16">
      <c r="A18" s="264"/>
      <c r="B18" s="284" t="s">
        <v>24</v>
      </c>
      <c r="C18" s="285" t="s">
        <v>28</v>
      </c>
      <c r="D18" s="279">
        <v>3.3476394849785408E-2</v>
      </c>
      <c r="E18" s="266">
        <v>78.849999999999994</v>
      </c>
      <c r="F18" s="280">
        <v>0.29036295369211512</v>
      </c>
      <c r="G18" s="281">
        <v>37939.284722891563</v>
      </c>
      <c r="H18" s="282">
        <v>7.96</v>
      </c>
      <c r="I18" s="282">
        <v>7.42</v>
      </c>
      <c r="J18" s="280">
        <v>3.9670622889987663E-2</v>
      </c>
      <c r="K18" s="281">
        <v>127649.25</v>
      </c>
      <c r="L18" s="280">
        <v>3.5244608100999476E-2</v>
      </c>
      <c r="M18" s="283">
        <v>266</v>
      </c>
      <c r="N18" s="280">
        <v>3.5238187016157531E-2</v>
      </c>
      <c r="O18" s="280">
        <v>3.9202844311377244E-2</v>
      </c>
      <c r="P18" s="283">
        <v>1165</v>
      </c>
    </row>
    <row r="19" spans="1:16">
      <c r="A19" s="264"/>
      <c r="B19" s="284" t="s">
        <v>29</v>
      </c>
      <c r="C19" s="285" t="s">
        <v>30</v>
      </c>
      <c r="D19" s="279">
        <v>5.0683015386446838E-2</v>
      </c>
      <c r="E19" s="266">
        <v>84.16</v>
      </c>
      <c r="F19" s="280">
        <v>0.25641398886422356</v>
      </c>
      <c r="G19" s="281">
        <v>41948.887029967016</v>
      </c>
      <c r="H19" s="282">
        <v>6.1</v>
      </c>
      <c r="I19" s="282">
        <v>7.59</v>
      </c>
      <c r="J19" s="280">
        <v>3.3098371565551614E-2</v>
      </c>
      <c r="K19" s="281">
        <v>95321.7</v>
      </c>
      <c r="L19" s="280">
        <v>2.0164825530422585E-2</v>
      </c>
      <c r="M19" s="283">
        <v>121</v>
      </c>
      <c r="N19" s="280">
        <v>1.6607240371334039E-2</v>
      </c>
      <c r="O19" s="280">
        <v>2.6166417165668664E-2</v>
      </c>
      <c r="P19" s="283">
        <v>33622</v>
      </c>
    </row>
    <row r="20" spans="1:16">
      <c r="A20" s="264"/>
      <c r="B20" s="284" t="s">
        <v>29</v>
      </c>
      <c r="C20" s="285" t="s">
        <v>31</v>
      </c>
      <c r="D20" s="279">
        <v>3.8593622240392478E-2</v>
      </c>
      <c r="E20" s="266">
        <v>82.52</v>
      </c>
      <c r="F20" s="280">
        <v>0.26134101983391667</v>
      </c>
      <c r="G20" s="281">
        <v>45842.92865148378</v>
      </c>
      <c r="H20" s="282">
        <v>6.73</v>
      </c>
      <c r="I20" s="282">
        <v>8.7799999999999994</v>
      </c>
      <c r="J20" s="280">
        <v>3.3098371565551614E-2</v>
      </c>
      <c r="K20" s="281">
        <v>89195.73</v>
      </c>
      <c r="L20" s="280">
        <v>2.0164825530422585E-2</v>
      </c>
      <c r="M20" s="283">
        <v>121</v>
      </c>
      <c r="N20" s="280">
        <v>1.6607240371334039E-2</v>
      </c>
      <c r="O20" s="280">
        <v>2.6166417165668664E-2</v>
      </c>
      <c r="P20" s="283">
        <v>18433</v>
      </c>
    </row>
    <row r="21" spans="1:16">
      <c r="A21" s="264"/>
      <c r="B21" s="284" t="s">
        <v>29</v>
      </c>
      <c r="C21" s="285" t="s">
        <v>319</v>
      </c>
      <c r="D21" s="279">
        <v>1.9838196058180567E-2</v>
      </c>
      <c r="E21" s="266">
        <v>85.36</v>
      </c>
      <c r="F21" s="280">
        <v>0.20516823687752356</v>
      </c>
      <c r="G21" s="281">
        <v>58249.144489218801</v>
      </c>
      <c r="H21" s="282">
        <v>5.21</v>
      </c>
      <c r="I21" s="282">
        <v>6.64</v>
      </c>
      <c r="J21" s="280">
        <v>3.3098371565551614E-2</v>
      </c>
      <c r="K21" s="281">
        <v>124451.81</v>
      </c>
      <c r="L21" s="280">
        <v>2.0164825530422585E-2</v>
      </c>
      <c r="M21" s="283">
        <v>121</v>
      </c>
      <c r="N21" s="280">
        <v>1.6607240371334039E-2</v>
      </c>
      <c r="O21" s="280">
        <v>2.6166417165668664E-2</v>
      </c>
      <c r="P21" s="283">
        <v>23279</v>
      </c>
    </row>
    <row r="22" spans="1:16">
      <c r="A22" s="264"/>
      <c r="B22" s="284" t="s">
        <v>29</v>
      </c>
      <c r="C22" s="285" t="s">
        <v>32</v>
      </c>
      <c r="D22" s="279">
        <v>5.2114381520119227E-2</v>
      </c>
      <c r="E22" s="266">
        <v>82.81</v>
      </c>
      <c r="F22" s="280">
        <v>0.23402168897092754</v>
      </c>
      <c r="G22" s="281">
        <v>45561.1376637797</v>
      </c>
      <c r="H22" s="282">
        <v>5.73</v>
      </c>
      <c r="I22" s="282">
        <v>7.45</v>
      </c>
      <c r="J22" s="280">
        <v>3.3098371565551614E-2</v>
      </c>
      <c r="K22" s="281">
        <v>160287.21</v>
      </c>
      <c r="L22" s="280">
        <v>2.0164825530422585E-2</v>
      </c>
      <c r="M22" s="283">
        <v>121</v>
      </c>
      <c r="N22" s="280">
        <v>1.6607240371334039E-2</v>
      </c>
      <c r="O22" s="280">
        <v>2.6166417165668664E-2</v>
      </c>
      <c r="P22" s="283">
        <v>21513</v>
      </c>
    </row>
    <row r="23" spans="1:16">
      <c r="A23" s="264"/>
      <c r="B23" s="284" t="s">
        <v>29</v>
      </c>
      <c r="C23" s="285" t="s">
        <v>320</v>
      </c>
      <c r="D23" s="279">
        <v>3.7173144876325087E-2</v>
      </c>
      <c r="E23" s="266">
        <v>84.89</v>
      </c>
      <c r="F23" s="280">
        <v>0.18841832324978391</v>
      </c>
      <c r="G23" s="281">
        <v>84955.30244799405</v>
      </c>
      <c r="H23" s="282">
        <v>4.1500000000000004</v>
      </c>
      <c r="I23" s="282">
        <v>5.03</v>
      </c>
      <c r="J23" s="280">
        <v>3.3098371565551614E-2</v>
      </c>
      <c r="K23" s="281">
        <v>329936.75</v>
      </c>
      <c r="L23" s="280">
        <v>2.0164825530422585E-2</v>
      </c>
      <c r="M23" s="283">
        <v>121</v>
      </c>
      <c r="N23" s="280">
        <v>1.6607240371334039E-2</v>
      </c>
      <c r="O23" s="280">
        <v>2.6166417165668664E-2</v>
      </c>
      <c r="P23" s="283">
        <v>7012</v>
      </c>
    </row>
    <row r="24" spans="1:16">
      <c r="A24" s="264"/>
      <c r="B24" s="284" t="s">
        <v>29</v>
      </c>
      <c r="C24" s="285" t="s">
        <v>33</v>
      </c>
      <c r="D24" s="279">
        <v>2.4672774869109949E-2</v>
      </c>
      <c r="E24" s="266">
        <v>83.81</v>
      </c>
      <c r="F24" s="280">
        <v>0.16060450819672131</v>
      </c>
      <c r="G24" s="281">
        <v>69100.160909916463</v>
      </c>
      <c r="H24" s="282">
        <v>4.8099999999999996</v>
      </c>
      <c r="I24" s="282">
        <v>5.71</v>
      </c>
      <c r="J24" s="280">
        <v>3.3098371565551614E-2</v>
      </c>
      <c r="K24" s="281">
        <v>205637.32</v>
      </c>
      <c r="L24" s="280">
        <v>2.0164825530422585E-2</v>
      </c>
      <c r="M24" s="283">
        <v>121</v>
      </c>
      <c r="N24" s="280">
        <v>1.6607240371334039E-2</v>
      </c>
      <c r="O24" s="280">
        <v>2.6166417165668664E-2</v>
      </c>
      <c r="P24" s="283">
        <v>15354</v>
      </c>
    </row>
    <row r="25" spans="1:16">
      <c r="A25" s="264"/>
      <c r="B25" s="284" t="s">
        <v>34</v>
      </c>
      <c r="C25" s="285" t="s">
        <v>35</v>
      </c>
      <c r="D25" s="279">
        <v>7.1337903021071333E-2</v>
      </c>
      <c r="E25" s="266">
        <v>84.12</v>
      </c>
      <c r="F25" s="280">
        <v>0.1456194795894008</v>
      </c>
      <c r="G25" s="281">
        <v>84705.717880827317</v>
      </c>
      <c r="H25" s="282">
        <v>3.89</v>
      </c>
      <c r="I25" s="282">
        <v>5</v>
      </c>
      <c r="J25" s="280">
        <v>2.9046305859304296E-2</v>
      </c>
      <c r="K25" s="281">
        <v>261448.85</v>
      </c>
      <c r="L25" s="280">
        <v>3.7816353965749019E-2</v>
      </c>
      <c r="M25" s="283">
        <v>111</v>
      </c>
      <c r="N25" s="280">
        <v>2.5119655648710288E-2</v>
      </c>
      <c r="O25" s="280">
        <v>2.8817365269461079E-2</v>
      </c>
      <c r="P25" s="283">
        <v>15718</v>
      </c>
    </row>
    <row r="26" spans="1:16">
      <c r="A26" s="264"/>
      <c r="B26" s="284" t="s">
        <v>34</v>
      </c>
      <c r="C26" s="285" t="s">
        <v>36</v>
      </c>
      <c r="D26" s="279">
        <v>6.7828671801107965E-2</v>
      </c>
      <c r="E26" s="266">
        <v>83.79</v>
      </c>
      <c r="F26" s="280">
        <v>0.20110341394615672</v>
      </c>
      <c r="G26" s="281">
        <v>48814.737832512321</v>
      </c>
      <c r="H26" s="282">
        <v>5.24</v>
      </c>
      <c r="I26" s="282">
        <v>7.17</v>
      </c>
      <c r="J26" s="280">
        <v>2.9046305859304296E-2</v>
      </c>
      <c r="K26" s="281">
        <v>157508.54</v>
      </c>
      <c r="L26" s="280">
        <v>3.7816353965749019E-2</v>
      </c>
      <c r="M26" s="283">
        <v>111</v>
      </c>
      <c r="N26" s="280">
        <v>2.5119655648710288E-2</v>
      </c>
      <c r="O26" s="280">
        <v>2.8817365269461079E-2</v>
      </c>
      <c r="P26" s="283">
        <v>29554</v>
      </c>
    </row>
    <row r="27" spans="1:16">
      <c r="A27" s="264"/>
      <c r="B27" s="284" t="s">
        <v>34</v>
      </c>
      <c r="C27" s="285" t="s">
        <v>37</v>
      </c>
      <c r="D27" s="279">
        <v>6.2081264761170291E-2</v>
      </c>
      <c r="E27" s="266">
        <v>83.93</v>
      </c>
      <c r="F27" s="280">
        <v>0.25728696264148732</v>
      </c>
      <c r="G27" s="281">
        <v>40503.559002474132</v>
      </c>
      <c r="H27" s="282">
        <v>6.05</v>
      </c>
      <c r="I27" s="282">
        <v>8.1300000000000008</v>
      </c>
      <c r="J27" s="280">
        <v>2.9046305859304296E-2</v>
      </c>
      <c r="K27" s="281">
        <v>109738.52</v>
      </c>
      <c r="L27" s="280">
        <v>3.7816353965749019E-2</v>
      </c>
      <c r="M27" s="283">
        <v>111</v>
      </c>
      <c r="N27" s="280">
        <v>2.5119655648710288E-2</v>
      </c>
      <c r="O27" s="280">
        <v>2.8817365269461079E-2</v>
      </c>
      <c r="P27" s="283">
        <v>20922</v>
      </c>
    </row>
    <row r="28" spans="1:16">
      <c r="A28" s="264"/>
      <c r="B28" s="284" t="s">
        <v>34</v>
      </c>
      <c r="C28" s="285" t="s">
        <v>38</v>
      </c>
      <c r="D28" s="279">
        <v>5.9914200538064427E-2</v>
      </c>
      <c r="E28" s="266">
        <v>84.93</v>
      </c>
      <c r="F28" s="280">
        <v>0.21778030461713396</v>
      </c>
      <c r="G28" s="281">
        <v>46340.874098849337</v>
      </c>
      <c r="H28" s="282">
        <v>5.85</v>
      </c>
      <c r="I28" s="282">
        <v>7.62</v>
      </c>
      <c r="J28" s="280">
        <v>2.9046305859304296E-2</v>
      </c>
      <c r="K28" s="281">
        <v>114996.92</v>
      </c>
      <c r="L28" s="280">
        <v>3.7816353965749019E-2</v>
      </c>
      <c r="M28" s="283">
        <v>111</v>
      </c>
      <c r="N28" s="280">
        <v>2.5119655648710288E-2</v>
      </c>
      <c r="O28" s="280">
        <v>2.8817365269461079E-2</v>
      </c>
      <c r="P28" s="283">
        <v>41477</v>
      </c>
    </row>
    <row r="29" spans="1:16">
      <c r="A29" s="264"/>
      <c r="B29" s="284" t="s">
        <v>34</v>
      </c>
      <c r="C29" s="285" t="s">
        <v>39</v>
      </c>
      <c r="D29" s="279">
        <v>7.3153273525481954E-2</v>
      </c>
      <c r="E29" s="266">
        <v>84.7</v>
      </c>
      <c r="F29" s="280">
        <v>0.19123316922711905</v>
      </c>
      <c r="G29" s="281">
        <v>47375.424529116586</v>
      </c>
      <c r="H29" s="282">
        <v>5.45</v>
      </c>
      <c r="I29" s="282">
        <v>7.35</v>
      </c>
      <c r="J29" s="280">
        <v>2.9046305859304296E-2</v>
      </c>
      <c r="K29" s="281">
        <v>152904.34</v>
      </c>
      <c r="L29" s="280">
        <v>3.7816353965749019E-2</v>
      </c>
      <c r="M29" s="283">
        <v>111</v>
      </c>
      <c r="N29" s="280">
        <v>2.5119655648710288E-2</v>
      </c>
      <c r="O29" s="280">
        <v>2.8817365269461079E-2</v>
      </c>
      <c r="P29" s="283">
        <v>20920</v>
      </c>
    </row>
    <row r="30" spans="1:16">
      <c r="A30" s="264"/>
      <c r="B30" s="284" t="s">
        <v>34</v>
      </c>
      <c r="C30" s="285" t="s">
        <v>40</v>
      </c>
      <c r="D30" s="279">
        <v>8.00188835123333E-2</v>
      </c>
      <c r="E30" s="266">
        <v>84.11</v>
      </c>
      <c r="F30" s="280">
        <v>0.16483271375464684</v>
      </c>
      <c r="G30" s="281">
        <v>82811.17901163717</v>
      </c>
      <c r="H30" s="282">
        <v>3.75</v>
      </c>
      <c r="I30" s="282">
        <v>5.68</v>
      </c>
      <c r="J30" s="280">
        <v>2.9046305859304296E-2</v>
      </c>
      <c r="K30" s="281">
        <v>261652.21</v>
      </c>
      <c r="L30" s="280">
        <v>3.7816353965749019E-2</v>
      </c>
      <c r="M30" s="283">
        <v>111</v>
      </c>
      <c r="N30" s="280">
        <v>2.5119655648710288E-2</v>
      </c>
      <c r="O30" s="280">
        <v>2.8817365269461079E-2</v>
      </c>
      <c r="P30" s="283">
        <v>16837</v>
      </c>
    </row>
    <row r="31" spans="1:16">
      <c r="A31" s="264"/>
      <c r="B31" s="284" t="s">
        <v>41</v>
      </c>
      <c r="C31" s="285" t="s">
        <v>42</v>
      </c>
      <c r="D31" s="279">
        <v>5.774278215223097E-2</v>
      </c>
      <c r="E31" s="266">
        <v>84.73</v>
      </c>
      <c r="F31" s="280">
        <v>0.1626400426796738</v>
      </c>
      <c r="G31" s="281">
        <v>103573.08265600556</v>
      </c>
      <c r="H31" s="282">
        <v>3.41</v>
      </c>
      <c r="I31" s="282">
        <v>4.37</v>
      </c>
      <c r="J31" s="280">
        <v>2.8481565612441029E-2</v>
      </c>
      <c r="K31" s="281">
        <v>315478.28000000003</v>
      </c>
      <c r="L31" s="280">
        <v>2.4314688175813899E-2</v>
      </c>
      <c r="M31" s="283">
        <v>147</v>
      </c>
      <c r="N31" s="280">
        <v>2.2742603835405224E-2</v>
      </c>
      <c r="O31" s="280">
        <v>2.9815369261477046E-2</v>
      </c>
      <c r="P31" s="283">
        <v>17211</v>
      </c>
    </row>
    <row r="32" spans="1:16">
      <c r="A32" s="264"/>
      <c r="B32" s="284" t="s">
        <v>41</v>
      </c>
      <c r="C32" s="285" t="s">
        <v>43</v>
      </c>
      <c r="D32" s="279">
        <v>6.1332895241224462E-2</v>
      </c>
      <c r="E32" s="266">
        <v>83.04</v>
      </c>
      <c r="F32" s="280">
        <v>0.22787395774034758</v>
      </c>
      <c r="G32" s="281">
        <v>43701.522001574493</v>
      </c>
      <c r="H32" s="282">
        <v>6.39</v>
      </c>
      <c r="I32" s="282">
        <v>8.5399999999999991</v>
      </c>
      <c r="J32" s="280">
        <v>2.8481565612441029E-2</v>
      </c>
      <c r="K32" s="281">
        <v>101729.75</v>
      </c>
      <c r="L32" s="280">
        <v>2.4314688175813899E-2</v>
      </c>
      <c r="M32" s="283">
        <v>147</v>
      </c>
      <c r="N32" s="280">
        <v>2.2742603835405224E-2</v>
      </c>
      <c r="O32" s="280">
        <v>2.9815369261477046E-2</v>
      </c>
      <c r="P32" s="283">
        <v>36601</v>
      </c>
    </row>
    <row r="33" spans="1:16">
      <c r="A33" s="264"/>
      <c r="B33" s="284" t="s">
        <v>41</v>
      </c>
      <c r="C33" s="285" t="s">
        <v>44</v>
      </c>
      <c r="D33" s="279">
        <v>7.1834261913777245E-2</v>
      </c>
      <c r="E33" s="266">
        <v>83.46</v>
      </c>
      <c r="F33" s="280">
        <v>0.24704697986577182</v>
      </c>
      <c r="G33" s="281">
        <v>43706.982619804076</v>
      </c>
      <c r="H33" s="282">
        <v>6.32</v>
      </c>
      <c r="I33" s="282">
        <v>7.98</v>
      </c>
      <c r="J33" s="280">
        <v>2.8481565612441029E-2</v>
      </c>
      <c r="K33" s="281">
        <v>114722.5</v>
      </c>
      <c r="L33" s="280">
        <v>2.4314688175813899E-2</v>
      </c>
      <c r="M33" s="283">
        <v>147</v>
      </c>
      <c r="N33" s="280">
        <v>2.2742603835405224E-2</v>
      </c>
      <c r="O33" s="280">
        <v>2.9815369261477046E-2</v>
      </c>
      <c r="P33" s="283">
        <v>18594</v>
      </c>
    </row>
    <row r="34" spans="1:16">
      <c r="A34" s="264"/>
      <c r="B34" s="284" t="s">
        <v>41</v>
      </c>
      <c r="C34" s="285" t="s">
        <v>45</v>
      </c>
      <c r="D34" s="279">
        <v>3.5189494151021579E-2</v>
      </c>
      <c r="E34" s="266">
        <v>84.24</v>
      </c>
      <c r="F34" s="280">
        <v>0.1715201051464246</v>
      </c>
      <c r="G34" s="281">
        <v>62635.35035399715</v>
      </c>
      <c r="H34" s="282">
        <v>4.88</v>
      </c>
      <c r="I34" s="282">
        <v>6.49</v>
      </c>
      <c r="J34" s="280">
        <v>2.8481565612441029E-2</v>
      </c>
      <c r="K34" s="281">
        <v>156270.15</v>
      </c>
      <c r="L34" s="280">
        <v>2.4314688175813899E-2</v>
      </c>
      <c r="M34" s="283">
        <v>147</v>
      </c>
      <c r="N34" s="280">
        <v>2.2742603835405224E-2</v>
      </c>
      <c r="O34" s="280">
        <v>2.9815369261477046E-2</v>
      </c>
      <c r="P34" s="283">
        <v>31610</v>
      </c>
    </row>
    <row r="35" spans="1:16">
      <c r="A35" s="264"/>
      <c r="B35" s="284" t="s">
        <v>41</v>
      </c>
      <c r="C35" s="285" t="s">
        <v>46</v>
      </c>
      <c r="D35" s="279">
        <v>4.8824297844546047E-2</v>
      </c>
      <c r="E35" s="266">
        <v>84.79</v>
      </c>
      <c r="F35" s="280">
        <v>0.14127166365972335</v>
      </c>
      <c r="G35" s="281">
        <v>80248.392025596288</v>
      </c>
      <c r="H35" s="282">
        <v>3.75</v>
      </c>
      <c r="I35" s="282">
        <v>5.22</v>
      </c>
      <c r="J35" s="280">
        <v>2.8481565612441029E-2</v>
      </c>
      <c r="K35" s="281">
        <v>201904.31</v>
      </c>
      <c r="L35" s="280">
        <v>2.4314688175813899E-2</v>
      </c>
      <c r="M35" s="283">
        <v>147</v>
      </c>
      <c r="N35" s="280">
        <v>2.2742603835405224E-2</v>
      </c>
      <c r="O35" s="280">
        <v>2.9815369261477046E-2</v>
      </c>
      <c r="P35" s="283">
        <v>24650</v>
      </c>
    </row>
    <row r="36" spans="1:16">
      <c r="A36" s="264"/>
      <c r="B36" s="284" t="s">
        <v>41</v>
      </c>
      <c r="C36" s="285" t="s">
        <v>47</v>
      </c>
      <c r="D36" s="279">
        <v>4.8070653784600799E-2</v>
      </c>
      <c r="E36" s="266">
        <v>85.1</v>
      </c>
      <c r="F36" s="280">
        <v>0.18239041407553466</v>
      </c>
      <c r="G36" s="281">
        <v>54869.965013558787</v>
      </c>
      <c r="H36" s="282">
        <v>5.09</v>
      </c>
      <c r="I36" s="282">
        <v>7.29</v>
      </c>
      <c r="J36" s="280">
        <v>2.8481565612441029E-2</v>
      </c>
      <c r="K36" s="281">
        <v>106610.94</v>
      </c>
      <c r="L36" s="280">
        <v>2.4314688175813899E-2</v>
      </c>
      <c r="M36" s="283">
        <v>147</v>
      </c>
      <c r="N36" s="280">
        <v>2.2742603835405224E-2</v>
      </c>
      <c r="O36" s="280">
        <v>2.9815369261477046E-2</v>
      </c>
      <c r="P36" s="283">
        <v>16881</v>
      </c>
    </row>
    <row r="37" spans="1:16">
      <c r="A37" s="264"/>
      <c r="B37" s="284" t="s">
        <v>48</v>
      </c>
      <c r="C37" s="285" t="s">
        <v>49</v>
      </c>
      <c r="D37" s="279">
        <v>0.1816695652173913</v>
      </c>
      <c r="E37" s="266">
        <v>83.1</v>
      </c>
      <c r="F37" s="280">
        <v>0.426491866532205</v>
      </c>
      <c r="G37" s="281">
        <v>31125.229902695948</v>
      </c>
      <c r="H37" s="282">
        <v>7.27</v>
      </c>
      <c r="I37" s="282">
        <v>9.52</v>
      </c>
      <c r="J37" s="280">
        <v>4.6933916378695373E-2</v>
      </c>
      <c r="K37" s="281">
        <v>78564.539999999994</v>
      </c>
      <c r="L37" s="280">
        <v>3.6296685954760655E-2</v>
      </c>
      <c r="M37" s="283">
        <v>873</v>
      </c>
      <c r="N37" s="280">
        <v>4.5967042497831741E-2</v>
      </c>
      <c r="O37" s="280">
        <v>4.6407185628742513E-2</v>
      </c>
      <c r="P37" s="283">
        <v>28967</v>
      </c>
    </row>
    <row r="38" spans="1:16">
      <c r="A38" s="264"/>
      <c r="B38" s="284" t="s">
        <v>48</v>
      </c>
      <c r="C38" s="285" t="s">
        <v>50</v>
      </c>
      <c r="D38" s="279">
        <v>0.10445495416593684</v>
      </c>
      <c r="E38" s="266">
        <v>83.5</v>
      </c>
      <c r="F38" s="280">
        <v>0.27366541688984108</v>
      </c>
      <c r="G38" s="281">
        <v>43306.023276175816</v>
      </c>
      <c r="H38" s="282">
        <v>6.14</v>
      </c>
      <c r="I38" s="282">
        <v>8.4</v>
      </c>
      <c r="J38" s="280">
        <v>4.6933916378695373E-2</v>
      </c>
      <c r="K38" s="281">
        <v>119218.39</v>
      </c>
      <c r="L38" s="280">
        <v>3.6296685954760655E-2</v>
      </c>
      <c r="M38" s="283">
        <v>873</v>
      </c>
      <c r="N38" s="280">
        <v>4.5967042497831741E-2</v>
      </c>
      <c r="O38" s="280">
        <v>4.6407185628742513E-2</v>
      </c>
      <c r="P38" s="283">
        <v>34367</v>
      </c>
    </row>
    <row r="39" spans="1:16">
      <c r="A39" s="264"/>
      <c r="B39" s="284" t="s">
        <v>48</v>
      </c>
      <c r="C39" s="285" t="s">
        <v>51</v>
      </c>
      <c r="D39" s="279">
        <v>0.10528900456710702</v>
      </c>
      <c r="E39" s="266">
        <v>84.44</v>
      </c>
      <c r="F39" s="280">
        <v>0.26245143058989756</v>
      </c>
      <c r="G39" s="281">
        <v>45025.326885959883</v>
      </c>
      <c r="H39" s="282">
        <v>6</v>
      </c>
      <c r="I39" s="282">
        <v>8.17</v>
      </c>
      <c r="J39" s="280">
        <v>4.6933916378695373E-2</v>
      </c>
      <c r="K39" s="281">
        <v>114667.38</v>
      </c>
      <c r="L39" s="280">
        <v>3.6296685954760655E-2</v>
      </c>
      <c r="M39" s="283">
        <v>873</v>
      </c>
      <c r="N39" s="280">
        <v>4.5967042497831741E-2</v>
      </c>
      <c r="O39" s="280">
        <v>4.6407185628742513E-2</v>
      </c>
      <c r="P39" s="283">
        <v>20454</v>
      </c>
    </row>
    <row r="40" spans="1:16">
      <c r="A40" s="264"/>
      <c r="B40" s="284" t="s">
        <v>48</v>
      </c>
      <c r="C40" s="285" t="s">
        <v>52</v>
      </c>
      <c r="D40" s="279">
        <v>0.10374202756344499</v>
      </c>
      <c r="E40" s="266">
        <v>82.6</v>
      </c>
      <c r="F40" s="280">
        <v>0.48410192806404329</v>
      </c>
      <c r="G40" s="281">
        <v>28746.703366257949</v>
      </c>
      <c r="H40" s="282">
        <v>10.69</v>
      </c>
      <c r="I40" s="282">
        <v>13.3</v>
      </c>
      <c r="J40" s="280">
        <v>4.6933916378695373E-2</v>
      </c>
      <c r="K40" s="281">
        <v>82364.88</v>
      </c>
      <c r="L40" s="280">
        <v>3.6296685954760655E-2</v>
      </c>
      <c r="M40" s="283">
        <v>873</v>
      </c>
      <c r="N40" s="280">
        <v>4.5967042497831741E-2</v>
      </c>
      <c r="O40" s="280">
        <v>4.6407185628742513E-2</v>
      </c>
      <c r="P40" s="283">
        <v>22623</v>
      </c>
    </row>
    <row r="41" spans="1:16">
      <c r="A41" s="264"/>
      <c r="B41" s="284" t="s">
        <v>48</v>
      </c>
      <c r="C41" s="285" t="s">
        <v>53</v>
      </c>
      <c r="D41" s="279">
        <v>0.16921512651050019</v>
      </c>
      <c r="E41" s="266">
        <v>83.03</v>
      </c>
      <c r="F41" s="280">
        <v>0.47916978496233098</v>
      </c>
      <c r="G41" s="281">
        <v>28242.052362314509</v>
      </c>
      <c r="H41" s="282">
        <v>7.93</v>
      </c>
      <c r="I41" s="282">
        <v>10.57</v>
      </c>
      <c r="J41" s="280">
        <v>4.6933916378695373E-2</v>
      </c>
      <c r="K41" s="281">
        <v>56778.23</v>
      </c>
      <c r="L41" s="280">
        <v>3.6296685954760655E-2</v>
      </c>
      <c r="M41" s="283">
        <v>873</v>
      </c>
      <c r="N41" s="280">
        <v>4.5967042497831741E-2</v>
      </c>
      <c r="O41" s="280">
        <v>4.6407185628742513E-2</v>
      </c>
      <c r="P41" s="283">
        <v>25740</v>
      </c>
    </row>
    <row r="42" spans="1:16">
      <c r="A42" s="264"/>
      <c r="B42" s="284" t="s">
        <v>48</v>
      </c>
      <c r="C42" s="285" t="s">
        <v>54</v>
      </c>
      <c r="D42" s="279">
        <v>0.18786573472041612</v>
      </c>
      <c r="E42" s="266">
        <v>82.77</v>
      </c>
      <c r="F42" s="280">
        <v>0.45024309506568738</v>
      </c>
      <c r="G42" s="281">
        <v>28945.525477272728</v>
      </c>
      <c r="H42" s="282">
        <v>7.36</v>
      </c>
      <c r="I42" s="282">
        <v>10.31</v>
      </c>
      <c r="J42" s="280">
        <v>4.6933916378695373E-2</v>
      </c>
      <c r="K42" s="281">
        <v>70355.899999999994</v>
      </c>
      <c r="L42" s="280">
        <v>3.6296685954760655E-2</v>
      </c>
      <c r="M42" s="283">
        <v>873</v>
      </c>
      <c r="N42" s="280">
        <v>4.5967042497831741E-2</v>
      </c>
      <c r="O42" s="280">
        <v>4.6407185628742513E-2</v>
      </c>
      <c r="P42" s="283">
        <v>24817</v>
      </c>
    </row>
    <row r="43" spans="1:16">
      <c r="A43" s="264"/>
      <c r="B43" s="284" t="s">
        <v>55</v>
      </c>
      <c r="C43" s="285" t="s">
        <v>56</v>
      </c>
      <c r="D43" s="279">
        <v>6.1457689932056823E-2</v>
      </c>
      <c r="E43" s="266">
        <v>83.84</v>
      </c>
      <c r="F43" s="280">
        <v>0.22174542723810545</v>
      </c>
      <c r="G43" s="281">
        <v>42607.636540203282</v>
      </c>
      <c r="H43" s="282">
        <v>6.15</v>
      </c>
      <c r="I43" s="282">
        <v>8.02</v>
      </c>
      <c r="J43" s="280">
        <v>3.0146559686627123E-2</v>
      </c>
      <c r="K43" s="281">
        <v>112274.14</v>
      </c>
      <c r="L43" s="280">
        <v>4.1440177684259748E-2</v>
      </c>
      <c r="M43" s="283">
        <v>154</v>
      </c>
      <c r="N43" s="280">
        <v>3.2379300375831165E-2</v>
      </c>
      <c r="O43" s="280">
        <v>3.2559880239520958E-2</v>
      </c>
      <c r="P43" s="283">
        <v>22809</v>
      </c>
    </row>
    <row r="44" spans="1:16">
      <c r="A44" s="264"/>
      <c r="B44" s="284" t="s">
        <v>55</v>
      </c>
      <c r="C44" s="285" t="s">
        <v>57</v>
      </c>
      <c r="D44" s="279">
        <v>5.7941236901582087E-2</v>
      </c>
      <c r="E44" s="266">
        <v>82.97</v>
      </c>
      <c r="F44" s="280">
        <v>0.24013868649816592</v>
      </c>
      <c r="G44" s="281">
        <v>42210.151776515151</v>
      </c>
      <c r="H44" s="282">
        <v>5.96</v>
      </c>
      <c r="I44" s="282">
        <v>8.14</v>
      </c>
      <c r="J44" s="280">
        <v>3.0146559686627123E-2</v>
      </c>
      <c r="K44" s="281">
        <v>120510.75</v>
      </c>
      <c r="L44" s="280">
        <v>4.1440177684259748E-2</v>
      </c>
      <c r="M44" s="283">
        <v>154</v>
      </c>
      <c r="N44" s="280">
        <v>3.2379300375831165E-2</v>
      </c>
      <c r="O44" s="280">
        <v>3.2559880239520958E-2</v>
      </c>
      <c r="P44" s="283">
        <v>24388</v>
      </c>
    </row>
    <row r="45" spans="1:16">
      <c r="A45" s="264"/>
      <c r="B45" s="284" t="s">
        <v>55</v>
      </c>
      <c r="C45" s="285" t="s">
        <v>58</v>
      </c>
      <c r="D45" s="279">
        <v>6.2553521184194438E-2</v>
      </c>
      <c r="E45" s="266">
        <v>83.5</v>
      </c>
      <c r="F45" s="280">
        <v>0.21946527229676402</v>
      </c>
      <c r="G45" s="281">
        <v>41126.219802584354</v>
      </c>
      <c r="H45" s="282">
        <v>5.89</v>
      </c>
      <c r="I45" s="282">
        <v>7.61</v>
      </c>
      <c r="J45" s="280">
        <v>3.0146559686627123E-2</v>
      </c>
      <c r="K45" s="281">
        <v>116258.33</v>
      </c>
      <c r="L45" s="280">
        <v>4.1440177684259748E-2</v>
      </c>
      <c r="M45" s="283">
        <v>154</v>
      </c>
      <c r="N45" s="280">
        <v>3.2379300375831165E-2</v>
      </c>
      <c r="O45" s="280">
        <v>3.2559880239520958E-2</v>
      </c>
      <c r="P45" s="283">
        <v>24486</v>
      </c>
    </row>
    <row r="46" spans="1:16">
      <c r="A46" s="264"/>
      <c r="B46" s="284" t="s">
        <v>55</v>
      </c>
      <c r="C46" s="285" t="s">
        <v>59</v>
      </c>
      <c r="D46" s="279">
        <v>6.8589322693065308E-2</v>
      </c>
      <c r="E46" s="266">
        <v>84.02</v>
      </c>
      <c r="F46" s="280">
        <v>0.19587173336699912</v>
      </c>
      <c r="G46" s="281">
        <v>68786.709213910755</v>
      </c>
      <c r="H46" s="282">
        <v>4.3899999999999997</v>
      </c>
      <c r="I46" s="282">
        <v>5.75</v>
      </c>
      <c r="J46" s="280">
        <v>3.0146559686627123E-2</v>
      </c>
      <c r="K46" s="281">
        <v>183975.01</v>
      </c>
      <c r="L46" s="280">
        <v>4.1440177684259748E-2</v>
      </c>
      <c r="M46" s="283">
        <v>154</v>
      </c>
      <c r="N46" s="280">
        <v>3.2379300375831165E-2</v>
      </c>
      <c r="O46" s="280">
        <v>3.2559880239520958E-2</v>
      </c>
      <c r="P46" s="283">
        <v>19770</v>
      </c>
    </row>
    <row r="47" spans="1:16">
      <c r="A47" s="264"/>
      <c r="B47" s="284" t="s">
        <v>55</v>
      </c>
      <c r="C47" s="285" t="s">
        <v>60</v>
      </c>
      <c r="D47" s="279">
        <v>5.9040999667270506E-2</v>
      </c>
      <c r="E47" s="266">
        <v>84.44</v>
      </c>
      <c r="F47" s="280">
        <v>0.21772220712150039</v>
      </c>
      <c r="G47" s="281">
        <v>47955.279166739681</v>
      </c>
      <c r="H47" s="282">
        <v>5.31</v>
      </c>
      <c r="I47" s="282">
        <v>7.18</v>
      </c>
      <c r="J47" s="280">
        <v>3.0146559686627123E-2</v>
      </c>
      <c r="K47" s="281">
        <v>121443.52</v>
      </c>
      <c r="L47" s="280">
        <v>4.1440177684259748E-2</v>
      </c>
      <c r="M47" s="283">
        <v>154</v>
      </c>
      <c r="N47" s="280">
        <v>3.2379300375831165E-2</v>
      </c>
      <c r="O47" s="280">
        <v>3.2559880239520958E-2</v>
      </c>
      <c r="P47" s="283">
        <v>27171</v>
      </c>
    </row>
    <row r="48" spans="1:16">
      <c r="A48" s="264"/>
      <c r="B48" s="284" t="s">
        <v>55</v>
      </c>
      <c r="C48" s="285" t="s">
        <v>61</v>
      </c>
      <c r="D48" s="279">
        <v>3.5967275266886166E-2</v>
      </c>
      <c r="E48" s="266">
        <v>84.33</v>
      </c>
      <c r="F48" s="280">
        <v>0.17160165667305433</v>
      </c>
      <c r="G48" s="281">
        <v>59458.575400225483</v>
      </c>
      <c r="H48" s="282">
        <v>4.63</v>
      </c>
      <c r="I48" s="282">
        <v>5.92</v>
      </c>
      <c r="J48" s="280">
        <v>3.0146559686627123E-2</v>
      </c>
      <c r="K48" s="281">
        <v>177760.6</v>
      </c>
      <c r="L48" s="280">
        <v>4.1440177684259748E-2</v>
      </c>
      <c r="M48" s="283">
        <v>154</v>
      </c>
      <c r="N48" s="280">
        <v>3.2379300375831165E-2</v>
      </c>
      <c r="O48" s="280">
        <v>3.2559880239520958E-2</v>
      </c>
      <c r="P48" s="283">
        <v>20211</v>
      </c>
    </row>
    <row r="49" spans="1:16">
      <c r="A49" s="264"/>
      <c r="B49" s="284" t="s">
        <v>62</v>
      </c>
      <c r="C49" s="285" t="s">
        <v>63</v>
      </c>
      <c r="D49" s="279">
        <v>2.1122685185185185E-2</v>
      </c>
      <c r="E49" s="266">
        <v>80.209999999999994</v>
      </c>
      <c r="F49" s="280">
        <v>0.48211122918880622</v>
      </c>
      <c r="G49" s="281">
        <v>39061.727086553321</v>
      </c>
      <c r="H49" s="282">
        <v>6.21</v>
      </c>
      <c r="I49" s="282">
        <v>8.1199999999999992</v>
      </c>
      <c r="J49" s="280">
        <v>3.6110834577733529E-2</v>
      </c>
      <c r="K49" s="281">
        <v>94498.3</v>
      </c>
      <c r="L49" s="280">
        <v>5.0324390671576361E-2</v>
      </c>
      <c r="M49" s="283">
        <v>475</v>
      </c>
      <c r="N49" s="280">
        <v>5.4736436349619354E-2</v>
      </c>
      <c r="O49" s="280">
        <v>5.4204091816367268E-2</v>
      </c>
      <c r="P49" s="283">
        <v>3483</v>
      </c>
    </row>
    <row r="50" spans="1:16">
      <c r="A50" s="264"/>
      <c r="B50" s="284" t="s">
        <v>62</v>
      </c>
      <c r="C50" s="285" t="s">
        <v>64</v>
      </c>
      <c r="D50" s="279">
        <v>4.5145330859616577E-2</v>
      </c>
      <c r="E50" s="266">
        <v>84.91</v>
      </c>
      <c r="F50" s="280">
        <v>0.16141396933560476</v>
      </c>
      <c r="G50" s="281">
        <v>98155.792942289496</v>
      </c>
      <c r="H50" s="282">
        <v>3.31</v>
      </c>
      <c r="I50" s="282">
        <v>4.76</v>
      </c>
      <c r="J50" s="280">
        <v>3.6110834577733529E-2</v>
      </c>
      <c r="K50" s="281">
        <v>172607.26</v>
      </c>
      <c r="L50" s="280">
        <v>5.0324390671576361E-2</v>
      </c>
      <c r="M50" s="283">
        <v>475</v>
      </c>
      <c r="N50" s="280">
        <v>5.4736436349619354E-2</v>
      </c>
      <c r="O50" s="280">
        <v>5.4204091816367268E-2</v>
      </c>
      <c r="P50" s="283">
        <v>3259</v>
      </c>
    </row>
    <row r="51" spans="1:16">
      <c r="A51" s="264"/>
      <c r="B51" s="284" t="s">
        <v>62</v>
      </c>
      <c r="C51" s="285" t="s">
        <v>65</v>
      </c>
      <c r="D51" s="279">
        <v>4.8995766909844189E-2</v>
      </c>
      <c r="E51" s="266">
        <v>83.13</v>
      </c>
      <c r="F51" s="280">
        <v>0.35507329363261569</v>
      </c>
      <c r="G51" s="281">
        <v>45508.058073087683</v>
      </c>
      <c r="H51" s="282">
        <v>6.82</v>
      </c>
      <c r="I51" s="282">
        <v>8.35</v>
      </c>
      <c r="J51" s="280">
        <v>3.6110834577733529E-2</v>
      </c>
      <c r="K51" s="281">
        <v>100133.82</v>
      </c>
      <c r="L51" s="280">
        <v>5.0324390671576361E-2</v>
      </c>
      <c r="M51" s="283">
        <v>475</v>
      </c>
      <c r="N51" s="280">
        <v>5.4736436349619354E-2</v>
      </c>
      <c r="O51" s="280">
        <v>5.4204091816367268E-2</v>
      </c>
      <c r="P51" s="283">
        <v>44657</v>
      </c>
    </row>
    <row r="52" spans="1:16">
      <c r="A52" s="264"/>
      <c r="B52" s="284" t="s">
        <v>62</v>
      </c>
      <c r="C52" s="285" t="s">
        <v>321</v>
      </c>
      <c r="D52" s="279">
        <v>7.6560940686423398E-2</v>
      </c>
      <c r="E52" s="266">
        <v>83.61</v>
      </c>
      <c r="F52" s="280">
        <v>0.44160679637107347</v>
      </c>
      <c r="G52" s="281">
        <v>33746.013818845568</v>
      </c>
      <c r="H52" s="282">
        <v>7.08</v>
      </c>
      <c r="I52" s="282">
        <v>9</v>
      </c>
      <c r="J52" s="280">
        <v>3.6110834577733529E-2</v>
      </c>
      <c r="K52" s="281">
        <v>75022.460000000006</v>
      </c>
      <c r="L52" s="280">
        <v>5.0324390671576361E-2</v>
      </c>
      <c r="M52" s="283">
        <v>475</v>
      </c>
      <c r="N52" s="280">
        <v>5.4736436349619354E-2</v>
      </c>
      <c r="O52" s="280">
        <v>5.4204091816367268E-2</v>
      </c>
      <c r="P52" s="283">
        <v>46429</v>
      </c>
    </row>
    <row r="53" spans="1:16">
      <c r="A53" s="264"/>
      <c r="B53" s="284" t="s">
        <v>62</v>
      </c>
      <c r="C53" s="285" t="s">
        <v>66</v>
      </c>
      <c r="D53" s="279">
        <v>2.8179853772607524E-2</v>
      </c>
      <c r="E53" s="266">
        <v>84.4</v>
      </c>
      <c r="F53" s="280">
        <v>0.2352898759734641</v>
      </c>
      <c r="G53" s="281">
        <v>58457.375286918461</v>
      </c>
      <c r="H53" s="282">
        <v>5.32</v>
      </c>
      <c r="I53" s="282">
        <v>6.62</v>
      </c>
      <c r="J53" s="280">
        <v>3.6110834577733529E-2</v>
      </c>
      <c r="K53" s="281">
        <v>96815.18</v>
      </c>
      <c r="L53" s="280">
        <v>5.0324390671576361E-2</v>
      </c>
      <c r="M53" s="283">
        <v>475</v>
      </c>
      <c r="N53" s="280">
        <v>5.4736436349619354E-2</v>
      </c>
      <c r="O53" s="280">
        <v>5.4204091816367268E-2</v>
      </c>
      <c r="P53" s="283">
        <v>33852</v>
      </c>
    </row>
    <row r="54" spans="1:16">
      <c r="A54" s="264"/>
      <c r="B54" s="284" t="s">
        <v>62</v>
      </c>
      <c r="C54" s="285" t="s">
        <v>67</v>
      </c>
      <c r="D54" s="279">
        <v>7.2536768860690007E-2</v>
      </c>
      <c r="E54" s="266">
        <v>82.22</v>
      </c>
      <c r="F54" s="280">
        <v>0.30510828625235403</v>
      </c>
      <c r="G54" s="281">
        <v>42537.250096005242</v>
      </c>
      <c r="H54" s="282">
        <v>6.6</v>
      </c>
      <c r="I54" s="282">
        <v>8.36</v>
      </c>
      <c r="J54" s="280">
        <v>3.6110834577733529E-2</v>
      </c>
      <c r="K54" s="281">
        <v>84332.83</v>
      </c>
      <c r="L54" s="280">
        <v>5.0324390671576361E-2</v>
      </c>
      <c r="M54" s="283">
        <v>475</v>
      </c>
      <c r="N54" s="280">
        <v>5.4736436349619354E-2</v>
      </c>
      <c r="O54" s="280">
        <v>5.4204091816367268E-2</v>
      </c>
      <c r="P54" s="283">
        <v>62796</v>
      </c>
    </row>
    <row r="55" spans="1:16">
      <c r="A55" s="264"/>
      <c r="B55" s="284" t="s">
        <v>62</v>
      </c>
      <c r="C55" s="285" t="s">
        <v>68</v>
      </c>
      <c r="D55" s="279">
        <v>2.0431717512009482E-2</v>
      </c>
      <c r="E55" s="266">
        <v>82.79</v>
      </c>
      <c r="F55" s="280">
        <v>0.15631551973163119</v>
      </c>
      <c r="G55" s="281">
        <v>78328.100556215562</v>
      </c>
      <c r="H55" s="282">
        <v>4.1399999999999997</v>
      </c>
      <c r="I55" s="282">
        <v>5.62</v>
      </c>
      <c r="J55" s="280">
        <v>3.6110834577733529E-2</v>
      </c>
      <c r="K55" s="281">
        <v>137514.56</v>
      </c>
      <c r="L55" s="280">
        <v>5.0324390671576361E-2</v>
      </c>
      <c r="M55" s="283">
        <v>475</v>
      </c>
      <c r="N55" s="280">
        <v>5.4736436349619354E-2</v>
      </c>
      <c r="O55" s="280">
        <v>5.4204091816367268E-2</v>
      </c>
      <c r="P55" s="283">
        <v>32715</v>
      </c>
    </row>
    <row r="56" spans="1:16">
      <c r="A56" s="264"/>
      <c r="B56" s="284" t="s">
        <v>62</v>
      </c>
      <c r="C56" s="285" t="s">
        <v>69</v>
      </c>
      <c r="D56" s="279">
        <v>2.1281337047353757E-2</v>
      </c>
      <c r="E56" s="266">
        <v>88.66</v>
      </c>
      <c r="F56" s="280">
        <v>0.15826750204304005</v>
      </c>
      <c r="G56" s="281">
        <v>57441.344233021082</v>
      </c>
      <c r="H56" s="282">
        <v>3.73</v>
      </c>
      <c r="I56" s="282">
        <v>5.3</v>
      </c>
      <c r="J56" s="280">
        <v>3.6110834577733529E-2</v>
      </c>
      <c r="K56" s="281">
        <v>81519.53</v>
      </c>
      <c r="L56" s="280">
        <v>5.0324390671576361E-2</v>
      </c>
      <c r="M56" s="283">
        <v>475</v>
      </c>
      <c r="N56" s="280">
        <v>5.4736436349619354E-2</v>
      </c>
      <c r="O56" s="280">
        <v>5.4204091816367268E-2</v>
      </c>
      <c r="P56" s="283">
        <v>18299</v>
      </c>
    </row>
    <row r="57" spans="1:16">
      <c r="A57" s="264"/>
      <c r="B57" s="284" t="s">
        <v>70</v>
      </c>
      <c r="C57" s="285" t="s">
        <v>71</v>
      </c>
      <c r="D57" s="279">
        <v>4.2713178294573641E-2</v>
      </c>
      <c r="E57" s="266">
        <v>82.74</v>
      </c>
      <c r="F57" s="280">
        <v>0.28358350750522515</v>
      </c>
      <c r="G57" s="281">
        <v>41436.083852990181</v>
      </c>
      <c r="H57" s="282">
        <v>7.57</v>
      </c>
      <c r="I57" s="282">
        <v>9.5299999999999994</v>
      </c>
      <c r="J57" s="280">
        <v>3.2221233886064016E-2</v>
      </c>
      <c r="K57" s="281">
        <v>98568.69</v>
      </c>
      <c r="L57" s="280">
        <v>2.4548483254427496E-2</v>
      </c>
      <c r="M57" s="283">
        <v>242</v>
      </c>
      <c r="N57" s="280">
        <v>2.4766310108894671E-2</v>
      </c>
      <c r="O57" s="280">
        <v>2.3858532934131736E-2</v>
      </c>
      <c r="P57" s="283">
        <v>12891</v>
      </c>
    </row>
    <row r="58" spans="1:16">
      <c r="A58" s="264"/>
      <c r="B58" s="284" t="s">
        <v>70</v>
      </c>
      <c r="C58" s="285" t="s">
        <v>72</v>
      </c>
      <c r="D58" s="279">
        <v>6.7189063021007009E-2</v>
      </c>
      <c r="E58" s="266">
        <v>82.88</v>
      </c>
      <c r="F58" s="280">
        <v>0.20794190829228659</v>
      </c>
      <c r="G58" s="281">
        <v>53460.643562335827</v>
      </c>
      <c r="H58" s="282">
        <v>5.81</v>
      </c>
      <c r="I58" s="282">
        <v>7.51</v>
      </c>
      <c r="J58" s="280">
        <v>3.2221233886064016E-2</v>
      </c>
      <c r="K58" s="281">
        <v>202053.54</v>
      </c>
      <c r="L58" s="280">
        <v>2.4548483254427496E-2</v>
      </c>
      <c r="M58" s="283">
        <v>242</v>
      </c>
      <c r="N58" s="280">
        <v>2.4766310108894671E-2</v>
      </c>
      <c r="O58" s="280">
        <v>2.3858532934131736E-2</v>
      </c>
      <c r="P58" s="283">
        <v>23963</v>
      </c>
    </row>
    <row r="59" spans="1:16">
      <c r="A59" s="264"/>
      <c r="B59" s="284" t="s">
        <v>70</v>
      </c>
      <c r="C59" s="285" t="s">
        <v>73</v>
      </c>
      <c r="D59" s="279">
        <v>6.3241597813257125E-2</v>
      </c>
      <c r="E59" s="266">
        <v>83.16</v>
      </c>
      <c r="F59" s="280">
        <v>0.18347450855042352</v>
      </c>
      <c r="G59" s="281">
        <v>67390.492096167014</v>
      </c>
      <c r="H59" s="282">
        <v>4.8600000000000003</v>
      </c>
      <c r="I59" s="282">
        <v>6.66</v>
      </c>
      <c r="J59" s="280">
        <v>3.2221233886064016E-2</v>
      </c>
      <c r="K59" s="281">
        <v>154344.74</v>
      </c>
      <c r="L59" s="280">
        <v>2.4548483254427496E-2</v>
      </c>
      <c r="M59" s="283">
        <v>242</v>
      </c>
      <c r="N59" s="280">
        <v>2.4766310108894671E-2</v>
      </c>
      <c r="O59" s="280">
        <v>2.3858532934131736E-2</v>
      </c>
      <c r="P59" s="283">
        <v>16123</v>
      </c>
    </row>
    <row r="60" spans="1:16">
      <c r="A60" s="264"/>
      <c r="B60" s="284" t="s">
        <v>70</v>
      </c>
      <c r="C60" s="285" t="s">
        <v>74</v>
      </c>
      <c r="D60" s="279">
        <v>7.7299612482153779E-2</v>
      </c>
      <c r="E60" s="266">
        <v>83.7</v>
      </c>
      <c r="F60" s="280">
        <v>0.40012051822838202</v>
      </c>
      <c r="G60" s="281">
        <v>34996.93079768688</v>
      </c>
      <c r="H60" s="282">
        <v>7.36</v>
      </c>
      <c r="I60" s="282">
        <v>8.85</v>
      </c>
      <c r="J60" s="280">
        <v>3.2221233886064016E-2</v>
      </c>
      <c r="K60" s="281">
        <v>81625.61</v>
      </c>
      <c r="L60" s="280">
        <v>2.4548483254427496E-2</v>
      </c>
      <c r="M60" s="283">
        <v>242</v>
      </c>
      <c r="N60" s="280">
        <v>2.4766310108894671E-2</v>
      </c>
      <c r="O60" s="280">
        <v>2.3858532934131736E-2</v>
      </c>
      <c r="P60" s="283">
        <v>29682</v>
      </c>
    </row>
    <row r="61" spans="1:16">
      <c r="A61" s="264"/>
      <c r="B61" s="284" t="s">
        <v>70</v>
      </c>
      <c r="C61" s="285" t="s">
        <v>75</v>
      </c>
      <c r="D61" s="279">
        <v>5.7926829268292686E-2</v>
      </c>
      <c r="E61" s="266">
        <v>81.2</v>
      </c>
      <c r="F61" s="280">
        <v>0.14602314700812608</v>
      </c>
      <c r="G61" s="281">
        <v>112320.74809387521</v>
      </c>
      <c r="H61" s="282">
        <v>3.4</v>
      </c>
      <c r="I61" s="282">
        <v>4.38</v>
      </c>
      <c r="J61" s="280">
        <v>3.2221233886064016E-2</v>
      </c>
      <c r="K61" s="281">
        <v>200754.89</v>
      </c>
      <c r="L61" s="280">
        <v>2.4548483254427496E-2</v>
      </c>
      <c r="M61" s="283">
        <v>242</v>
      </c>
      <c r="N61" s="280">
        <v>2.4766310108894671E-2</v>
      </c>
      <c r="O61" s="280">
        <v>2.3858532934131736E-2</v>
      </c>
      <c r="P61" s="283">
        <v>6667</v>
      </c>
    </row>
    <row r="62" spans="1:16">
      <c r="A62" s="264"/>
      <c r="B62" s="284" t="s">
        <v>70</v>
      </c>
      <c r="C62" s="285" t="s">
        <v>76</v>
      </c>
      <c r="D62" s="279">
        <v>4.6691176470588236E-2</v>
      </c>
      <c r="E62" s="266">
        <v>79.150000000000006</v>
      </c>
      <c r="F62" s="280">
        <v>0.16675324675324676</v>
      </c>
      <c r="G62" s="281">
        <v>101419.17171036206</v>
      </c>
      <c r="H62" s="282">
        <v>2.94</v>
      </c>
      <c r="I62" s="282">
        <v>3.7</v>
      </c>
      <c r="J62" s="280">
        <v>3.2221233886064016E-2</v>
      </c>
      <c r="K62" s="281">
        <v>386518.19</v>
      </c>
      <c r="L62" s="280">
        <v>2.4548483254427496E-2</v>
      </c>
      <c r="M62" s="283">
        <v>242</v>
      </c>
      <c r="N62" s="280">
        <v>2.4766310108894671E-2</v>
      </c>
      <c r="O62" s="280">
        <v>2.3858532934131736E-2</v>
      </c>
      <c r="P62" s="283">
        <v>2770</v>
      </c>
    </row>
    <row r="63" spans="1:16">
      <c r="A63" s="264"/>
      <c r="B63" s="284" t="s">
        <v>70</v>
      </c>
      <c r="C63" s="285" t="s">
        <v>77</v>
      </c>
      <c r="D63" s="279">
        <v>4.5816123604099736E-2</v>
      </c>
      <c r="E63" s="266">
        <v>81.98</v>
      </c>
      <c r="F63" s="280">
        <v>0.18678867600800686</v>
      </c>
      <c r="G63" s="281">
        <v>77060.755639745345</v>
      </c>
      <c r="H63" s="282">
        <v>3.93</v>
      </c>
      <c r="I63" s="282">
        <v>5.17</v>
      </c>
      <c r="J63" s="280">
        <v>3.2221233886064016E-2</v>
      </c>
      <c r="K63" s="281">
        <v>147611.65</v>
      </c>
      <c r="L63" s="280">
        <v>2.4548483254427496E-2</v>
      </c>
      <c r="M63" s="283">
        <v>242</v>
      </c>
      <c r="N63" s="280">
        <v>2.4766310108894671E-2</v>
      </c>
      <c r="O63" s="280">
        <v>2.3858532934131736E-2</v>
      </c>
      <c r="P63" s="283">
        <v>26625</v>
      </c>
    </row>
    <row r="64" spans="1:16">
      <c r="A64" s="264"/>
      <c r="B64" s="284" t="s">
        <v>78</v>
      </c>
      <c r="C64" s="285" t="s">
        <v>322</v>
      </c>
      <c r="D64" s="279">
        <v>0.10004653327128897</v>
      </c>
      <c r="E64" s="266">
        <v>82.44</v>
      </c>
      <c r="F64" s="280">
        <v>0.51445446067764999</v>
      </c>
      <c r="G64" s="281">
        <v>29540.957694128785</v>
      </c>
      <c r="H64" s="282">
        <v>11.07</v>
      </c>
      <c r="I64" s="282">
        <v>12.1</v>
      </c>
      <c r="J64" s="280">
        <v>5.4923401794240677E-2</v>
      </c>
      <c r="K64" s="281">
        <v>64231.31</v>
      </c>
      <c r="L64" s="280">
        <v>0.10567537553334502</v>
      </c>
      <c r="M64" s="283">
        <v>1230</v>
      </c>
      <c r="N64" s="280">
        <v>9.9868298480614182E-2</v>
      </c>
      <c r="O64" s="280">
        <v>8.3052644710578841E-2</v>
      </c>
      <c r="P64" s="283">
        <v>17403</v>
      </c>
    </row>
    <row r="65" spans="1:16">
      <c r="A65" s="264"/>
      <c r="B65" s="284" t="s">
        <v>78</v>
      </c>
      <c r="C65" s="285" t="s">
        <v>323</v>
      </c>
      <c r="D65" s="279">
        <v>0.13923714278812474</v>
      </c>
      <c r="E65" s="266">
        <v>83.16</v>
      </c>
      <c r="F65" s="280">
        <v>0.48511670203091845</v>
      </c>
      <c r="G65" s="281">
        <v>27913.633911254252</v>
      </c>
      <c r="H65" s="282">
        <v>9.61</v>
      </c>
      <c r="I65" s="282">
        <v>11.76</v>
      </c>
      <c r="J65" s="280">
        <v>5.4923401794240677E-2</v>
      </c>
      <c r="K65" s="281">
        <v>69655.86</v>
      </c>
      <c r="L65" s="280">
        <v>0.10567537553334502</v>
      </c>
      <c r="M65" s="283">
        <v>1230</v>
      </c>
      <c r="N65" s="280">
        <v>9.9868298480614182E-2</v>
      </c>
      <c r="O65" s="280">
        <v>8.3052644710578841E-2</v>
      </c>
      <c r="P65" s="283">
        <v>41617</v>
      </c>
    </row>
    <row r="66" spans="1:16">
      <c r="A66" s="264"/>
      <c r="B66" s="284" t="s">
        <v>78</v>
      </c>
      <c r="C66" s="285" t="s">
        <v>79</v>
      </c>
      <c r="D66" s="279">
        <v>0.1198996844003607</v>
      </c>
      <c r="E66" s="266">
        <v>84.02</v>
      </c>
      <c r="F66" s="280">
        <v>0.50749023013460703</v>
      </c>
      <c r="G66" s="281">
        <v>30075.705553614327</v>
      </c>
      <c r="H66" s="282">
        <v>9.6300000000000008</v>
      </c>
      <c r="I66" s="282">
        <v>11.24</v>
      </c>
      <c r="J66" s="280">
        <v>5.4923401794240677E-2</v>
      </c>
      <c r="K66" s="281">
        <v>63152.23</v>
      </c>
      <c r="L66" s="280">
        <v>0.10567537553334502</v>
      </c>
      <c r="M66" s="283">
        <v>1230</v>
      </c>
      <c r="N66" s="280">
        <v>9.9868298480614182E-2</v>
      </c>
      <c r="O66" s="280">
        <v>8.3052644710578841E-2</v>
      </c>
      <c r="P66" s="283">
        <v>35727</v>
      </c>
    </row>
    <row r="67" spans="1:16">
      <c r="A67" s="264"/>
      <c r="B67" s="284" t="s">
        <v>78</v>
      </c>
      <c r="C67" s="285" t="s">
        <v>80</v>
      </c>
      <c r="D67" s="279">
        <v>0.10428889798517306</v>
      </c>
      <c r="E67" s="266">
        <v>84.05</v>
      </c>
      <c r="F67" s="280">
        <v>0.51608198070162314</v>
      </c>
      <c r="G67" s="281">
        <v>31116.507119747333</v>
      </c>
      <c r="H67" s="282">
        <v>8.3800000000000008</v>
      </c>
      <c r="I67" s="282">
        <v>9.69</v>
      </c>
      <c r="J67" s="280">
        <v>5.4923401794240677E-2</v>
      </c>
      <c r="K67" s="281">
        <v>58979.22</v>
      </c>
      <c r="L67" s="280">
        <v>0.10567537553334502</v>
      </c>
      <c r="M67" s="283">
        <v>1230</v>
      </c>
      <c r="N67" s="280">
        <v>9.9868298480614182E-2</v>
      </c>
      <c r="O67" s="280">
        <v>8.3052644710578841E-2</v>
      </c>
      <c r="P67" s="283">
        <v>66210</v>
      </c>
    </row>
    <row r="68" spans="1:16">
      <c r="A68" s="264"/>
      <c r="B68" s="284" t="s">
        <v>78</v>
      </c>
      <c r="C68" s="285" t="s">
        <v>81</v>
      </c>
      <c r="D68" s="279">
        <v>0.11989674972343677</v>
      </c>
      <c r="E68" s="266">
        <v>82.55</v>
      </c>
      <c r="F68" s="280">
        <v>0.47814262023217247</v>
      </c>
      <c r="G68" s="281">
        <v>31913.206846745976</v>
      </c>
      <c r="H68" s="282">
        <v>7.33</v>
      </c>
      <c r="I68" s="282">
        <v>8.7200000000000006</v>
      </c>
      <c r="J68" s="280">
        <v>5.4923401794240677E-2</v>
      </c>
      <c r="K68" s="281">
        <v>63522.080000000002</v>
      </c>
      <c r="L68" s="280">
        <v>0.10567537553334502</v>
      </c>
      <c r="M68" s="283">
        <v>1230</v>
      </c>
      <c r="N68" s="280">
        <v>9.9868298480614182E-2</v>
      </c>
      <c r="O68" s="280">
        <v>8.3052644710578841E-2</v>
      </c>
      <c r="P68" s="283">
        <v>19138</v>
      </c>
    </row>
    <row r="69" spans="1:16">
      <c r="A69" s="264"/>
      <c r="B69" s="284" t="s">
        <v>78</v>
      </c>
      <c r="C69" s="285" t="s">
        <v>82</v>
      </c>
      <c r="D69" s="279">
        <v>3.7619215824796888E-2</v>
      </c>
      <c r="E69" s="266">
        <v>80.59</v>
      </c>
      <c r="F69" s="280">
        <v>0.30088719898605831</v>
      </c>
      <c r="G69" s="281">
        <v>35197.134509999996</v>
      </c>
      <c r="H69" s="282">
        <v>7.68</v>
      </c>
      <c r="I69" s="282">
        <v>9.81</v>
      </c>
      <c r="J69" s="280">
        <v>5.4923401794240677E-2</v>
      </c>
      <c r="K69" s="281">
        <v>60658.68</v>
      </c>
      <c r="L69" s="280">
        <v>0.10567537553334502</v>
      </c>
      <c r="M69" s="283">
        <v>1230</v>
      </c>
      <c r="N69" s="280">
        <v>9.9868298480614182E-2</v>
      </c>
      <c r="O69" s="280">
        <v>8.3052644710578841E-2</v>
      </c>
      <c r="P69" s="283">
        <v>5670</v>
      </c>
    </row>
    <row r="70" spans="1:16">
      <c r="A70" s="264"/>
      <c r="B70" s="284" t="s">
        <v>78</v>
      </c>
      <c r="C70" s="285" t="s">
        <v>83</v>
      </c>
      <c r="D70" s="279">
        <v>7.0055966498375796E-2</v>
      </c>
      <c r="E70" s="266">
        <v>83.19</v>
      </c>
      <c r="F70" s="280">
        <v>0.53803552259197818</v>
      </c>
      <c r="G70" s="281">
        <v>29910.454936174392</v>
      </c>
      <c r="H70" s="282">
        <v>8.41</v>
      </c>
      <c r="I70" s="282">
        <v>9.77</v>
      </c>
      <c r="J70" s="280">
        <v>5.4923401794240677E-2</v>
      </c>
      <c r="K70" s="281">
        <v>55535.46</v>
      </c>
      <c r="L70" s="280">
        <v>0.10567537553334502</v>
      </c>
      <c r="M70" s="283">
        <v>1230</v>
      </c>
      <c r="N70" s="280">
        <v>9.9868298480614182E-2</v>
      </c>
      <c r="O70" s="280">
        <v>8.3052644710578841E-2</v>
      </c>
      <c r="P70" s="283">
        <v>51570</v>
      </c>
    </row>
    <row r="71" spans="1:16">
      <c r="A71" s="264"/>
      <c r="B71" s="284" t="s">
        <v>84</v>
      </c>
      <c r="C71" s="285" t="s">
        <v>85</v>
      </c>
      <c r="D71" s="279">
        <v>0.1224829198130169</v>
      </c>
      <c r="E71" s="266">
        <v>83.3</v>
      </c>
      <c r="F71" s="280">
        <v>0.49764451587873415</v>
      </c>
      <c r="G71" s="281">
        <v>27579.227944311508</v>
      </c>
      <c r="H71" s="282">
        <v>9.36</v>
      </c>
      <c r="I71" s="282">
        <v>11.61</v>
      </c>
      <c r="J71" s="280">
        <v>6.2259957969999273E-2</v>
      </c>
      <c r="K71" s="281">
        <v>58639.77</v>
      </c>
      <c r="L71" s="280">
        <v>9.4044070372318669E-2</v>
      </c>
      <c r="M71" s="283">
        <v>1964</v>
      </c>
      <c r="N71" s="280">
        <v>0.10198837171950789</v>
      </c>
      <c r="O71" s="280">
        <v>9.4560878243512975E-2</v>
      </c>
      <c r="P71" s="283">
        <v>22420</v>
      </c>
    </row>
    <row r="72" spans="1:16">
      <c r="A72" s="264"/>
      <c r="B72" s="284" t="s">
        <v>84</v>
      </c>
      <c r="C72" s="285" t="s">
        <v>86</v>
      </c>
      <c r="D72" s="279">
        <v>0.1557921950018466</v>
      </c>
      <c r="E72" s="266">
        <v>82.66</v>
      </c>
      <c r="F72" s="280">
        <v>0.52564002497658446</v>
      </c>
      <c r="G72" s="281">
        <v>28031.479104203292</v>
      </c>
      <c r="H72" s="282">
        <v>8.6199999999999992</v>
      </c>
      <c r="I72" s="282">
        <v>10.41</v>
      </c>
      <c r="J72" s="280">
        <v>6.2259957969999273E-2</v>
      </c>
      <c r="K72" s="281">
        <v>54050.37</v>
      </c>
      <c r="L72" s="280">
        <v>9.4044070372318669E-2</v>
      </c>
      <c r="M72" s="283">
        <v>1964</v>
      </c>
      <c r="N72" s="280">
        <v>0.10198837171950789</v>
      </c>
      <c r="O72" s="280">
        <v>9.4560878243512975E-2</v>
      </c>
      <c r="P72" s="283">
        <v>32801</v>
      </c>
    </row>
    <row r="73" spans="1:16">
      <c r="A73" s="264"/>
      <c r="B73" s="284" t="s">
        <v>84</v>
      </c>
      <c r="C73" s="285" t="s">
        <v>87</v>
      </c>
      <c r="D73" s="279">
        <v>0.14065985371167714</v>
      </c>
      <c r="E73" s="266">
        <v>82.73</v>
      </c>
      <c r="F73" s="280">
        <v>0.56895682848983709</v>
      </c>
      <c r="G73" s="281">
        <v>26282.724397873222</v>
      </c>
      <c r="H73" s="282">
        <v>11.55</v>
      </c>
      <c r="I73" s="282">
        <v>13.81</v>
      </c>
      <c r="J73" s="280">
        <v>6.2259957969999273E-2</v>
      </c>
      <c r="K73" s="281">
        <v>50492.959999999999</v>
      </c>
      <c r="L73" s="280">
        <v>9.4044070372318669E-2</v>
      </c>
      <c r="M73" s="283">
        <v>1964</v>
      </c>
      <c r="N73" s="280">
        <v>0.10198837171950789</v>
      </c>
      <c r="O73" s="280">
        <v>9.4560878243512975E-2</v>
      </c>
      <c r="P73" s="283">
        <v>38785</v>
      </c>
    </row>
    <row r="74" spans="1:16">
      <c r="A74" s="264"/>
      <c r="B74" s="284" t="s">
        <v>84</v>
      </c>
      <c r="C74" s="285" t="s">
        <v>88</v>
      </c>
      <c r="D74" s="279">
        <v>0.16321542836829006</v>
      </c>
      <c r="E74" s="266">
        <v>83.15</v>
      </c>
      <c r="F74" s="280">
        <v>0.56642587053445459</v>
      </c>
      <c r="G74" s="281">
        <v>27788.213282112843</v>
      </c>
      <c r="H74" s="282">
        <v>9.2899999999999991</v>
      </c>
      <c r="I74" s="282">
        <v>11.02</v>
      </c>
      <c r="J74" s="280">
        <v>6.2259957969999273E-2</v>
      </c>
      <c r="K74" s="281">
        <v>53480.84</v>
      </c>
      <c r="L74" s="280">
        <v>9.4044070372318669E-2</v>
      </c>
      <c r="M74" s="283">
        <v>1964</v>
      </c>
      <c r="N74" s="280">
        <v>0.10198837171950789</v>
      </c>
      <c r="O74" s="280">
        <v>9.4560878243512975E-2</v>
      </c>
      <c r="P74" s="283">
        <v>45491</v>
      </c>
    </row>
    <row r="75" spans="1:16">
      <c r="A75" s="264"/>
      <c r="B75" s="284" t="s">
        <v>84</v>
      </c>
      <c r="C75" s="285" t="s">
        <v>89</v>
      </c>
      <c r="D75" s="279">
        <v>0.15898977396634545</v>
      </c>
      <c r="E75" s="266">
        <v>82.06</v>
      </c>
      <c r="F75" s="280">
        <v>0.60070408761979266</v>
      </c>
      <c r="G75" s="281">
        <v>25725.18725548061</v>
      </c>
      <c r="H75" s="282">
        <v>10.58</v>
      </c>
      <c r="I75" s="282">
        <v>12.1</v>
      </c>
      <c r="J75" s="280">
        <v>6.2259957969999273E-2</v>
      </c>
      <c r="K75" s="281">
        <v>50230.98</v>
      </c>
      <c r="L75" s="280">
        <v>9.4044070372318669E-2</v>
      </c>
      <c r="M75" s="283">
        <v>1964</v>
      </c>
      <c r="N75" s="280">
        <v>0.10198837171950789</v>
      </c>
      <c r="O75" s="280">
        <v>9.4560878243512975E-2</v>
      </c>
      <c r="P75" s="283">
        <v>34516</v>
      </c>
    </row>
    <row r="76" spans="1:16">
      <c r="A76" s="264"/>
      <c r="B76" s="284" t="s">
        <v>84</v>
      </c>
      <c r="C76" s="285" t="s">
        <v>90</v>
      </c>
      <c r="D76" s="279">
        <v>7.9777566210836065E-2</v>
      </c>
      <c r="E76" s="266">
        <v>82.8</v>
      </c>
      <c r="F76" s="280">
        <v>0.45254247646986923</v>
      </c>
      <c r="G76" s="281">
        <v>31280.562009904053</v>
      </c>
      <c r="H76" s="282">
        <v>8.25</v>
      </c>
      <c r="I76" s="282">
        <v>9.2200000000000006</v>
      </c>
      <c r="J76" s="280">
        <v>6.2259957969999273E-2</v>
      </c>
      <c r="K76" s="281">
        <v>53572.15</v>
      </c>
      <c r="L76" s="280">
        <v>9.4044070372318669E-2</v>
      </c>
      <c r="M76" s="283">
        <v>1964</v>
      </c>
      <c r="N76" s="280">
        <v>0.10198837171950789</v>
      </c>
      <c r="O76" s="280">
        <v>9.4560878243512975E-2</v>
      </c>
      <c r="P76" s="283">
        <v>46709</v>
      </c>
    </row>
    <row r="77" spans="1:16">
      <c r="A77" s="264"/>
      <c r="B77" s="284" t="s">
        <v>84</v>
      </c>
      <c r="C77" s="285" t="s">
        <v>91</v>
      </c>
      <c r="D77" s="279">
        <v>0.13873492559373846</v>
      </c>
      <c r="E77" s="266">
        <v>82.56</v>
      </c>
      <c r="F77" s="280">
        <v>0.56429344883595023</v>
      </c>
      <c r="G77" s="281">
        <v>27997.611786321559</v>
      </c>
      <c r="H77" s="282">
        <v>9.7200000000000006</v>
      </c>
      <c r="I77" s="282">
        <v>11.16</v>
      </c>
      <c r="J77" s="280">
        <v>6.2259957969999273E-2</v>
      </c>
      <c r="K77" s="281">
        <v>51026.14</v>
      </c>
      <c r="L77" s="280">
        <v>9.4044070372318669E-2</v>
      </c>
      <c r="M77" s="283">
        <v>1964</v>
      </c>
      <c r="N77" s="280">
        <v>0.10198837171950789</v>
      </c>
      <c r="O77" s="280">
        <v>9.4560878243512975E-2</v>
      </c>
      <c r="P77" s="283">
        <v>30362</v>
      </c>
    </row>
    <row r="78" spans="1:16">
      <c r="A78" s="264"/>
      <c r="B78" s="284" t="s">
        <v>92</v>
      </c>
      <c r="C78" s="285" t="s">
        <v>93</v>
      </c>
      <c r="D78" s="279">
        <v>5.0454444690755933E-2</v>
      </c>
      <c r="E78" s="266">
        <v>81.31</v>
      </c>
      <c r="F78" s="280">
        <v>0.62287499249113953</v>
      </c>
      <c r="G78" s="281">
        <v>26857.942552704491</v>
      </c>
      <c r="H78" s="282">
        <v>10.62</v>
      </c>
      <c r="I78" s="282">
        <v>11.82</v>
      </c>
      <c r="J78" s="280">
        <v>6.6126522508987498E-2</v>
      </c>
      <c r="K78" s="281">
        <v>53708.18</v>
      </c>
      <c r="L78" s="280">
        <v>5.7688935647904609E-2</v>
      </c>
      <c r="M78" s="283">
        <v>1540</v>
      </c>
      <c r="N78" s="280">
        <v>6.7392631139378753E-2</v>
      </c>
      <c r="O78" s="280">
        <v>6.4433632734530941E-2</v>
      </c>
      <c r="P78" s="283">
        <v>22782</v>
      </c>
    </row>
    <row r="79" spans="1:16">
      <c r="A79" s="264"/>
      <c r="B79" s="284" t="s">
        <v>92</v>
      </c>
      <c r="C79" s="285" t="s">
        <v>94</v>
      </c>
      <c r="D79" s="279">
        <v>0.1080165045682287</v>
      </c>
      <c r="E79" s="266">
        <v>80.58</v>
      </c>
      <c r="F79" s="280">
        <v>0.66266041963740074</v>
      </c>
      <c r="G79" s="281">
        <v>24995.869450088339</v>
      </c>
      <c r="H79" s="282">
        <v>13.14</v>
      </c>
      <c r="I79" s="282">
        <v>14.04</v>
      </c>
      <c r="J79" s="280">
        <v>6.6126522508987498E-2</v>
      </c>
      <c r="K79" s="281">
        <v>53439.81</v>
      </c>
      <c r="L79" s="280">
        <v>5.7688935647904609E-2</v>
      </c>
      <c r="M79" s="283">
        <v>1540</v>
      </c>
      <c r="N79" s="280">
        <v>6.7392631139378753E-2</v>
      </c>
      <c r="O79" s="280">
        <v>6.4433632734530941E-2</v>
      </c>
      <c r="P79" s="283">
        <v>13755</v>
      </c>
    </row>
    <row r="80" spans="1:16">
      <c r="A80" s="264"/>
      <c r="B80" s="284" t="s">
        <v>92</v>
      </c>
      <c r="C80" s="285" t="s">
        <v>95</v>
      </c>
      <c r="D80" s="279">
        <v>0.13964410358050755</v>
      </c>
      <c r="E80" s="266">
        <v>82.12</v>
      </c>
      <c r="F80" s="280">
        <v>0.59479463689862277</v>
      </c>
      <c r="G80" s="281">
        <v>25440.247753376243</v>
      </c>
      <c r="H80" s="282">
        <v>10.86</v>
      </c>
      <c r="I80" s="282">
        <v>12.18</v>
      </c>
      <c r="J80" s="280">
        <v>6.6126522508987498E-2</v>
      </c>
      <c r="K80" s="281">
        <v>50304.3</v>
      </c>
      <c r="L80" s="280">
        <v>5.7688935647904609E-2</v>
      </c>
      <c r="M80" s="283">
        <v>1540</v>
      </c>
      <c r="N80" s="280">
        <v>6.7392631139378753E-2</v>
      </c>
      <c r="O80" s="280">
        <v>6.4433632734530941E-2</v>
      </c>
      <c r="P80" s="283">
        <v>23564</v>
      </c>
    </row>
    <row r="81" spans="1:16">
      <c r="A81" s="264"/>
      <c r="B81" s="284" t="s">
        <v>92</v>
      </c>
      <c r="C81" s="285" t="s">
        <v>96</v>
      </c>
      <c r="D81" s="279">
        <v>0.23334604021728772</v>
      </c>
      <c r="E81" s="266">
        <v>83.41</v>
      </c>
      <c r="F81" s="280">
        <v>0.61355717453278424</v>
      </c>
      <c r="G81" s="281">
        <v>25506.248844310558</v>
      </c>
      <c r="H81" s="282">
        <v>9.6</v>
      </c>
      <c r="I81" s="282">
        <v>11.08</v>
      </c>
      <c r="J81" s="280">
        <v>6.6126522508987498E-2</v>
      </c>
      <c r="K81" s="281">
        <v>54512.7</v>
      </c>
      <c r="L81" s="280">
        <v>5.7688935647904609E-2</v>
      </c>
      <c r="M81" s="283">
        <v>1540</v>
      </c>
      <c r="N81" s="280">
        <v>6.7392631139378753E-2</v>
      </c>
      <c r="O81" s="280">
        <v>6.4433632734530941E-2</v>
      </c>
      <c r="P81" s="283">
        <v>21239</v>
      </c>
    </row>
    <row r="82" spans="1:16">
      <c r="A82" s="264"/>
      <c r="B82" s="284" t="s">
        <v>92</v>
      </c>
      <c r="C82" s="285" t="s">
        <v>97</v>
      </c>
      <c r="D82" s="279">
        <v>0.22245976832776179</v>
      </c>
      <c r="E82" s="266">
        <v>82.16</v>
      </c>
      <c r="F82" s="280">
        <v>0.58201955697465579</v>
      </c>
      <c r="G82" s="281">
        <v>26358.159693388694</v>
      </c>
      <c r="H82" s="282">
        <v>8.84</v>
      </c>
      <c r="I82" s="282">
        <v>11.02</v>
      </c>
      <c r="J82" s="280">
        <v>6.6126522508987498E-2</v>
      </c>
      <c r="K82" s="281">
        <v>51943.63</v>
      </c>
      <c r="L82" s="280">
        <v>5.7688935647904609E-2</v>
      </c>
      <c r="M82" s="283">
        <v>1540</v>
      </c>
      <c r="N82" s="280">
        <v>6.7392631139378753E-2</v>
      </c>
      <c r="O82" s="280">
        <v>6.4433632734530941E-2</v>
      </c>
      <c r="P82" s="283">
        <v>26062</v>
      </c>
    </row>
    <row r="83" spans="1:16">
      <c r="A83" s="264"/>
      <c r="B83" s="284" t="s">
        <v>92</v>
      </c>
      <c r="C83" s="285" t="s">
        <v>324</v>
      </c>
      <c r="D83" s="279">
        <v>0.1794553551872673</v>
      </c>
      <c r="E83" s="266">
        <v>84.25</v>
      </c>
      <c r="F83" s="280">
        <v>0.63773985150901558</v>
      </c>
      <c r="G83" s="281">
        <v>25498.384207889791</v>
      </c>
      <c r="H83" s="282">
        <v>9.24</v>
      </c>
      <c r="I83" s="282">
        <v>11.17</v>
      </c>
      <c r="J83" s="280">
        <v>6.6126522508987498E-2</v>
      </c>
      <c r="K83" s="281">
        <v>42213.74</v>
      </c>
      <c r="L83" s="280">
        <v>5.7688935647904609E-2</v>
      </c>
      <c r="M83" s="283">
        <v>1540</v>
      </c>
      <c r="N83" s="280">
        <v>6.7392631139378753E-2</v>
      </c>
      <c r="O83" s="280">
        <v>6.4433632734530941E-2</v>
      </c>
      <c r="P83" s="283">
        <v>13853</v>
      </c>
    </row>
    <row r="84" spans="1:16">
      <c r="A84" s="264"/>
      <c r="B84" s="284" t="s">
        <v>92</v>
      </c>
      <c r="C84" s="285" t="s">
        <v>98</v>
      </c>
      <c r="D84" s="279">
        <v>0.29188185458132648</v>
      </c>
      <c r="E84" s="266">
        <v>82.73</v>
      </c>
      <c r="F84" s="280">
        <v>0.69765660897534076</v>
      </c>
      <c r="G84" s="281">
        <v>23173.869977272727</v>
      </c>
      <c r="H84" s="282">
        <v>9.48</v>
      </c>
      <c r="I84" s="282">
        <v>11.76</v>
      </c>
      <c r="J84" s="280">
        <v>6.6126522508987498E-2</v>
      </c>
      <c r="K84" s="281">
        <v>44169.38</v>
      </c>
      <c r="L84" s="280">
        <v>5.7688935647904609E-2</v>
      </c>
      <c r="M84" s="283">
        <v>1540</v>
      </c>
      <c r="N84" s="280">
        <v>6.7392631139378753E-2</v>
      </c>
      <c r="O84" s="280">
        <v>6.4433632734530941E-2</v>
      </c>
      <c r="P84" s="283">
        <v>17374</v>
      </c>
    </row>
    <row r="85" spans="1:16">
      <c r="A85" s="264"/>
      <c r="B85" s="284" t="s">
        <v>99</v>
      </c>
      <c r="C85" s="285" t="s">
        <v>100</v>
      </c>
      <c r="D85" s="279">
        <v>0.102571647148826</v>
      </c>
      <c r="E85" s="266">
        <v>80.02</v>
      </c>
      <c r="F85" s="280">
        <v>0.72871595330739303</v>
      </c>
      <c r="G85" s="281">
        <v>22055.090994895891</v>
      </c>
      <c r="H85" s="282">
        <v>13.56</v>
      </c>
      <c r="I85" s="282">
        <v>14.68</v>
      </c>
      <c r="J85" s="280">
        <v>7.7258347536776961E-2</v>
      </c>
      <c r="K85" s="281">
        <v>43010.62</v>
      </c>
      <c r="L85" s="280">
        <v>0.10281138582032848</v>
      </c>
      <c r="M85" s="283">
        <v>3327</v>
      </c>
      <c r="N85" s="280">
        <v>0.11904532459606181</v>
      </c>
      <c r="O85" s="280">
        <v>0.1156125249500998</v>
      </c>
      <c r="P85" s="283">
        <v>34483</v>
      </c>
    </row>
    <row r="86" spans="1:16">
      <c r="A86" s="264"/>
      <c r="B86" s="284" t="s">
        <v>99</v>
      </c>
      <c r="C86" s="285" t="s">
        <v>101</v>
      </c>
      <c r="D86" s="279">
        <v>0.22000645690019124</v>
      </c>
      <c r="E86" s="266">
        <v>82.14</v>
      </c>
      <c r="F86" s="280">
        <v>0.63150608168243394</v>
      </c>
      <c r="G86" s="281">
        <v>21224.791361267176</v>
      </c>
      <c r="H86" s="282">
        <v>11.16</v>
      </c>
      <c r="I86" s="282">
        <v>14.13</v>
      </c>
      <c r="J86" s="280">
        <v>7.7258347536776961E-2</v>
      </c>
      <c r="K86" s="281">
        <v>45412.27</v>
      </c>
      <c r="L86" s="280">
        <v>0.10281138582032848</v>
      </c>
      <c r="M86" s="283">
        <v>3327</v>
      </c>
      <c r="N86" s="280">
        <v>0.11904532459606181</v>
      </c>
      <c r="O86" s="280">
        <v>0.1156125249500998</v>
      </c>
      <c r="P86" s="283">
        <v>41064</v>
      </c>
    </row>
    <row r="87" spans="1:16">
      <c r="A87" s="264"/>
      <c r="B87" s="286" t="s">
        <v>99</v>
      </c>
      <c r="C87" s="287" t="s">
        <v>102</v>
      </c>
      <c r="D87" s="279">
        <v>9.6977488719150975E-2</v>
      </c>
      <c r="E87" s="266">
        <v>82.77</v>
      </c>
      <c r="F87" s="280">
        <v>0.54308800162277293</v>
      </c>
      <c r="G87" s="281">
        <v>28754.311781987919</v>
      </c>
      <c r="H87" s="282">
        <v>9.6999999999999993</v>
      </c>
      <c r="I87" s="282">
        <v>10.66</v>
      </c>
      <c r="J87" s="280">
        <v>7.7258347536776961E-2</v>
      </c>
      <c r="K87" s="281">
        <v>44166.15</v>
      </c>
      <c r="L87" s="280">
        <v>0.10281138582032848</v>
      </c>
      <c r="M87" s="283">
        <v>3327</v>
      </c>
      <c r="N87" s="280">
        <v>0.11904532459606181</v>
      </c>
      <c r="O87" s="280">
        <v>0.1156125249500998</v>
      </c>
      <c r="P87" s="283">
        <v>40082</v>
      </c>
    </row>
    <row r="88" spans="1:16">
      <c r="A88" s="264"/>
      <c r="B88" s="286" t="s">
        <v>99</v>
      </c>
      <c r="C88" s="287" t="s">
        <v>103</v>
      </c>
      <c r="D88" s="279">
        <v>7.4216524216524207E-2</v>
      </c>
      <c r="E88" s="266">
        <v>82.31</v>
      </c>
      <c r="F88" s="280">
        <v>0.62468521685061407</v>
      </c>
      <c r="G88" s="281">
        <v>26632.09036753347</v>
      </c>
      <c r="H88" s="282">
        <v>10.87</v>
      </c>
      <c r="I88" s="282">
        <v>11.93</v>
      </c>
      <c r="J88" s="280">
        <v>7.7258347536776961E-2</v>
      </c>
      <c r="K88" s="281">
        <v>42372.63</v>
      </c>
      <c r="L88" s="280">
        <v>0.10281138582032848</v>
      </c>
      <c r="M88" s="283">
        <v>3327</v>
      </c>
      <c r="N88" s="280">
        <v>0.11904532459606181</v>
      </c>
      <c r="O88" s="280">
        <v>0.1156125249500998</v>
      </c>
      <c r="P88" s="283">
        <v>42471</v>
      </c>
    </row>
    <row r="89" spans="1:16">
      <c r="A89" s="264"/>
      <c r="B89" s="286" t="s">
        <v>99</v>
      </c>
      <c r="C89" s="287" t="s">
        <v>104</v>
      </c>
      <c r="D89" s="279">
        <v>9.7570589078400452E-2</v>
      </c>
      <c r="E89" s="266">
        <v>81.260000000000005</v>
      </c>
      <c r="F89" s="280">
        <v>0.67186634668635781</v>
      </c>
      <c r="G89" s="281">
        <v>23824.701185007209</v>
      </c>
      <c r="H89" s="282">
        <v>12.19</v>
      </c>
      <c r="I89" s="282">
        <v>13.76</v>
      </c>
      <c r="J89" s="280">
        <v>7.7258347536776961E-2</v>
      </c>
      <c r="K89" s="281">
        <v>39888.36</v>
      </c>
      <c r="L89" s="280">
        <v>0.10281138582032848</v>
      </c>
      <c r="M89" s="283">
        <v>3327</v>
      </c>
      <c r="N89" s="280">
        <v>0.11904532459606181</v>
      </c>
      <c r="O89" s="280">
        <v>0.1156125249500998</v>
      </c>
      <c r="P89" s="283">
        <v>28284</v>
      </c>
    </row>
    <row r="90" spans="1:16">
      <c r="A90" s="264"/>
      <c r="B90" s="286" t="s">
        <v>99</v>
      </c>
      <c r="C90" s="287" t="s">
        <v>105</v>
      </c>
      <c r="D90" s="279">
        <v>0.1534015213374017</v>
      </c>
      <c r="E90" s="266">
        <v>82.83</v>
      </c>
      <c r="F90" s="280">
        <v>0.5982979431169263</v>
      </c>
      <c r="G90" s="281">
        <v>24872.53869842914</v>
      </c>
      <c r="H90" s="282">
        <v>11.28</v>
      </c>
      <c r="I90" s="282">
        <v>12.91</v>
      </c>
      <c r="J90" s="280">
        <v>7.7258347536776961E-2</v>
      </c>
      <c r="K90" s="281">
        <v>46440.28</v>
      </c>
      <c r="L90" s="280">
        <v>0.10281138582032848</v>
      </c>
      <c r="M90" s="283">
        <v>3327</v>
      </c>
      <c r="N90" s="280">
        <v>0.11904532459606181</v>
      </c>
      <c r="O90" s="280">
        <v>0.1156125249500998</v>
      </c>
      <c r="P90" s="283">
        <v>46990</v>
      </c>
    </row>
    <row r="91" spans="1:16">
      <c r="A91" s="264"/>
      <c r="B91" s="286" t="s">
        <v>106</v>
      </c>
      <c r="C91" s="287" t="s">
        <v>107</v>
      </c>
      <c r="D91" s="279">
        <v>5.0655214183459973E-2</v>
      </c>
      <c r="E91" s="266">
        <v>81</v>
      </c>
      <c r="F91" s="280">
        <v>0.46670485464699984</v>
      </c>
      <c r="G91" s="281">
        <v>34024.524138897541</v>
      </c>
      <c r="H91" s="282">
        <v>10.24</v>
      </c>
      <c r="I91" s="282">
        <v>10.199999999999999</v>
      </c>
      <c r="J91" s="280">
        <v>5.7107809731497886E-2</v>
      </c>
      <c r="K91" s="281">
        <v>98890.1</v>
      </c>
      <c r="L91" s="280">
        <v>3.9160675667777194E-2</v>
      </c>
      <c r="M91" s="283">
        <v>520</v>
      </c>
      <c r="N91" s="280">
        <v>3.7294015611448399E-2</v>
      </c>
      <c r="O91" s="280">
        <v>4.3444361277445109E-2</v>
      </c>
      <c r="P91" s="283">
        <v>9087</v>
      </c>
    </row>
    <row r="92" spans="1:16">
      <c r="A92" s="264"/>
      <c r="B92" s="286" t="s">
        <v>106</v>
      </c>
      <c r="C92" s="287" t="s">
        <v>108</v>
      </c>
      <c r="D92" s="279">
        <v>1.9285488460322478E-2</v>
      </c>
      <c r="E92" s="266">
        <v>82.23</v>
      </c>
      <c r="F92" s="280">
        <v>0.29066157153092909</v>
      </c>
      <c r="G92" s="281">
        <v>45040.730192217532</v>
      </c>
      <c r="H92" s="282">
        <v>8.3800000000000008</v>
      </c>
      <c r="I92" s="282">
        <v>9.24</v>
      </c>
      <c r="J92" s="280">
        <v>5.7107809731497886E-2</v>
      </c>
      <c r="K92" s="281">
        <v>96989.93</v>
      </c>
      <c r="L92" s="280">
        <v>3.9160675667777194E-2</v>
      </c>
      <c r="M92" s="283">
        <v>520</v>
      </c>
      <c r="N92" s="280">
        <v>3.7294015611448399E-2</v>
      </c>
      <c r="O92" s="280">
        <v>4.3444361277445109E-2</v>
      </c>
      <c r="P92" s="283">
        <v>6321</v>
      </c>
    </row>
    <row r="93" spans="1:16">
      <c r="A93" s="264"/>
      <c r="B93" s="286" t="s">
        <v>106</v>
      </c>
      <c r="C93" s="287" t="s">
        <v>109</v>
      </c>
      <c r="D93" s="279">
        <v>3.6562203228869897E-2</v>
      </c>
      <c r="E93" s="266">
        <v>83.47</v>
      </c>
      <c r="F93" s="280">
        <v>0.3832678530159464</v>
      </c>
      <c r="G93" s="281">
        <v>40428.409853051293</v>
      </c>
      <c r="H93" s="282">
        <v>7.71</v>
      </c>
      <c r="I93" s="282">
        <v>8.7899999999999991</v>
      </c>
      <c r="J93" s="280">
        <v>5.7107809731497886E-2</v>
      </c>
      <c r="K93" s="281">
        <v>81953.86</v>
      </c>
      <c r="L93" s="280">
        <v>3.9160675667777194E-2</v>
      </c>
      <c r="M93" s="283">
        <v>520</v>
      </c>
      <c r="N93" s="280">
        <v>3.7294015611448399E-2</v>
      </c>
      <c r="O93" s="280">
        <v>4.3444361277445109E-2</v>
      </c>
      <c r="P93" s="283">
        <v>27419</v>
      </c>
    </row>
    <row r="94" spans="1:16">
      <c r="A94" s="264"/>
      <c r="B94" s="286" t="s">
        <v>106</v>
      </c>
      <c r="C94" s="287" t="s">
        <v>110</v>
      </c>
      <c r="D94" s="279">
        <v>5.665371402827054E-2</v>
      </c>
      <c r="E94" s="266">
        <v>83.52</v>
      </c>
      <c r="F94" s="280">
        <v>0.44376234829240757</v>
      </c>
      <c r="G94" s="281">
        <v>35438.871174048836</v>
      </c>
      <c r="H94" s="282">
        <v>9.6199999999999992</v>
      </c>
      <c r="I94" s="282">
        <v>10.73</v>
      </c>
      <c r="J94" s="280">
        <v>5.7107809731497886E-2</v>
      </c>
      <c r="K94" s="281">
        <v>87817.15</v>
      </c>
      <c r="L94" s="280">
        <v>3.9160675667777194E-2</v>
      </c>
      <c r="M94" s="283">
        <v>520</v>
      </c>
      <c r="N94" s="280">
        <v>3.7294015611448399E-2</v>
      </c>
      <c r="O94" s="280">
        <v>4.3444361277445109E-2</v>
      </c>
      <c r="P94" s="283">
        <v>17821</v>
      </c>
    </row>
    <row r="95" spans="1:16">
      <c r="A95" s="264"/>
      <c r="B95" s="286" t="s">
        <v>106</v>
      </c>
      <c r="C95" s="287" t="s">
        <v>111</v>
      </c>
      <c r="D95" s="279">
        <v>8.5374511892083782E-2</v>
      </c>
      <c r="E95" s="266">
        <v>81.81</v>
      </c>
      <c r="F95" s="280">
        <v>0.53313521545319464</v>
      </c>
      <c r="G95" s="281">
        <v>28013.706874719352</v>
      </c>
      <c r="H95" s="282">
        <v>9.92</v>
      </c>
      <c r="I95" s="282">
        <v>11.84</v>
      </c>
      <c r="J95" s="280">
        <v>5.7107809731497886E-2</v>
      </c>
      <c r="K95" s="281">
        <v>72379.86</v>
      </c>
      <c r="L95" s="280">
        <v>3.9160675667777194E-2</v>
      </c>
      <c r="M95" s="283">
        <v>520</v>
      </c>
      <c r="N95" s="280">
        <v>3.7294015611448399E-2</v>
      </c>
      <c r="O95" s="280">
        <v>4.3444361277445109E-2</v>
      </c>
      <c r="P95" s="283">
        <v>17135</v>
      </c>
    </row>
    <row r="96" spans="1:16">
      <c r="A96" s="264"/>
      <c r="B96" s="286" t="s">
        <v>106</v>
      </c>
      <c r="C96" s="287" t="s">
        <v>112</v>
      </c>
      <c r="D96" s="279">
        <v>6.6242492715704343E-2</v>
      </c>
      <c r="E96" s="266">
        <v>84.3</v>
      </c>
      <c r="F96" s="280">
        <v>0.48134900357690341</v>
      </c>
      <c r="G96" s="281">
        <v>29156.115996085558</v>
      </c>
      <c r="H96" s="282">
        <v>8.8000000000000007</v>
      </c>
      <c r="I96" s="282">
        <v>9.86</v>
      </c>
      <c r="J96" s="280">
        <v>5.7107809731497886E-2</v>
      </c>
      <c r="K96" s="281">
        <v>74639.28</v>
      </c>
      <c r="L96" s="280">
        <v>3.9160675667777194E-2</v>
      </c>
      <c r="M96" s="283">
        <v>520</v>
      </c>
      <c r="N96" s="280">
        <v>3.7294015611448399E-2</v>
      </c>
      <c r="O96" s="280">
        <v>4.3444361277445109E-2</v>
      </c>
      <c r="P96" s="283">
        <v>16907</v>
      </c>
    </row>
    <row r="97" spans="1:16">
      <c r="A97" s="264"/>
      <c r="B97" s="286" t="s">
        <v>113</v>
      </c>
      <c r="C97" s="287" t="s">
        <v>114</v>
      </c>
      <c r="D97" s="279">
        <v>0.11452747989276139</v>
      </c>
      <c r="E97" s="266">
        <v>83.91</v>
      </c>
      <c r="F97" s="280">
        <v>0.49792650165619051</v>
      </c>
      <c r="G97" s="281">
        <v>28196.623938505836</v>
      </c>
      <c r="H97" s="282">
        <v>8.43</v>
      </c>
      <c r="I97" s="282">
        <v>10.82</v>
      </c>
      <c r="J97" s="280">
        <v>4.647074504492172E-2</v>
      </c>
      <c r="K97" s="281">
        <v>69508.259999999995</v>
      </c>
      <c r="L97" s="280">
        <v>7.3060962066748489E-2</v>
      </c>
      <c r="M97" s="283">
        <v>596</v>
      </c>
      <c r="N97" s="280">
        <v>6.4662233786258072E-2</v>
      </c>
      <c r="O97" s="280">
        <v>7.5380489021956085E-2</v>
      </c>
      <c r="P97" s="283">
        <v>47970</v>
      </c>
    </row>
    <row r="98" spans="1:16">
      <c r="A98" s="264"/>
      <c r="B98" s="286" t="s">
        <v>113</v>
      </c>
      <c r="C98" s="287" t="s">
        <v>115</v>
      </c>
      <c r="D98" s="279">
        <v>0.11939175931981687</v>
      </c>
      <c r="E98" s="266">
        <v>82.85</v>
      </c>
      <c r="F98" s="280">
        <v>0.50781800837791879</v>
      </c>
      <c r="G98" s="281">
        <v>30038.955543266948</v>
      </c>
      <c r="H98" s="282">
        <v>8.18</v>
      </c>
      <c r="I98" s="282">
        <v>9.9499999999999993</v>
      </c>
      <c r="J98" s="280">
        <v>4.647074504492172E-2</v>
      </c>
      <c r="K98" s="281">
        <v>70105.52</v>
      </c>
      <c r="L98" s="280">
        <v>7.3060962066748489E-2</v>
      </c>
      <c r="M98" s="283">
        <v>596</v>
      </c>
      <c r="N98" s="280">
        <v>6.4662233786258072E-2</v>
      </c>
      <c r="O98" s="280">
        <v>7.5380489021956085E-2</v>
      </c>
      <c r="P98" s="283">
        <v>61762</v>
      </c>
    </row>
    <row r="99" spans="1:16">
      <c r="A99" s="264"/>
      <c r="B99" s="286" t="s">
        <v>113</v>
      </c>
      <c r="C99" s="287" t="s">
        <v>116</v>
      </c>
      <c r="D99" s="279">
        <v>0.13387765149961023</v>
      </c>
      <c r="E99" s="266">
        <v>83.58</v>
      </c>
      <c r="F99" s="280">
        <v>0.44004282655246252</v>
      </c>
      <c r="G99" s="281">
        <v>30421.555716709925</v>
      </c>
      <c r="H99" s="282">
        <v>8.2100000000000009</v>
      </c>
      <c r="I99" s="282">
        <v>10.76</v>
      </c>
      <c r="J99" s="280">
        <v>4.647074504492172E-2</v>
      </c>
      <c r="K99" s="281">
        <v>78617.45</v>
      </c>
      <c r="L99" s="280">
        <v>7.3060962066748489E-2</v>
      </c>
      <c r="M99" s="283">
        <v>596</v>
      </c>
      <c r="N99" s="280">
        <v>6.4662233786258072E-2</v>
      </c>
      <c r="O99" s="280">
        <v>7.5380489021956085E-2</v>
      </c>
      <c r="P99" s="283">
        <v>24656</v>
      </c>
    </row>
    <row r="100" spans="1:16">
      <c r="A100" s="264"/>
      <c r="B100" s="286" t="s">
        <v>113</v>
      </c>
      <c r="C100" s="287" t="s">
        <v>325</v>
      </c>
      <c r="D100" s="279">
        <v>8.7295101668028646E-2</v>
      </c>
      <c r="E100" s="266">
        <v>83.74</v>
      </c>
      <c r="F100" s="280">
        <v>0.36101796407185627</v>
      </c>
      <c r="G100" s="281">
        <v>34263.241684077606</v>
      </c>
      <c r="H100" s="282">
        <v>7.71</v>
      </c>
      <c r="I100" s="282">
        <v>9.43</v>
      </c>
      <c r="J100" s="280">
        <v>4.647074504492172E-2</v>
      </c>
      <c r="K100" s="281">
        <v>84627.53</v>
      </c>
      <c r="L100" s="280">
        <v>7.3060962066748489E-2</v>
      </c>
      <c r="M100" s="283">
        <v>596</v>
      </c>
      <c r="N100" s="280">
        <v>6.4662233786258072E-2</v>
      </c>
      <c r="O100" s="280">
        <v>7.5380489021956085E-2</v>
      </c>
      <c r="P100" s="283">
        <v>20844</v>
      </c>
    </row>
    <row r="101" spans="1:16">
      <c r="A101" s="264"/>
      <c r="B101" s="286" t="s">
        <v>113</v>
      </c>
      <c r="C101" s="287" t="s">
        <v>117</v>
      </c>
      <c r="D101" s="279">
        <v>4.7874695594421077E-2</v>
      </c>
      <c r="E101" s="266">
        <v>84.16</v>
      </c>
      <c r="F101" s="280">
        <v>0.34616988739051857</v>
      </c>
      <c r="G101" s="281">
        <v>42449.94687985818</v>
      </c>
      <c r="H101" s="282">
        <v>7.46</v>
      </c>
      <c r="I101" s="282">
        <v>9.14</v>
      </c>
      <c r="J101" s="280">
        <v>4.647074504492172E-2</v>
      </c>
      <c r="K101" s="281">
        <v>94529</v>
      </c>
      <c r="L101" s="280">
        <v>7.3060962066748489E-2</v>
      </c>
      <c r="M101" s="283">
        <v>596</v>
      </c>
      <c r="N101" s="280">
        <v>6.4662233786258072E-2</v>
      </c>
      <c r="O101" s="280">
        <v>7.5380489021956085E-2</v>
      </c>
      <c r="P101" s="283">
        <v>18223</v>
      </c>
    </row>
    <row r="102" spans="1:16">
      <c r="A102" s="264"/>
      <c r="B102" s="286" t="s">
        <v>113</v>
      </c>
      <c r="C102" s="287" t="s">
        <v>118</v>
      </c>
      <c r="D102" s="279">
        <v>4.7776079787661872E-2</v>
      </c>
      <c r="E102" s="266">
        <v>83.87</v>
      </c>
      <c r="F102" s="280">
        <v>0.19311312607944733</v>
      </c>
      <c r="G102" s="281">
        <v>56198.189895321513</v>
      </c>
      <c r="H102" s="282">
        <v>5.16</v>
      </c>
      <c r="I102" s="282">
        <v>7.33</v>
      </c>
      <c r="J102" s="280">
        <v>4.647074504492172E-2</v>
      </c>
      <c r="K102" s="281">
        <v>102522.46</v>
      </c>
      <c r="L102" s="280">
        <v>7.3060962066748489E-2</v>
      </c>
      <c r="M102" s="283">
        <v>596</v>
      </c>
      <c r="N102" s="280">
        <v>6.4662233786258072E-2</v>
      </c>
      <c r="O102" s="280">
        <v>7.5380489021956085E-2</v>
      </c>
      <c r="P102" s="283">
        <v>12459</v>
      </c>
    </row>
    <row r="103" spans="1:16">
      <c r="A103" s="264"/>
      <c r="B103" s="286" t="s">
        <v>113</v>
      </c>
      <c r="C103" s="287" t="s">
        <v>119</v>
      </c>
      <c r="D103" s="279">
        <v>4.8982188295165402E-2</v>
      </c>
      <c r="E103" s="266">
        <v>83.89</v>
      </c>
      <c r="F103" s="280">
        <v>0.19818331957060281</v>
      </c>
      <c r="G103" s="281">
        <v>54247.157206375836</v>
      </c>
      <c r="H103" s="282">
        <v>5.92</v>
      </c>
      <c r="I103" s="282">
        <v>8.5</v>
      </c>
      <c r="J103" s="280">
        <v>4.647074504492172E-2</v>
      </c>
      <c r="K103" s="281">
        <v>112367.5</v>
      </c>
      <c r="L103" s="280">
        <v>7.3060962066748489E-2</v>
      </c>
      <c r="M103" s="283">
        <v>596</v>
      </c>
      <c r="N103" s="280">
        <v>6.4662233786258072E-2</v>
      </c>
      <c r="O103" s="280">
        <v>7.5380489021956085E-2</v>
      </c>
      <c r="P103" s="283">
        <v>6368</v>
      </c>
    </row>
    <row r="104" spans="1:16">
      <c r="A104" s="264"/>
      <c r="B104" s="286" t="s">
        <v>113</v>
      </c>
      <c r="C104" s="287" t="s">
        <v>120</v>
      </c>
      <c r="D104" s="279">
        <v>4.825396825396825E-2</v>
      </c>
      <c r="E104" s="266">
        <v>84.1</v>
      </c>
      <c r="F104" s="280">
        <v>0.16843033509700175</v>
      </c>
      <c r="G104" s="281">
        <v>67826.149299820463</v>
      </c>
      <c r="H104" s="282">
        <v>4.01</v>
      </c>
      <c r="I104" s="282">
        <v>4.6100000000000003</v>
      </c>
      <c r="J104" s="280">
        <v>4.647074504492172E-2</v>
      </c>
      <c r="K104" s="281">
        <v>168128.52</v>
      </c>
      <c r="L104" s="280">
        <v>7.3060962066748489E-2</v>
      </c>
      <c r="M104" s="283">
        <v>596</v>
      </c>
      <c r="N104" s="280">
        <v>6.4662233786258072E-2</v>
      </c>
      <c r="O104" s="280">
        <v>7.5380489021956085E-2</v>
      </c>
      <c r="P104" s="283">
        <v>1569</v>
      </c>
    </row>
    <row r="105" spans="1:16">
      <c r="A105" s="264"/>
      <c r="B105" s="284" t="s">
        <v>113</v>
      </c>
      <c r="C105" s="285" t="s">
        <v>121</v>
      </c>
      <c r="D105" s="279">
        <v>2.5341750306553432E-2</v>
      </c>
      <c r="E105" s="266">
        <v>83.94</v>
      </c>
      <c r="F105" s="280">
        <v>0.16098743937321228</v>
      </c>
      <c r="G105" s="281">
        <v>65589.452333289999</v>
      </c>
      <c r="H105" s="282">
        <v>5.42</v>
      </c>
      <c r="I105" s="282">
        <v>7.25</v>
      </c>
      <c r="J105" s="280">
        <v>4.647074504492172E-2</v>
      </c>
      <c r="K105" s="281">
        <v>112754.23</v>
      </c>
      <c r="L105" s="280">
        <v>7.3060962066748489E-2</v>
      </c>
      <c r="M105" s="283">
        <v>596</v>
      </c>
      <c r="N105" s="280">
        <v>6.4662233786258072E-2</v>
      </c>
      <c r="O105" s="280">
        <v>7.5380489021956085E-2</v>
      </c>
      <c r="P105" s="283">
        <v>22055</v>
      </c>
    </row>
    <row r="106" spans="1:16">
      <c r="A106" s="264"/>
      <c r="B106" s="284" t="s">
        <v>122</v>
      </c>
      <c r="C106" s="285" t="s">
        <v>123</v>
      </c>
      <c r="D106" s="279">
        <v>2.9237162362718908E-2</v>
      </c>
      <c r="E106" s="266">
        <v>78.81</v>
      </c>
      <c r="F106" s="280">
        <v>0.13226584777363457</v>
      </c>
      <c r="G106" s="281">
        <v>81736.54715849596</v>
      </c>
      <c r="H106" s="282">
        <v>4.29</v>
      </c>
      <c r="I106" s="282">
        <v>5.81</v>
      </c>
      <c r="J106" s="280">
        <v>3.8742548701435189E-2</v>
      </c>
      <c r="K106" s="281">
        <v>144304.94</v>
      </c>
      <c r="L106" s="280">
        <v>4.8629376351627798E-2</v>
      </c>
      <c r="M106" s="283">
        <v>403</v>
      </c>
      <c r="N106" s="280">
        <v>4.2112363881661369E-2</v>
      </c>
      <c r="O106" s="280">
        <v>4.1853792415169663E-2</v>
      </c>
      <c r="P106" s="283">
        <v>6731</v>
      </c>
    </row>
    <row r="107" spans="1:16">
      <c r="A107" s="264"/>
      <c r="B107" s="284" t="s">
        <v>122</v>
      </c>
      <c r="C107" s="285" t="s">
        <v>124</v>
      </c>
      <c r="D107" s="279">
        <v>4.0277117435305307E-2</v>
      </c>
      <c r="E107" s="266">
        <v>83.4</v>
      </c>
      <c r="F107" s="280">
        <v>0.13875269660717787</v>
      </c>
      <c r="G107" s="281">
        <v>97253.642316433572</v>
      </c>
      <c r="H107" s="282">
        <v>3.86</v>
      </c>
      <c r="I107" s="282">
        <v>5.23</v>
      </c>
      <c r="J107" s="280">
        <v>3.8742548701435189E-2</v>
      </c>
      <c r="K107" s="281">
        <v>214047.1</v>
      </c>
      <c r="L107" s="280">
        <v>4.8629376351627798E-2</v>
      </c>
      <c r="M107" s="283">
        <v>403</v>
      </c>
      <c r="N107" s="280">
        <v>4.2112363881661369E-2</v>
      </c>
      <c r="O107" s="280">
        <v>4.1853792415169663E-2</v>
      </c>
      <c r="P107" s="283">
        <v>14766</v>
      </c>
    </row>
    <row r="108" spans="1:16">
      <c r="A108" s="264"/>
      <c r="B108" s="284" t="s">
        <v>122</v>
      </c>
      <c r="C108" s="285" t="s">
        <v>125</v>
      </c>
      <c r="D108" s="279">
        <v>4.7973022866566566E-2</v>
      </c>
      <c r="E108" s="266">
        <v>84.43</v>
      </c>
      <c r="F108" s="280">
        <v>0.4011120668468911</v>
      </c>
      <c r="G108" s="281">
        <v>39790.240091819171</v>
      </c>
      <c r="H108" s="282">
        <v>7.15</v>
      </c>
      <c r="I108" s="282">
        <v>8.66</v>
      </c>
      <c r="J108" s="280">
        <v>3.8742548701435189E-2</v>
      </c>
      <c r="K108" s="281">
        <v>93176</v>
      </c>
      <c r="L108" s="280">
        <v>4.8629376351627798E-2</v>
      </c>
      <c r="M108" s="283">
        <v>403</v>
      </c>
      <c r="N108" s="280">
        <v>4.2112363881661369E-2</v>
      </c>
      <c r="O108" s="280">
        <v>4.1853792415169663E-2</v>
      </c>
      <c r="P108" s="283">
        <v>40703</v>
      </c>
    </row>
    <row r="109" spans="1:16">
      <c r="A109" s="264"/>
      <c r="B109" s="284" t="s">
        <v>122</v>
      </c>
      <c r="C109" s="285" t="s">
        <v>126</v>
      </c>
      <c r="D109" s="279">
        <v>6.3702796801469189E-2</v>
      </c>
      <c r="E109" s="266">
        <v>83.56</v>
      </c>
      <c r="F109" s="280">
        <v>0.47250665451667828</v>
      </c>
      <c r="G109" s="281">
        <v>33701.43128620473</v>
      </c>
      <c r="H109" s="282">
        <v>8.7799999999999994</v>
      </c>
      <c r="I109" s="282">
        <v>10.6</v>
      </c>
      <c r="J109" s="280">
        <v>3.8742548701435189E-2</v>
      </c>
      <c r="K109" s="281">
        <v>80444.05</v>
      </c>
      <c r="L109" s="280">
        <v>4.8629376351627798E-2</v>
      </c>
      <c r="M109" s="283">
        <v>403</v>
      </c>
      <c r="N109" s="280">
        <v>4.2112363881661369E-2</v>
      </c>
      <c r="O109" s="280">
        <v>4.1853792415169663E-2</v>
      </c>
      <c r="P109" s="283">
        <v>52547</v>
      </c>
    </row>
    <row r="110" spans="1:16">
      <c r="A110" s="264"/>
      <c r="B110" s="284" t="s">
        <v>122</v>
      </c>
      <c r="C110" s="285" t="s">
        <v>127</v>
      </c>
      <c r="D110" s="279">
        <v>5.1535590334621177E-2</v>
      </c>
      <c r="E110" s="266">
        <v>84.21</v>
      </c>
      <c r="F110" s="280">
        <v>0.3920656403315852</v>
      </c>
      <c r="G110" s="281">
        <v>36691.478392605633</v>
      </c>
      <c r="H110" s="282">
        <v>8.7200000000000006</v>
      </c>
      <c r="I110" s="282">
        <v>10.35</v>
      </c>
      <c r="J110" s="280">
        <v>3.8742548701435189E-2</v>
      </c>
      <c r="K110" s="281">
        <v>104658.69</v>
      </c>
      <c r="L110" s="280">
        <v>4.8629376351627798E-2</v>
      </c>
      <c r="M110" s="283">
        <v>403</v>
      </c>
      <c r="N110" s="280">
        <v>4.2112363881661369E-2</v>
      </c>
      <c r="O110" s="280">
        <v>4.1853792415169663E-2</v>
      </c>
      <c r="P110" s="283">
        <v>15344</v>
      </c>
    </row>
    <row r="111" spans="1:16">
      <c r="A111" s="264"/>
      <c r="B111" s="284" t="s">
        <v>122</v>
      </c>
      <c r="C111" s="285" t="s">
        <v>128</v>
      </c>
      <c r="D111" s="279">
        <v>4.8510967456765572E-2</v>
      </c>
      <c r="E111" s="266">
        <v>83.16</v>
      </c>
      <c r="F111" s="280">
        <v>0.14751049621009327</v>
      </c>
      <c r="G111" s="281">
        <v>55975.145579473152</v>
      </c>
      <c r="H111" s="282">
        <v>5.14</v>
      </c>
      <c r="I111" s="282">
        <v>7.08</v>
      </c>
      <c r="J111" s="280">
        <v>3.8742548701435189E-2</v>
      </c>
      <c r="K111" s="281">
        <v>114377.07</v>
      </c>
      <c r="L111" s="280">
        <v>4.8629376351627798E-2</v>
      </c>
      <c r="M111" s="283">
        <v>403</v>
      </c>
      <c r="N111" s="280">
        <v>4.2112363881661369E-2</v>
      </c>
      <c r="O111" s="280">
        <v>4.1853792415169663E-2</v>
      </c>
      <c r="P111" s="283">
        <v>56352</v>
      </c>
    </row>
    <row r="112" spans="1:16">
      <c r="A112" s="264"/>
      <c r="B112" s="284" t="s">
        <v>129</v>
      </c>
      <c r="C112" s="285" t="s">
        <v>326</v>
      </c>
      <c r="D112" s="279">
        <v>0.13826497212126684</v>
      </c>
      <c r="E112" s="266">
        <v>82.02</v>
      </c>
      <c r="F112" s="280">
        <v>0.63749314818198433</v>
      </c>
      <c r="G112" s="281">
        <v>24884.414737719635</v>
      </c>
      <c r="H112" s="282">
        <v>12.39</v>
      </c>
      <c r="I112" s="282">
        <v>13.53</v>
      </c>
      <c r="J112" s="280">
        <v>7.6556005952075526E-2</v>
      </c>
      <c r="K112" s="281">
        <v>51666.28</v>
      </c>
      <c r="L112" s="280">
        <v>5.2370097609445318E-2</v>
      </c>
      <c r="M112" s="283">
        <v>1563</v>
      </c>
      <c r="N112" s="280">
        <v>5.9554784619832324E-2</v>
      </c>
      <c r="O112" s="280">
        <v>5.9849051896207588E-2</v>
      </c>
      <c r="P112" s="283">
        <v>44861</v>
      </c>
    </row>
    <row r="113" spans="1:16">
      <c r="A113" s="264"/>
      <c r="B113" s="284" t="s">
        <v>129</v>
      </c>
      <c r="C113" s="285" t="s">
        <v>130</v>
      </c>
      <c r="D113" s="279">
        <v>0.26893792747451284</v>
      </c>
      <c r="E113" s="266">
        <v>81.25</v>
      </c>
      <c r="F113" s="280">
        <v>0.74686231081579924</v>
      </c>
      <c r="G113" s="281">
        <v>19587.094904064368</v>
      </c>
      <c r="H113" s="282">
        <v>13.77</v>
      </c>
      <c r="I113" s="282">
        <v>17.18</v>
      </c>
      <c r="J113" s="280">
        <v>7.6556005952075526E-2</v>
      </c>
      <c r="K113" s="281">
        <v>26876.799999999999</v>
      </c>
      <c r="L113" s="280">
        <v>5.2370097609445318E-2</v>
      </c>
      <c r="M113" s="283">
        <v>1563</v>
      </c>
      <c r="N113" s="280">
        <v>5.9554784619832324E-2</v>
      </c>
      <c r="O113" s="280">
        <v>5.9849051896207588E-2</v>
      </c>
      <c r="P113" s="283">
        <v>15841</v>
      </c>
    </row>
    <row r="114" spans="1:16">
      <c r="A114" s="264"/>
      <c r="B114" s="284" t="s">
        <v>129</v>
      </c>
      <c r="C114" s="285" t="s">
        <v>131</v>
      </c>
      <c r="D114" s="279">
        <v>9.185460915261659E-2</v>
      </c>
      <c r="E114" s="266">
        <v>82.02</v>
      </c>
      <c r="F114" s="280">
        <v>0.46362455342643716</v>
      </c>
      <c r="G114" s="281">
        <v>30153.30453444098</v>
      </c>
      <c r="H114" s="282">
        <v>8.65</v>
      </c>
      <c r="I114" s="282">
        <v>10.39</v>
      </c>
      <c r="J114" s="280">
        <v>7.6556005952075526E-2</v>
      </c>
      <c r="K114" s="281">
        <v>61604.11</v>
      </c>
      <c r="L114" s="280">
        <v>5.2370097609445318E-2</v>
      </c>
      <c r="M114" s="283">
        <v>1563</v>
      </c>
      <c r="N114" s="280">
        <v>5.9554784619832324E-2</v>
      </c>
      <c r="O114" s="280">
        <v>5.9849051896207588E-2</v>
      </c>
      <c r="P114" s="283">
        <v>18768</v>
      </c>
    </row>
    <row r="115" spans="1:16">
      <c r="A115" s="264"/>
      <c r="B115" s="284" t="s">
        <v>129</v>
      </c>
      <c r="C115" s="285" t="s">
        <v>132</v>
      </c>
      <c r="D115" s="279">
        <v>0.13714672075726841</v>
      </c>
      <c r="E115" s="266">
        <v>83.28</v>
      </c>
      <c r="F115" s="280">
        <v>0.57422979473432967</v>
      </c>
      <c r="G115" s="281">
        <v>28416.052490963382</v>
      </c>
      <c r="H115" s="282">
        <v>9.7899999999999991</v>
      </c>
      <c r="I115" s="282">
        <v>11.07</v>
      </c>
      <c r="J115" s="280">
        <v>7.6556005952075526E-2</v>
      </c>
      <c r="K115" s="281">
        <v>52206.91</v>
      </c>
      <c r="L115" s="280">
        <v>5.2370097609445318E-2</v>
      </c>
      <c r="M115" s="283">
        <v>1563</v>
      </c>
      <c r="N115" s="280">
        <v>5.9554784619832324E-2</v>
      </c>
      <c r="O115" s="280">
        <v>5.9849051896207588E-2</v>
      </c>
      <c r="P115" s="283">
        <v>37460</v>
      </c>
    </row>
    <row r="116" spans="1:16">
      <c r="A116" s="264"/>
      <c r="B116" s="284" t="s">
        <v>129</v>
      </c>
      <c r="C116" s="285" t="s">
        <v>133</v>
      </c>
      <c r="D116" s="279">
        <v>0.11209526621395532</v>
      </c>
      <c r="E116" s="266">
        <v>83.21</v>
      </c>
      <c r="F116" s="280">
        <v>0.58842722616884191</v>
      </c>
      <c r="G116" s="281">
        <v>28062.429956260723</v>
      </c>
      <c r="H116" s="282">
        <v>10.62</v>
      </c>
      <c r="I116" s="282">
        <v>12.46</v>
      </c>
      <c r="J116" s="280">
        <v>7.6556005952075526E-2</v>
      </c>
      <c r="K116" s="281">
        <v>58943.3</v>
      </c>
      <c r="L116" s="280">
        <v>5.2370097609445318E-2</v>
      </c>
      <c r="M116" s="283">
        <v>1563</v>
      </c>
      <c r="N116" s="280">
        <v>5.9554784619832324E-2</v>
      </c>
      <c r="O116" s="280">
        <v>5.9849051896207588E-2</v>
      </c>
      <c r="P116" s="283">
        <v>30867</v>
      </c>
    </row>
    <row r="117" spans="1:16">
      <c r="A117" s="264"/>
      <c r="B117" s="284" t="s">
        <v>134</v>
      </c>
      <c r="C117" s="285" t="s">
        <v>135</v>
      </c>
      <c r="D117" s="279">
        <v>0.10163563160543532</v>
      </c>
      <c r="E117" s="266">
        <v>82.85</v>
      </c>
      <c r="F117" s="280">
        <v>0.64314460172078824</v>
      </c>
      <c r="G117" s="281">
        <v>28357.195238000593</v>
      </c>
      <c r="H117" s="282">
        <v>12.05</v>
      </c>
      <c r="I117" s="282">
        <v>13.6</v>
      </c>
      <c r="J117" s="280">
        <v>6.3105304639388723E-2</v>
      </c>
      <c r="K117" s="281">
        <v>55794.28</v>
      </c>
      <c r="L117" s="280">
        <v>2.5951253726109066E-2</v>
      </c>
      <c r="M117" s="283">
        <v>1370</v>
      </c>
      <c r="N117" s="280">
        <v>2.1007998458128552E-2</v>
      </c>
      <c r="O117" s="280">
        <v>2.223677644710579E-2</v>
      </c>
      <c r="P117" s="283">
        <v>40077</v>
      </c>
    </row>
    <row r="118" spans="1:16">
      <c r="A118" s="264"/>
      <c r="B118" s="284" t="s">
        <v>134</v>
      </c>
      <c r="C118" s="285" t="s">
        <v>136</v>
      </c>
      <c r="D118" s="279">
        <v>3.255813953488372E-2</v>
      </c>
      <c r="E118" s="266">
        <v>82.28</v>
      </c>
      <c r="F118" s="280">
        <v>0.44891965596811412</v>
      </c>
      <c r="G118" s="281">
        <v>36426.582003659656</v>
      </c>
      <c r="H118" s="282">
        <v>9.2200000000000006</v>
      </c>
      <c r="I118" s="282">
        <v>10.59</v>
      </c>
      <c r="J118" s="280">
        <v>6.3105304639388723E-2</v>
      </c>
      <c r="K118" s="281">
        <v>57584.02</v>
      </c>
      <c r="L118" s="280">
        <v>2.5951253726109066E-2</v>
      </c>
      <c r="M118" s="283">
        <v>1370</v>
      </c>
      <c r="N118" s="280">
        <v>2.1007998458128552E-2</v>
      </c>
      <c r="O118" s="280">
        <v>2.223677644710579E-2</v>
      </c>
      <c r="P118" s="283">
        <v>24349</v>
      </c>
    </row>
    <row r="119" spans="1:16">
      <c r="A119" s="264"/>
      <c r="B119" s="284" t="s">
        <v>134</v>
      </c>
      <c r="C119" s="285" t="s">
        <v>327</v>
      </c>
      <c r="D119" s="279">
        <v>5.5693126060439309E-2</v>
      </c>
      <c r="E119" s="266">
        <v>82.85</v>
      </c>
      <c r="F119" s="280">
        <v>0.27867445621678716</v>
      </c>
      <c r="G119" s="281">
        <v>32080.210261506927</v>
      </c>
      <c r="H119" s="282">
        <v>7.65</v>
      </c>
      <c r="I119" s="282">
        <v>9.8000000000000007</v>
      </c>
      <c r="J119" s="280">
        <v>6.3105304639388723E-2</v>
      </c>
      <c r="K119" s="281">
        <v>70762.740000000005</v>
      </c>
      <c r="L119" s="280">
        <v>2.5951253726109066E-2</v>
      </c>
      <c r="M119" s="283">
        <v>1370</v>
      </c>
      <c r="N119" s="280">
        <v>2.1007998458128552E-2</v>
      </c>
      <c r="O119" s="280">
        <v>2.223677644710579E-2</v>
      </c>
      <c r="P119" s="283">
        <v>44953</v>
      </c>
    </row>
    <row r="120" spans="1:16">
      <c r="A120" s="264"/>
      <c r="B120" s="284" t="s">
        <v>137</v>
      </c>
      <c r="C120" s="285" t="s">
        <v>138</v>
      </c>
      <c r="D120" s="279">
        <v>9.9152046783625727E-2</v>
      </c>
      <c r="E120" s="266">
        <v>83.34</v>
      </c>
      <c r="F120" s="280">
        <v>0.66301558730037147</v>
      </c>
      <c r="G120" s="281">
        <v>24737.461738598104</v>
      </c>
      <c r="H120" s="282">
        <v>11.92</v>
      </c>
      <c r="I120" s="282">
        <v>13.81</v>
      </c>
      <c r="J120" s="280">
        <v>6.2535329215953103E-2</v>
      </c>
      <c r="K120" s="281">
        <v>54182.2</v>
      </c>
      <c r="L120" s="280">
        <v>3.0860950376994566E-2</v>
      </c>
      <c r="M120" s="283">
        <v>669</v>
      </c>
      <c r="N120" s="280">
        <v>2.4252352960071954E-2</v>
      </c>
      <c r="O120" s="280">
        <v>2.3858532934131736E-2</v>
      </c>
      <c r="P120" s="283">
        <v>34597</v>
      </c>
    </row>
    <row r="121" spans="1:16">
      <c r="A121" s="264"/>
      <c r="B121" s="284" t="s">
        <v>137</v>
      </c>
      <c r="C121" s="285" t="s">
        <v>328</v>
      </c>
      <c r="D121" s="279">
        <v>3.6060554516074164E-2</v>
      </c>
      <c r="E121" s="266">
        <v>83.34</v>
      </c>
      <c r="F121" s="280">
        <v>0.35197044334975369</v>
      </c>
      <c r="G121" s="281">
        <v>38092.09981925731</v>
      </c>
      <c r="H121" s="282">
        <v>8.94</v>
      </c>
      <c r="I121" s="282">
        <v>9.35</v>
      </c>
      <c r="J121" s="280">
        <v>6.2535329215953103E-2</v>
      </c>
      <c r="K121" s="281">
        <v>61754.93</v>
      </c>
      <c r="L121" s="280">
        <v>3.0860950376994566E-2</v>
      </c>
      <c r="M121" s="283">
        <v>669</v>
      </c>
      <c r="N121" s="280">
        <v>2.4252352960071954E-2</v>
      </c>
      <c r="O121" s="280">
        <v>2.3858532934131736E-2</v>
      </c>
      <c r="P121" s="283">
        <v>17589</v>
      </c>
    </row>
    <row r="122" spans="1:16">
      <c r="A122" s="264"/>
      <c r="B122" s="284" t="s">
        <v>137</v>
      </c>
      <c r="C122" s="285" t="s">
        <v>329</v>
      </c>
      <c r="D122" s="279">
        <v>1.7546754675467548E-2</v>
      </c>
      <c r="E122" s="266">
        <v>83.34</v>
      </c>
      <c r="F122" s="280">
        <v>0.23176857786246319</v>
      </c>
      <c r="G122" s="281">
        <v>39290.701014584658</v>
      </c>
      <c r="H122" s="282">
        <v>5.73</v>
      </c>
      <c r="I122" s="282">
        <v>6.57</v>
      </c>
      <c r="J122" s="280">
        <v>6.2535329215953103E-2</v>
      </c>
      <c r="K122" s="281">
        <v>77028.05</v>
      </c>
      <c r="L122" s="280">
        <v>3.0860950376994566E-2</v>
      </c>
      <c r="M122" s="283">
        <v>669</v>
      </c>
      <c r="N122" s="280">
        <v>2.4252352960071954E-2</v>
      </c>
      <c r="O122" s="280">
        <v>2.3858532934131736E-2</v>
      </c>
      <c r="P122" s="283">
        <v>18191</v>
      </c>
    </row>
    <row r="123" spans="1:16">
      <c r="A123" s="264"/>
      <c r="B123" s="284" t="s">
        <v>137</v>
      </c>
      <c r="C123" s="285" t="s">
        <v>330</v>
      </c>
      <c r="D123" s="279">
        <v>4.2328042328042326E-2</v>
      </c>
      <c r="E123" s="266">
        <v>83.34</v>
      </c>
      <c r="F123" s="280">
        <v>0.35897435897435898</v>
      </c>
      <c r="G123" s="281">
        <v>38691.40041692098</v>
      </c>
      <c r="H123" s="282">
        <v>6.01</v>
      </c>
      <c r="I123" s="282">
        <v>9.41</v>
      </c>
      <c r="J123" s="280">
        <v>6.2535329215953103E-2</v>
      </c>
      <c r="K123" s="281">
        <v>106107.71</v>
      </c>
      <c r="L123" s="280">
        <v>3.0860950376994566E-2</v>
      </c>
      <c r="M123" s="283">
        <v>669</v>
      </c>
      <c r="N123" s="280">
        <v>2.4252352960071954E-2</v>
      </c>
      <c r="O123" s="280">
        <v>2.3858532934131736E-2</v>
      </c>
      <c r="P123" s="283">
        <v>1071</v>
      </c>
    </row>
    <row r="124" spans="1:16">
      <c r="A124" s="264"/>
      <c r="B124" s="284" t="s">
        <v>139</v>
      </c>
      <c r="C124" s="285" t="s">
        <v>140</v>
      </c>
      <c r="D124" s="279">
        <v>0.10208501578445048</v>
      </c>
      <c r="E124" s="266">
        <v>83.06</v>
      </c>
      <c r="F124" s="280">
        <v>0.48927913068788204</v>
      </c>
      <c r="G124" s="281">
        <v>31368.082104293884</v>
      </c>
      <c r="H124" s="282">
        <v>9.08</v>
      </c>
      <c r="I124" s="282">
        <v>11.26</v>
      </c>
      <c r="J124" s="280">
        <v>5.2258064516129035E-2</v>
      </c>
      <c r="K124" s="281">
        <v>67547.839999999997</v>
      </c>
      <c r="L124" s="280">
        <v>5.5526331170728853E-2</v>
      </c>
      <c r="M124" s="283">
        <v>807</v>
      </c>
      <c r="N124" s="280">
        <v>6.8163566862612823E-2</v>
      </c>
      <c r="O124" s="280">
        <v>5.7821856287425151E-2</v>
      </c>
      <c r="P124" s="283">
        <v>27615</v>
      </c>
    </row>
    <row r="125" spans="1:16">
      <c r="A125" s="264"/>
      <c r="B125" s="284" t="s">
        <v>139</v>
      </c>
      <c r="C125" s="285" t="s">
        <v>141</v>
      </c>
      <c r="D125" s="279">
        <v>7.4376467956604408E-2</v>
      </c>
      <c r="E125" s="266">
        <v>81.489999999999995</v>
      </c>
      <c r="F125" s="280">
        <v>0.65717476270240094</v>
      </c>
      <c r="G125" s="281">
        <v>23534.745027670171</v>
      </c>
      <c r="H125" s="282">
        <v>11.97</v>
      </c>
      <c r="I125" s="282">
        <v>14.41</v>
      </c>
      <c r="J125" s="280">
        <v>5.2258064516129035E-2</v>
      </c>
      <c r="K125" s="281">
        <v>62968.18</v>
      </c>
      <c r="L125" s="280">
        <v>5.5526331170728853E-2</v>
      </c>
      <c r="M125" s="283">
        <v>807</v>
      </c>
      <c r="N125" s="280">
        <v>6.8163566862612823E-2</v>
      </c>
      <c r="O125" s="280">
        <v>5.7821856287425151E-2</v>
      </c>
      <c r="P125" s="283">
        <v>9107</v>
      </c>
    </row>
    <row r="126" spans="1:16">
      <c r="A126" s="264"/>
      <c r="B126" s="284" t="s">
        <v>139</v>
      </c>
      <c r="C126" s="285" t="s">
        <v>142</v>
      </c>
      <c r="D126" s="279">
        <v>0.10711718188353701</v>
      </c>
      <c r="E126" s="266">
        <v>78.36</v>
      </c>
      <c r="F126" s="280">
        <v>0.69253920481546016</v>
      </c>
      <c r="G126" s="281">
        <v>21841.988840086608</v>
      </c>
      <c r="H126" s="282">
        <v>13.07</v>
      </c>
      <c r="I126" s="282">
        <v>15.08</v>
      </c>
      <c r="J126" s="280">
        <v>5.2258064516129035E-2</v>
      </c>
      <c r="K126" s="281">
        <v>46961.13</v>
      </c>
      <c r="L126" s="280">
        <v>5.5526331170728853E-2</v>
      </c>
      <c r="M126" s="283">
        <v>807</v>
      </c>
      <c r="N126" s="280">
        <v>6.8163566862612823E-2</v>
      </c>
      <c r="O126" s="280">
        <v>5.7821856287425151E-2</v>
      </c>
      <c r="P126" s="283">
        <v>8524</v>
      </c>
    </row>
    <row r="127" spans="1:16">
      <c r="A127" s="264"/>
      <c r="B127" s="284" t="s">
        <v>139</v>
      </c>
      <c r="C127" s="285" t="s">
        <v>143</v>
      </c>
      <c r="D127" s="279">
        <v>5.9568068841639163E-2</v>
      </c>
      <c r="E127" s="266">
        <v>81.45</v>
      </c>
      <c r="F127" s="280">
        <v>0.56915400571845043</v>
      </c>
      <c r="G127" s="281">
        <v>28111.351410726566</v>
      </c>
      <c r="H127" s="282">
        <v>10.07</v>
      </c>
      <c r="I127" s="282">
        <v>11.49</v>
      </c>
      <c r="J127" s="280">
        <v>5.2258064516129035E-2</v>
      </c>
      <c r="K127" s="281">
        <v>73483.649999999994</v>
      </c>
      <c r="L127" s="280">
        <v>5.5526331170728853E-2</v>
      </c>
      <c r="M127" s="283">
        <v>807</v>
      </c>
      <c r="N127" s="280">
        <v>6.8163566862612823E-2</v>
      </c>
      <c r="O127" s="280">
        <v>5.7821856287425151E-2</v>
      </c>
      <c r="P127" s="283">
        <v>24174</v>
      </c>
    </row>
    <row r="128" spans="1:16">
      <c r="A128" s="264"/>
      <c r="B128" s="284" t="s">
        <v>139</v>
      </c>
      <c r="C128" s="285" t="s">
        <v>144</v>
      </c>
      <c r="D128" s="279">
        <v>2.4366286438529783E-2</v>
      </c>
      <c r="E128" s="266">
        <v>83.81</v>
      </c>
      <c r="F128" s="280">
        <v>0.31627421623338325</v>
      </c>
      <c r="G128" s="281">
        <v>43369.468554283601</v>
      </c>
      <c r="H128" s="282">
        <v>5.98</v>
      </c>
      <c r="I128" s="282">
        <v>7.08</v>
      </c>
      <c r="J128" s="280">
        <v>5.2258064516129035E-2</v>
      </c>
      <c r="K128" s="281">
        <v>80925.23</v>
      </c>
      <c r="L128" s="280">
        <v>5.5526331170728853E-2</v>
      </c>
      <c r="M128" s="283">
        <v>807</v>
      </c>
      <c r="N128" s="280">
        <v>6.8163566862612823E-2</v>
      </c>
      <c r="O128" s="280">
        <v>5.7821856287425151E-2</v>
      </c>
      <c r="P128" s="283">
        <v>31754</v>
      </c>
    </row>
    <row r="129" spans="1:16">
      <c r="A129" s="264"/>
      <c r="B129" s="284" t="s">
        <v>139</v>
      </c>
      <c r="C129" s="285" t="s">
        <v>145</v>
      </c>
      <c r="D129" s="279">
        <v>9.3962611094085199E-2</v>
      </c>
      <c r="E129" s="266">
        <v>85.24</v>
      </c>
      <c r="F129" s="280">
        <v>0.28790689829650867</v>
      </c>
      <c r="G129" s="281">
        <v>38202.727063900413</v>
      </c>
      <c r="H129" s="282">
        <v>5.6</v>
      </c>
      <c r="I129" s="282">
        <v>7.91</v>
      </c>
      <c r="J129" s="280">
        <v>5.2258064516129035E-2</v>
      </c>
      <c r="K129" s="281">
        <v>59944.22</v>
      </c>
      <c r="L129" s="280">
        <v>5.5526331170728853E-2</v>
      </c>
      <c r="M129" s="283">
        <v>807</v>
      </c>
      <c r="N129" s="280">
        <v>6.8163566862612823E-2</v>
      </c>
      <c r="O129" s="280">
        <v>5.7821856287425151E-2</v>
      </c>
      <c r="P129" s="283">
        <v>16608</v>
      </c>
    </row>
    <row r="130" spans="1:16">
      <c r="A130" s="264"/>
      <c r="B130" s="284" t="s">
        <v>139</v>
      </c>
      <c r="C130" s="285" t="s">
        <v>146</v>
      </c>
      <c r="D130" s="279">
        <v>8.7520600301553342E-2</v>
      </c>
      <c r="E130" s="266">
        <v>83.06</v>
      </c>
      <c r="F130" s="280">
        <v>0.54008532574882229</v>
      </c>
      <c r="G130" s="281">
        <v>31306.00894479451</v>
      </c>
      <c r="H130" s="282">
        <v>8.84</v>
      </c>
      <c r="I130" s="282">
        <v>11.23</v>
      </c>
      <c r="J130" s="280">
        <v>5.2258064516129035E-2</v>
      </c>
      <c r="K130" s="281">
        <v>62705.279999999999</v>
      </c>
      <c r="L130" s="280">
        <v>5.5526331170728853E-2</v>
      </c>
      <c r="M130" s="283">
        <v>807</v>
      </c>
      <c r="N130" s="280">
        <v>6.8163566862612823E-2</v>
      </c>
      <c r="O130" s="280">
        <v>5.7821856287425151E-2</v>
      </c>
      <c r="P130" s="283">
        <v>28655</v>
      </c>
    </row>
    <row r="131" spans="1:16">
      <c r="A131" s="264"/>
      <c r="B131" s="284" t="s">
        <v>139</v>
      </c>
      <c r="C131" s="285" t="s">
        <v>331</v>
      </c>
      <c r="D131" s="279">
        <v>3.7210950651191635E-2</v>
      </c>
      <c r="E131" s="266">
        <v>84.45</v>
      </c>
      <c r="F131" s="280">
        <v>0.26099092812281927</v>
      </c>
      <c r="G131" s="281">
        <v>54441.104586305271</v>
      </c>
      <c r="H131" s="282">
        <v>6.23</v>
      </c>
      <c r="I131" s="282">
        <v>7.7</v>
      </c>
      <c r="J131" s="280">
        <v>5.2258064516129035E-2</v>
      </c>
      <c r="K131" s="281">
        <v>119894.91</v>
      </c>
      <c r="L131" s="280">
        <v>5.5526331170728853E-2</v>
      </c>
      <c r="M131" s="283">
        <v>807</v>
      </c>
      <c r="N131" s="280">
        <v>6.8163566862612823E-2</v>
      </c>
      <c r="O131" s="280">
        <v>5.7821856287425151E-2</v>
      </c>
      <c r="P131" s="283">
        <v>11365</v>
      </c>
    </row>
    <row r="132" spans="1:16">
      <c r="A132" s="264"/>
      <c r="B132" s="284" t="s">
        <v>147</v>
      </c>
      <c r="C132" s="285" t="s">
        <v>148</v>
      </c>
      <c r="D132" s="279">
        <v>2.411807055435565E-2</v>
      </c>
      <c r="E132" s="266">
        <v>83.91</v>
      </c>
      <c r="F132" s="280">
        <v>0.20959836623553438</v>
      </c>
      <c r="G132" s="281">
        <v>52281.190739049795</v>
      </c>
      <c r="H132" s="282">
        <v>4.9800000000000004</v>
      </c>
      <c r="I132" s="282">
        <v>6.35</v>
      </c>
      <c r="J132" s="280">
        <v>3.3185413852980898E-2</v>
      </c>
      <c r="K132" s="281">
        <v>88289.33</v>
      </c>
      <c r="L132" s="280">
        <v>9.351803144543808E-3</v>
      </c>
      <c r="M132" s="283">
        <v>73</v>
      </c>
      <c r="N132" s="280">
        <v>8.2554367029648908E-3</v>
      </c>
      <c r="O132" s="280">
        <v>9.2315369261477039E-3</v>
      </c>
      <c r="P132" s="283">
        <v>19508</v>
      </c>
    </row>
    <row r="133" spans="1:16">
      <c r="A133" s="264"/>
      <c r="B133" s="284" t="s">
        <v>147</v>
      </c>
      <c r="C133" s="285" t="s">
        <v>149</v>
      </c>
      <c r="D133" s="279">
        <v>0.13823857302118173</v>
      </c>
      <c r="E133" s="266">
        <v>81.84</v>
      </c>
      <c r="F133" s="280">
        <v>0.59191176470588236</v>
      </c>
      <c r="G133" s="281">
        <v>24254.314661654134</v>
      </c>
      <c r="H133" s="282">
        <v>7.82</v>
      </c>
      <c r="I133" s="282">
        <v>9.27</v>
      </c>
      <c r="J133" s="280">
        <v>3.3185413852980898E-2</v>
      </c>
      <c r="K133" s="281">
        <v>73598.759999999995</v>
      </c>
      <c r="L133" s="280">
        <v>9.351803144543808E-3</v>
      </c>
      <c r="M133" s="283">
        <v>73</v>
      </c>
      <c r="N133" s="280">
        <v>8.2554367029648908E-3</v>
      </c>
      <c r="O133" s="280">
        <v>9.2315369261477039E-3</v>
      </c>
      <c r="P133" s="283">
        <v>1830</v>
      </c>
    </row>
    <row r="134" spans="1:16">
      <c r="B134" s="284" t="s">
        <v>147</v>
      </c>
      <c r="C134" s="285" t="s">
        <v>150</v>
      </c>
      <c r="D134" s="279">
        <v>0.10169029443838604</v>
      </c>
      <c r="E134" s="266">
        <v>82.96</v>
      </c>
      <c r="F134" s="280">
        <v>0.5049638229850244</v>
      </c>
      <c r="G134" s="281">
        <v>29450.042165929957</v>
      </c>
      <c r="H134" s="282">
        <v>7.55</v>
      </c>
      <c r="I134" s="282">
        <v>10.039999999999999</v>
      </c>
      <c r="J134" s="280">
        <v>3.3185413852980898E-2</v>
      </c>
      <c r="K134" s="281">
        <v>82966.28</v>
      </c>
      <c r="L134" s="280">
        <v>9.351803144543808E-3</v>
      </c>
      <c r="M134" s="283">
        <v>73</v>
      </c>
      <c r="N134" s="280">
        <v>8.2554367029648908E-3</v>
      </c>
      <c r="O134" s="280">
        <v>9.2315369261477039E-3</v>
      </c>
      <c r="P134" s="283">
        <v>7464</v>
      </c>
    </row>
    <row r="135" spans="1:16">
      <c r="B135" s="284" t="s">
        <v>147</v>
      </c>
      <c r="C135" s="285" t="s">
        <v>151</v>
      </c>
      <c r="D135" s="279">
        <v>5.1914893617021278E-2</v>
      </c>
      <c r="E135" s="266">
        <v>83.02</v>
      </c>
      <c r="F135" s="280">
        <v>0.30694143167028198</v>
      </c>
      <c r="G135" s="281">
        <v>40271.041996996995</v>
      </c>
      <c r="H135" s="282">
        <v>5.77</v>
      </c>
      <c r="I135" s="282">
        <v>7.17</v>
      </c>
      <c r="J135" s="280">
        <v>3.3185413852980898E-2</v>
      </c>
      <c r="K135" s="281">
        <v>101313.54</v>
      </c>
      <c r="L135" s="280">
        <v>9.351803144543808E-3</v>
      </c>
      <c r="M135" s="283">
        <v>73</v>
      </c>
      <c r="N135" s="280">
        <v>8.2554367029648908E-3</v>
      </c>
      <c r="O135" s="280">
        <v>9.2315369261477039E-3</v>
      </c>
      <c r="P135" s="283">
        <v>12224</v>
      </c>
    </row>
    <row r="136" spans="1:16">
      <c r="B136" s="284" t="s">
        <v>147</v>
      </c>
      <c r="C136" s="285" t="s">
        <v>152</v>
      </c>
      <c r="D136" s="279">
        <v>2.4367509986684421E-2</v>
      </c>
      <c r="E136" s="266">
        <v>84.65</v>
      </c>
      <c r="F136" s="280">
        <v>0.15305913648455086</v>
      </c>
      <c r="G136" s="281">
        <v>65879.163713692949</v>
      </c>
      <c r="H136" s="282">
        <v>4.2</v>
      </c>
      <c r="I136" s="282">
        <v>5.46</v>
      </c>
      <c r="J136" s="280">
        <v>3.3185413852980898E-2</v>
      </c>
      <c r="K136" s="281">
        <v>115899.58</v>
      </c>
      <c r="L136" s="280">
        <v>9.351803144543808E-3</v>
      </c>
      <c r="M136" s="283">
        <v>73</v>
      </c>
      <c r="N136" s="280">
        <v>8.2554367029648908E-3</v>
      </c>
      <c r="O136" s="280">
        <v>9.2315369261477039E-3</v>
      </c>
      <c r="P136" s="283">
        <v>7585</v>
      </c>
    </row>
  </sheetData>
  <mergeCells count="3">
    <mergeCell ref="D1:F1"/>
    <mergeCell ref="H1:J1"/>
    <mergeCell ref="L1:O1"/>
  </mergeCells>
  <pageMargins left="0.7" right="0.7" top="0.75" bottom="0.75" header="0.3" footer="0.3"/>
  <pageSetup paperSize="9" orientation="landscape"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Introducción</vt:lpstr>
      <vt:lpstr>Modelo AHP</vt:lpstr>
      <vt:lpstr>Índices y Ranking Barrio</vt:lpstr>
      <vt:lpstr>Indices por Distritos</vt:lpstr>
      <vt:lpstr>aux</vt:lpstr>
      <vt:lpstr>correla</vt:lpstr>
      <vt:lpstr>Gráficos</vt:lpstr>
      <vt:lpstr>aux.2</vt:lpstr>
      <vt:lpstr>Fuentes de 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2019-11-11T15:04:20Z</dcterms:created>
  <dcterms:modified xsi:type="dcterms:W3CDTF">2022-04-25T08:56:18Z</dcterms:modified>
</cp:coreProperties>
</file>