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rrett\Documents\HUGO Website\Garrett\content\projects\2.007\"/>
    </mc:Choice>
  </mc:AlternateContent>
  <xr:revisionPtr revIDLastSave="0" documentId="8_{E6A838FB-65B2-46C8-B637-3623029FEB11}" xr6:coauthVersionLast="47" xr6:coauthVersionMax="47" xr10:uidLastSave="{00000000-0000-0000-0000-000000000000}"/>
  <bookViews>
    <workbookView xWindow="6825" yWindow="0" windowWidth="26865" windowHeight="21000" tabRatio="874" xr2:uid="{00000000-000D-0000-FFFF-FFFF00000000}"/>
  </bookViews>
  <sheets>
    <sheet name="Spinner 2 LDO" sheetId="26" r:id="rId1"/>
    <sheet name="Spinner 1 Speed" sheetId="25" r:id="rId2"/>
    <sheet name="Benzene" sheetId="24" r:id="rId3"/>
    <sheet name="Multiplier 2 Speed" sheetId="8" r:id="rId4"/>
    <sheet name="Multiplier Torque" sheetId="21" r:id="rId5"/>
    <sheet name="Multiplier 1 LDO" sheetId="22" r:id="rId6"/>
    <sheet name="2 Servo Drive" sheetId="6" r:id="rId7"/>
    <sheet name="DATA" sheetId="4" r:id="rId8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DATA!$J$5:$N$10</definedName>
    <definedName name="MotorChoice">DATA!$J$5:$J$10</definedName>
    <definedName name="Motors">DATA!$B$5:$B$20</definedName>
    <definedName name="MotorTwo">DATA!$J$13:$N$15</definedName>
    <definedName name="MotorTwochoice">DATA!$J$13:$J$15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5" l="1"/>
  <c r="F13" i="25"/>
  <c r="E5" i="26"/>
  <c r="G17" i="26"/>
  <c r="F5" i="26"/>
  <c r="G5" i="26"/>
  <c r="F17" i="26"/>
  <c r="C16" i="26"/>
  <c r="F12" i="26"/>
  <c r="F13" i="26"/>
  <c r="I13" i="26"/>
  <c r="G13" i="26"/>
  <c r="I12" i="26"/>
  <c r="G12" i="26"/>
  <c r="E5" i="25"/>
  <c r="D5" i="25"/>
  <c r="F12" i="25"/>
  <c r="I13" i="25"/>
  <c r="I12" i="25"/>
  <c r="F5" i="25"/>
  <c r="G5" i="25"/>
  <c r="F17" i="25"/>
  <c r="C16" i="25"/>
  <c r="G13" i="25"/>
  <c r="G12" i="25"/>
  <c r="D5" i="24"/>
  <c r="F12" i="24"/>
  <c r="E5" i="24"/>
  <c r="G17" i="24"/>
  <c r="F13" i="24"/>
  <c r="I14" i="24"/>
  <c r="I13" i="24"/>
  <c r="F5" i="24"/>
  <c r="G5" i="24"/>
  <c r="F17" i="24"/>
  <c r="C16" i="24"/>
  <c r="G13" i="24"/>
  <c r="G12" i="24"/>
  <c r="D5" i="22"/>
  <c r="F12" i="22"/>
  <c r="E5" i="22"/>
  <c r="G17" i="22"/>
  <c r="F13" i="22"/>
  <c r="I13" i="22"/>
  <c r="D5" i="21"/>
  <c r="F12" i="21"/>
  <c r="E5" i="21"/>
  <c r="G17" i="21"/>
  <c r="F13" i="21"/>
  <c r="I13" i="21"/>
  <c r="F5" i="22"/>
  <c r="G5" i="22"/>
  <c r="F17" i="22"/>
  <c r="C16" i="22"/>
  <c r="G13" i="22"/>
  <c r="G12" i="22"/>
  <c r="F5" i="21"/>
  <c r="G5" i="21"/>
  <c r="F17" i="21"/>
  <c r="C16" i="21"/>
  <c r="G13" i="21"/>
  <c r="G12" i="21"/>
  <c r="E5" i="8"/>
  <c r="G17" i="8"/>
  <c r="D5" i="8"/>
  <c r="F12" i="8"/>
  <c r="F13" i="8"/>
  <c r="I13" i="8"/>
  <c r="G14" i="4"/>
  <c r="G15" i="4"/>
  <c r="G16" i="4"/>
  <c r="G13" i="4"/>
  <c r="G12" i="4"/>
  <c r="G11" i="4"/>
  <c r="O5" i="4"/>
  <c r="O6" i="4"/>
  <c r="O7" i="4"/>
  <c r="O8" i="4"/>
  <c r="O9" i="4"/>
  <c r="O10" i="4"/>
  <c r="O13" i="4"/>
  <c r="O14" i="4"/>
  <c r="O15" i="4"/>
  <c r="G10" i="4"/>
  <c r="G5" i="8"/>
  <c r="F5" i="8"/>
  <c r="G12" i="6"/>
  <c r="F12" i="6"/>
  <c r="G6" i="4"/>
  <c r="G7" i="4"/>
  <c r="C16" i="8"/>
  <c r="F13" i="6"/>
  <c r="G5" i="4"/>
  <c r="G9" i="4"/>
  <c r="G8" i="4"/>
  <c r="F17" i="8"/>
  <c r="I12" i="6"/>
  <c r="G13" i="8"/>
  <c r="G12" i="8"/>
</calcChain>
</file>

<file path=xl/sharedStrings.xml><?xml version="1.0" encoding="utf-8"?>
<sst xmlns="http://schemas.openxmlformats.org/spreadsheetml/2006/main" count="235" uniqueCount="106">
  <si>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</si>
  <si>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</si>
  <si>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</si>
  <si>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</si>
  <si>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</si>
  <si>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</si>
  <si>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</si>
  <si>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</si>
  <si>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</si>
  <si>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</si>
  <si>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</si>
  <si>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</si>
  <si>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</si>
  <si>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Power (W)</t>
  </si>
  <si>
    <t># Gearboxes in Drivetrain</t>
  </si>
  <si>
    <t># Motors per Gearbox</t>
  </si>
  <si>
    <t>&lt;-- Overall Gear Ratio</t>
  </si>
  <si>
    <t>Drivetrain Free-Speed</t>
  </si>
  <si>
    <t>Drivetrain Adjusted 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</si>
  <si>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</si>
  <si>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</si>
  <si>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</si>
  <si>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</si>
  <si>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</si>
  <si>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</si>
  <si>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</si>
  <si>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</si>
  <si>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</si>
  <si>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</si>
  <si>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</si>
  <si>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BAG Motor</t>
  </si>
  <si>
    <t>1-Speed Drivetrain</t>
  </si>
  <si>
    <t>Stall Torque (N-m)</t>
  </si>
  <si>
    <t>Motor Specifications</t>
  </si>
  <si>
    <t>WCP - DS Gear Options</t>
  </si>
  <si>
    <t>Input Stage</t>
  </si>
  <si>
    <t>2 CIM</t>
  </si>
  <si>
    <t>Standard 12-tooth Pinion [50:12]</t>
  </si>
  <si>
    <t>Low Gear Option 1 (2.16x Shifter Spread) [50:34]</t>
  </si>
  <si>
    <t>3rd Stage Option 1 [64:20]</t>
  </si>
  <si>
    <t>Standard 12-tooth Pinion [40:12]</t>
  </si>
  <si>
    <t>Standard 2nd Stage [40:14]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</si>
  <si>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</si>
  <si>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</si>
  <si>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</si>
  <si>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</si>
  <si>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</si>
  <si>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</si>
  <si>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</si>
  <si>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</si>
  <si>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</si>
  <si>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</si>
  <si>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</si>
  <si>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</si>
  <si>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</si>
  <si>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</si>
  <si>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</si>
  <si>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</si>
  <si>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</si>
  <si>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</si>
  <si>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</si>
  <si>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</si>
  <si>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</si>
  <si>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</si>
  <si>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</si>
  <si>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</si>
  <si>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</si>
  <si>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</si>
  <si>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</si>
  <si>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</si>
  <si>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Specs used for VEXpro &amp; WCP Gearbox Calculators</t>
  </si>
  <si>
    <t>3rd Stage Option 3 [60:24]</t>
  </si>
  <si>
    <t>3rd Stage Option 4 [64:20]</t>
  </si>
  <si>
    <t>3rd Stage Option 1 [50:34]</t>
  </si>
  <si>
    <t>3rd Stage Option 2 [54:30]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</si>
  <si>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</si>
  <si>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</si>
  <si>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</si>
  <si>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</si>
  <si>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</si>
  <si>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</si>
  <si>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</si>
  <si>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</si>
  <si>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</si>
  <si>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</si>
  <si>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</si>
  <si>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</si>
  <si>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</si>
  <si>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</si>
  <si>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</si>
  <si>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</si>
  <si>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"Pushing" Current Draw per Motor</t>
  </si>
  <si>
    <t>Mini CIM</t>
  </si>
  <si>
    <t>1 CIM + 1 Mini CIM (Copioli)</t>
  </si>
  <si>
    <t>1 CIM + 2 Mini CIM (Copioli)</t>
  </si>
  <si>
    <t>2 CIM + 1 Mini CIM (Copioli)</t>
  </si>
  <si>
    <t>Speed 25-3</t>
  </si>
  <si>
    <t>Torque 25-2</t>
  </si>
  <si>
    <t>N/A</t>
  </si>
  <si>
    <t>gearbox len</t>
  </si>
  <si>
    <t>gear ratios for  LDO</t>
  </si>
  <si>
    <t>LDO</t>
  </si>
  <si>
    <t>seconds</t>
  </si>
  <si>
    <t>271  LDO</t>
  </si>
  <si>
    <t>to pull 1 meter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</si>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</sst>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\ &quot;: 1&quot;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</numFmts>
  <fonts count="1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8.4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CFF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4175AA"/>
      </left>
      <right style="medium">
        <color rgb="FFDDDDDD"/>
      </right>
      <top style="medium">
        <color rgb="FF4175AA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4175AA"/>
      </top>
      <bottom style="medium">
        <color rgb="FFDDDDDD"/>
      </bottom>
      <diagonal/>
    </border>
    <border>
      <left style="medium">
        <color rgb="FFDDDDDD"/>
      </left>
      <right style="medium">
        <color rgb="FF4175AA"/>
      </right>
      <top style="medium">
        <color rgb="FF4175AA"/>
      </top>
      <bottom style="medium">
        <color rgb="FFDDDDDD"/>
      </bottom>
      <diagonal/>
    </border>
    <border>
      <left style="medium">
        <color rgb="FF4175AA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4175AA"/>
      </right>
      <top style="medium">
        <color rgb="FFDDDDDD"/>
      </top>
      <bottom style="medium">
        <color rgb="FFDDDDDD"/>
      </bottom>
      <diagonal/>
    </border>
    <border>
      <left style="medium">
        <color rgb="FF4175AA"/>
      </left>
      <right style="medium">
        <color rgb="FFDDDDDD"/>
      </right>
      <top style="medium">
        <color rgb="FFDDDDDD"/>
      </top>
      <bottom style="medium">
        <color rgb="FF4175AA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4175AA"/>
      </bottom>
      <diagonal/>
    </border>
    <border>
      <left style="medium">
        <color rgb="FFDDDDDD"/>
      </left>
      <right style="medium">
        <color rgb="FF4175AA"/>
      </right>
      <top style="medium">
        <color rgb="FFDDDDDD"/>
      </top>
      <bottom style="medium">
        <color rgb="FF4175AA"/>
      </bottom>
      <diagonal/>
    </border>
  </borders>
  <cellStyleXfs count="2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8" fontId="5" fillId="0" borderId="5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1" fontId="2" fillId="0" borderId="5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0" fillId="3" borderId="0" xfId="0" applyFill="1" applyAlignment="1">
      <alignment horizontal="right" vertical="center"/>
    </xf>
    <xf numFmtId="20" fontId="7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/>
    <xf numFmtId="2" fontId="12" fillId="0" borderId="5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20" fontId="12" fillId="0" borderId="0" xfId="0" quotePrefix="1" applyNumberFormat="1" applyFont="1" applyAlignment="1">
      <alignment horizontal="right"/>
    </xf>
    <xf numFmtId="0" fontId="12" fillId="0" borderId="0" xfId="0" quotePrefix="1" applyFont="1" applyAlignment="1">
      <alignment horizontal="right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horizontal="right"/>
    </xf>
    <xf numFmtId="0" fontId="12" fillId="0" borderId="0" xfId="0" applyFont="1" applyAlignment="1">
      <alignment horizontal="center"/>
    </xf>
    <xf numFmtId="0" fontId="6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top" wrapText="1"/>
    </xf>
    <xf numFmtId="0" fontId="14" fillId="6" borderId="10" xfId="0" applyFont="1" applyFill="1" applyBorder="1" applyAlignment="1">
      <alignment vertical="top" wrapText="1"/>
    </xf>
    <xf numFmtId="0" fontId="14" fillId="7" borderId="11" xfId="0" applyFont="1" applyFill="1" applyBorder="1" applyAlignment="1">
      <alignment vertical="top" wrapText="1"/>
    </xf>
    <xf numFmtId="0" fontId="14" fillId="7" borderId="12" xfId="0" applyFont="1" applyFill="1" applyBorder="1" applyAlignment="1">
      <alignment vertical="top" wrapText="1"/>
    </xf>
    <xf numFmtId="0" fontId="14" fillId="7" borderId="13" xfId="0" applyFont="1" applyFill="1" applyBorder="1" applyAlignment="1">
      <alignment vertical="top" wrapText="1"/>
    </xf>
    <xf numFmtId="0" fontId="14" fillId="6" borderId="14" xfId="0" applyFont="1" applyFill="1" applyBorder="1" applyAlignment="1">
      <alignment vertical="top" wrapText="1"/>
    </xf>
    <xf numFmtId="0" fontId="14" fillId="6" borderId="15" xfId="0" applyFont="1" applyFill="1" applyBorder="1" applyAlignment="1">
      <alignment vertical="top" wrapText="1"/>
    </xf>
    <xf numFmtId="0" fontId="14" fillId="7" borderId="14" xfId="0" applyFont="1" applyFill="1" applyBorder="1" applyAlignment="1">
      <alignment vertical="top" wrapText="1"/>
    </xf>
    <xf numFmtId="0" fontId="14" fillId="7" borderId="15" xfId="0" applyFont="1" applyFill="1" applyBorder="1" applyAlignment="1">
      <alignment vertical="top" wrapText="1"/>
    </xf>
    <xf numFmtId="0" fontId="14" fillId="6" borderId="16" xfId="0" applyFont="1" applyFill="1" applyBorder="1" applyAlignment="1">
      <alignment vertical="top" wrapText="1"/>
    </xf>
    <xf numFmtId="0" fontId="14" fillId="6" borderId="17" xfId="0" applyFont="1" applyFill="1" applyBorder="1" applyAlignment="1">
      <alignment vertical="top" wrapText="1"/>
    </xf>
    <xf numFmtId="0" fontId="14" fillId="6" borderId="18" xfId="0" applyFont="1" applyFill="1" applyBorder="1" applyAlignment="1">
      <alignment vertical="top" wrapText="1"/>
    </xf>
  </cellXfs>
  <cellStyles count="2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4733-F2D0-D54E-9369-D2F4EF2F17E3}">
  <sheetPr>
    <tabColor theme="7"/>
  </sheetPr>
  <dimension ref="A1:J19"/>
  <sheetViews>
    <sheetView tabSelected="1" workbookViewId="0">
      <selection activeCell="E40" sqref="E40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4.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101</v>
      </c>
      <c r="D5" s="12">
        <v>118</v>
      </c>
      <c r="E5" s="12">
        <f>VLOOKUP($C$5,Specs,3,FALSE)</f>
        <v>0.94099999999999995</v>
      </c>
      <c r="F5" s="12">
        <f>VLOOKUP($C$5,Specs,4,FALSE)</f>
        <v>1.06</v>
      </c>
      <c r="G5" s="12">
        <f>VLOOKUP($C$5,Specs,5,FALSE)</f>
        <v>0.04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2</v>
      </c>
      <c r="D8" s="13">
        <v>0.9</v>
      </c>
      <c r="F8" s="17">
        <v>1.5</v>
      </c>
      <c r="G8" s="17">
        <v>1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/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9</v>
      </c>
      <c r="D12" s="17">
        <v>4</v>
      </c>
      <c r="E12" s="11" t="s">
        <v>23</v>
      </c>
      <c r="F12" s="40">
        <f>D$5*(C12*C13*C14*C15/D12/D13/D14/D15)*(360/60)</f>
        <v>1593</v>
      </c>
      <c r="G12" s="41">
        <f>90/F12</f>
        <v>5.6497175141242938E-2</v>
      </c>
      <c r="H12" s="14"/>
      <c r="I12" s="9">
        <f>F12/6</f>
        <v>265.5</v>
      </c>
      <c r="J12" t="s">
        <v>105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1234.3542384419472</v>
      </c>
      <c r="G13" s="41">
        <f>90/F13</f>
        <v>7.2912618758130335E-2</v>
      </c>
      <c r="H13" s="16"/>
      <c r="I13" s="9">
        <f>F13/6</f>
        <v>205.72570640699121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/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0.44444444444444442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0.24667721852497954</v>
      </c>
      <c r="G17" s="42">
        <f>E5*C8*(1/(C12*C13*C14*C15/D12/D13/D14/D15))*39.37*0.2248*D8/G8</f>
        <v>6.6625630527999977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1612C5DA-1134-0D44-80B2-C12A2B3850C4}">
      <formula1>Motors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BEF9-CE47-48A7-A33A-DD0A9EE8739B}">
  <sheetPr>
    <tabColor theme="7"/>
  </sheetPr>
  <dimension ref="A1:J19"/>
  <sheetViews>
    <sheetView workbookViewId="0">
      <selection activeCell="L7" sqref="L7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4.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96</v>
      </c>
      <c r="D5" s="12">
        <f>VLOOKUP($C$5,Specs,2,FALSE)</f>
        <v>145</v>
      </c>
      <c r="E5" s="12">
        <f>VLOOKUP($C$5,Specs,3,FALSE)</f>
        <v>1.0591181999999999</v>
      </c>
      <c r="F5" s="12">
        <f>VLOOKUP($C$5,Specs,4,FALSE)</f>
        <v>3</v>
      </c>
      <c r="G5" s="12">
        <f>VLOOKUP($C$5,Specs,5,FALSE)</f>
        <v>0.23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1</v>
      </c>
      <c r="D8" s="13">
        <v>0.9</v>
      </c>
      <c r="F8" s="17">
        <v>1.25</v>
      </c>
      <c r="G8" s="17">
        <v>1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/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9</v>
      </c>
      <c r="D12" s="17">
        <v>4</v>
      </c>
      <c r="E12" s="11" t="s">
        <v>23</v>
      </c>
      <c r="F12" s="40">
        <f>D$5*(C12*C13*C14*C15/D12/D13/D14/D15)*(360/60)</f>
        <v>1957.5</v>
      </c>
      <c r="G12" s="41">
        <f>90/F12</f>
        <v>4.5977011494252873E-2</v>
      </c>
      <c r="H12" s="14"/>
      <c r="I12" s="9">
        <f>F12/6</f>
        <v>326.25</v>
      </c>
      <c r="J12" t="s">
        <v>105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1304.9021484996458</v>
      </c>
      <c r="G13" s="41">
        <f>90/F13</f>
        <v>6.8970688801057195E-2</v>
      </c>
      <c r="H13" s="16"/>
      <c r="I13" s="9">
        <f>F13/6</f>
        <v>217.48369141660763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/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0.44444444444444442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1.0611246200717155</v>
      </c>
      <c r="G17" s="42">
        <f>E5*C8*(1/(C12*C13*C14*C15/D12/D13/D14/D15))*39.37*0.2248*D8/G8</f>
        <v>3.7494377193772794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CB7C5F4F-E5B5-42D6-907D-0953517C0D5E}">
      <formula1>Motors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CE5D-9D1F-45FE-BCCC-6590839D2CAB}">
  <sheetPr>
    <tabColor theme="7"/>
  </sheetPr>
  <dimension ref="A1:J19"/>
  <sheetViews>
    <sheetView zoomScale="145" zoomScaleNormal="145" workbookViewId="0">
      <selection activeCell="J16" sqref="J16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4.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96</v>
      </c>
      <c r="D5" s="12">
        <f>VLOOKUP($C$5,Specs,2,FALSE)</f>
        <v>145</v>
      </c>
      <c r="E5" s="12">
        <f>VLOOKUP($C$5,Specs,3,FALSE)</f>
        <v>1.0591181999999999</v>
      </c>
      <c r="F5" s="12">
        <f>VLOOKUP($C$5,Specs,4,FALSE)</f>
        <v>3</v>
      </c>
      <c r="G5" s="12">
        <f>VLOOKUP($C$5,Specs,5,FALSE)</f>
        <v>0.23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1</v>
      </c>
      <c r="D8" s="13">
        <v>0.9</v>
      </c>
      <c r="F8" s="17">
        <v>30</v>
      </c>
      <c r="G8" s="17">
        <v>2.5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/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1</v>
      </c>
      <c r="D12" s="17">
        <v>5</v>
      </c>
      <c r="E12" s="11" t="s">
        <v>23</v>
      </c>
      <c r="F12" s="40">
        <f>D$5*(C12*C13*C14*C15/D12/D13/D14/D15)*(360/60)</f>
        <v>174</v>
      </c>
      <c r="G12" s="41">
        <f>90/F12</f>
        <v>0.51724137931034486</v>
      </c>
      <c r="H12" s="14"/>
      <c r="I12" s="9" t="s">
        <v>104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-135.37972219276043</v>
      </c>
      <c r="G13" s="41">
        <f>90/F13</f>
        <v>-0.66479675495162782</v>
      </c>
      <c r="H13" s="16"/>
      <c r="I13" s="1">
        <f>40*60*6/(F13*G8*2*PI())</f>
        <v>-6.7715641409281924</v>
      </c>
      <c r="J13" t="s">
        <v>102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>
        <f>990/F13</f>
        <v>-7.3127643044679056</v>
      </c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5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4.6626646403824825</v>
      </c>
      <c r="G17" s="42">
        <f>E5*C8*(1/(C12*C13*C14*C15/D12/D13/D14/D15))*39.37*0.2248*D8/G8</f>
        <v>16.872469737197758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3D5A765E-C894-49EE-8F93-EB3163FCD8A0}">
      <formula1>Motors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19"/>
  <sheetViews>
    <sheetView workbookViewId="0">
      <selection activeCell="C12" sqref="C12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4.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96</v>
      </c>
      <c r="D5" s="12">
        <f>VLOOKUP($C$5,Specs,2,FALSE)</f>
        <v>145</v>
      </c>
      <c r="E5" s="12">
        <f>VLOOKUP($C$5,Specs,3,FALSE)</f>
        <v>1.0591181999999999</v>
      </c>
      <c r="F5" s="12">
        <f>VLOOKUP($C$5,Specs,4,FALSE)</f>
        <v>3</v>
      </c>
      <c r="G5" s="12">
        <f>VLOOKUP($C$5,Specs,5,FALSE)</f>
        <v>0.23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2</v>
      </c>
      <c r="D8" s="13">
        <v>0.85</v>
      </c>
      <c r="F8" s="17">
        <v>13.5</v>
      </c>
      <c r="G8" s="17">
        <v>0.5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/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4</v>
      </c>
      <c r="D12" s="17">
        <v>9</v>
      </c>
      <c r="E12" s="11" t="s">
        <v>23</v>
      </c>
      <c r="F12" s="40">
        <f>D$5*(C12*C13*C14*C15/D12/D13/D14/D15)*(360/60)</f>
        <v>386.66666666666663</v>
      </c>
      <c r="G12" s="41">
        <f>90/F12</f>
        <v>0.23275862068965519</v>
      </c>
      <c r="H12" s="14"/>
      <c r="I12" s="9" t="s">
        <v>104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313.87143791542888</v>
      </c>
      <c r="G13" s="41">
        <f>90/F13</f>
        <v>0.28674160540931432</v>
      </c>
      <c r="H13" s="16"/>
      <c r="I13" s="1">
        <f>40*60*6/(F13*G8*2*PI())</f>
        <v>14.603630045119401</v>
      </c>
      <c r="J13" t="s">
        <v>102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/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2.25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0.67326646403824819</v>
      </c>
      <c r="G17" s="42">
        <f>E5*C8*(1/(C12*C13*C14*C15/D12/D13/D14/D15))*39.37*0.2248*D8/G8</f>
        <v>71.707996383090475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 xr:uid="{00000000-0002-0000-09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69D2-8462-4CF3-A863-65A26465179D}">
  <sheetPr>
    <tabColor theme="7"/>
  </sheetPr>
  <dimension ref="A1:J19"/>
  <sheetViews>
    <sheetView workbookViewId="0">
      <selection activeCell="I12" sqref="I12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3.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97</v>
      </c>
      <c r="D5" s="12">
        <f>VLOOKUP($C$5,Specs,2,FALSE)</f>
        <v>60</v>
      </c>
      <c r="E5" s="12">
        <f>VLOOKUP($C$5,Specs,3,FALSE)</f>
        <v>2.4712757999999999</v>
      </c>
      <c r="F5" s="12">
        <f>VLOOKUP($C$5,Specs,4,FALSE)</f>
        <v>3</v>
      </c>
      <c r="G5" s="12">
        <f>VLOOKUP($C$5,Specs,5,FALSE)</f>
        <v>0.2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1</v>
      </c>
      <c r="D8" s="13">
        <v>0.95</v>
      </c>
      <c r="F8" s="17">
        <v>13.5</v>
      </c>
      <c r="G8" s="17">
        <v>0.5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/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1</v>
      </c>
      <c r="D12" s="17">
        <v>1</v>
      </c>
      <c r="E12" s="11" t="s">
        <v>23</v>
      </c>
      <c r="F12" s="40">
        <f>D$5*(C12*C13*C14*C15/D12/D13/D14/D15)*(360/60)</f>
        <v>360</v>
      </c>
      <c r="G12" s="41">
        <f>90/F12</f>
        <v>0.25</v>
      </c>
      <c r="H12" s="14"/>
      <c r="I12" s="9" t="s">
        <v>104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243.05013353460077</v>
      </c>
      <c r="G13" s="41">
        <f>90/F13</f>
        <v>0.37029397470866865</v>
      </c>
      <c r="H13" s="16"/>
      <c r="I13" s="1">
        <f>40*60*6/(F13*G8*2*PI())</f>
        <v>18.858917271049567</v>
      </c>
      <c r="J13" t="s">
        <v>102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/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1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1.0641295688832273</v>
      </c>
      <c r="G17" s="42">
        <f>E5*C8*(1/(C12*C13*C14*C15/D12/D13/D14/D15))*39.37*0.2248*D8/G8</f>
        <v>41.556268056431513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C9EDAC50-7214-4D3F-82A8-35E7480B28EA}">
      <formula1>Motors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E6A5-89D0-40F5-8EB2-810EB7977092}">
  <sheetPr>
    <tabColor theme="7"/>
  </sheetPr>
  <dimension ref="A1:J19"/>
  <sheetViews>
    <sheetView workbookViewId="0">
      <selection activeCell="I29" sqref="I29"/>
    </sheetView>
  </sheetViews>
  <sheetFormatPr defaultColWidth="10.875" defaultRowHeight="15.75" x14ac:dyDescent="0.25"/>
  <cols>
    <col min="1" max="1" width="5.875" customWidth="1"/>
    <col min="2" max="2" width="2.375" customWidth="1"/>
    <col min="3" max="3" width="11.625" customWidth="1"/>
    <col min="4" max="4" width="11.125" customWidth="1"/>
    <col min="6" max="6" width="14.125" customWidth="1"/>
    <col min="7" max="7" width="11.5" customWidth="1"/>
    <col min="8" max="8" width="2.875" customWidth="1"/>
    <col min="9" max="9" width="13.1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65" t="s">
        <v>19</v>
      </c>
      <c r="C2" s="1"/>
      <c r="D2" s="1"/>
      <c r="E2" s="1"/>
      <c r="F2" s="1"/>
      <c r="G2" s="1"/>
      <c r="H2" s="1"/>
      <c r="I2" s="1"/>
    </row>
    <row r="3" spans="1:10" x14ac:dyDescent="0.25">
      <c r="A3" s="1"/>
      <c r="B3" s="2"/>
      <c r="C3" s="31"/>
      <c r="D3" s="3"/>
      <c r="E3" s="3"/>
      <c r="F3" s="3"/>
      <c r="G3" s="3"/>
      <c r="H3" s="4"/>
      <c r="I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55" t="s">
        <v>101</v>
      </c>
      <c r="D5" s="12">
        <f>VLOOKUP($C$5,Specs,2,FALSE)</f>
        <v>59</v>
      </c>
      <c r="E5" s="12">
        <f>VLOOKUP($C$5,Specs,3,FALSE)</f>
        <v>0.94099999999999995</v>
      </c>
      <c r="F5" s="12">
        <f>VLOOKUP($C$5,Specs,4,FALSE)</f>
        <v>1.06</v>
      </c>
      <c r="G5" s="12">
        <f>VLOOKUP($C$5,Specs,5,FALSE)</f>
        <v>0.04</v>
      </c>
      <c r="H5" s="14"/>
      <c r="I5" s="9"/>
    </row>
    <row r="6" spans="1:10" x14ac:dyDescent="0.25">
      <c r="A6" s="1"/>
      <c r="B6" s="15"/>
      <c r="C6" s="5"/>
      <c r="D6" s="5"/>
      <c r="E6" s="9"/>
      <c r="F6" s="9"/>
      <c r="G6" s="1"/>
      <c r="H6" s="16"/>
      <c r="I6" s="1"/>
    </row>
    <row r="7" spans="1:10" ht="31.5" x14ac:dyDescent="0.25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6"/>
      <c r="I7" s="1"/>
    </row>
    <row r="8" spans="1:10" x14ac:dyDescent="0.25">
      <c r="A8" s="1"/>
      <c r="B8" s="15"/>
      <c r="C8" s="17">
        <v>1</v>
      </c>
      <c r="D8" s="13">
        <v>0.95</v>
      </c>
      <c r="F8" s="17">
        <v>13.5</v>
      </c>
      <c r="G8" s="17">
        <v>0.5</v>
      </c>
      <c r="H8" s="16"/>
      <c r="I8" s="1"/>
    </row>
    <row r="9" spans="1:10" ht="16.5" thickBot="1" x14ac:dyDescent="0.3">
      <c r="A9" s="1"/>
      <c r="B9" s="18"/>
      <c r="C9" s="19"/>
      <c r="D9" s="19"/>
      <c r="E9" s="20"/>
      <c r="F9" s="20"/>
      <c r="G9" s="20"/>
      <c r="H9" s="23"/>
      <c r="I9" s="1"/>
    </row>
    <row r="10" spans="1:10" x14ac:dyDescent="0.25">
      <c r="A10" s="1"/>
      <c r="B10" s="2"/>
      <c r="C10" s="31"/>
      <c r="D10" s="24"/>
      <c r="E10" s="3"/>
      <c r="F10" s="3"/>
      <c r="G10" s="3"/>
      <c r="H10" s="4"/>
      <c r="I10" s="1"/>
    </row>
    <row r="11" spans="1:10" ht="47.25" x14ac:dyDescent="0.25">
      <c r="A11" s="5"/>
      <c r="B11" s="6"/>
      <c r="C11" s="33" t="s">
        <v>11</v>
      </c>
      <c r="D11" s="33" t="s">
        <v>12</v>
      </c>
      <c r="E11" s="5" t="s">
        <v>103</v>
      </c>
      <c r="F11" s="68" t="s">
        <v>25</v>
      </c>
      <c r="G11" s="68" t="s">
        <v>26</v>
      </c>
      <c r="H11" s="8"/>
      <c r="I11" s="5"/>
    </row>
    <row r="12" spans="1:10" x14ac:dyDescent="0.25">
      <c r="A12" s="9"/>
      <c r="B12" s="10"/>
      <c r="C12" s="17">
        <v>1</v>
      </c>
      <c r="D12" s="17">
        <v>2</v>
      </c>
      <c r="E12" s="11" t="s">
        <v>23</v>
      </c>
      <c r="F12" s="40">
        <f>D$5*(C12*C13*C14*C15/D12/D13/D14/D15)*(360/60)</f>
        <v>177</v>
      </c>
      <c r="G12" s="41">
        <f>90/F12</f>
        <v>0.50847457627118642</v>
      </c>
      <c r="H12" s="14"/>
      <c r="I12" s="9" t="s">
        <v>104</v>
      </c>
    </row>
    <row r="13" spans="1:10" x14ac:dyDescent="0.25">
      <c r="A13" s="1"/>
      <c r="B13" s="15"/>
      <c r="C13" s="17">
        <v>1</v>
      </c>
      <c r="D13" s="17">
        <v>1</v>
      </c>
      <c r="E13" s="11" t="s">
        <v>24</v>
      </c>
      <c r="F13" s="40">
        <f>((-1)*(F12/(G17))*(F$8))+(F12)</f>
        <v>101.49562914567312</v>
      </c>
      <c r="G13" s="41">
        <f>90/F13</f>
        <v>0.88673769262345425</v>
      </c>
      <c r="H13" s="16"/>
      <c r="I13" s="1">
        <f>40*60*6/(F13*G8*2*PI())</f>
        <v>45.16117984221583</v>
      </c>
      <c r="J13" t="s">
        <v>102</v>
      </c>
    </row>
    <row r="14" spans="1:10" x14ac:dyDescent="0.25">
      <c r="A14" s="1"/>
      <c r="B14" s="15"/>
      <c r="C14" s="17">
        <v>1</v>
      </c>
      <c r="D14" s="17">
        <v>1</v>
      </c>
      <c r="E14" s="1"/>
      <c r="G14" s="1"/>
      <c r="H14" s="16"/>
      <c r="I14" s="1"/>
    </row>
    <row r="15" spans="1:10" x14ac:dyDescent="0.25">
      <c r="A15" s="1"/>
      <c r="B15" s="15"/>
      <c r="C15" s="17">
        <v>1</v>
      </c>
      <c r="D15" s="17">
        <v>1</v>
      </c>
      <c r="E15" s="1"/>
      <c r="H15" s="16"/>
      <c r="I15" s="1"/>
    </row>
    <row r="16" spans="1:10" ht="47.25" x14ac:dyDescent="0.25">
      <c r="A16" s="1"/>
      <c r="B16" s="15"/>
      <c r="C16" s="37">
        <f>D12*D13*D14*D15/C12/C13/C14/C15</f>
        <v>2</v>
      </c>
      <c r="D16" s="38" t="s">
        <v>28</v>
      </c>
      <c r="E16" s="1"/>
      <c r="F16" s="68" t="s">
        <v>29</v>
      </c>
      <c r="G16" s="68" t="s">
        <v>27</v>
      </c>
      <c r="H16" s="16"/>
      <c r="I16" s="1"/>
    </row>
    <row r="17" spans="1:9" x14ac:dyDescent="0.25">
      <c r="A17" s="1"/>
      <c r="B17" s="15"/>
      <c r="C17" s="34"/>
      <c r="D17" s="1"/>
      <c r="E17" s="1"/>
      <c r="F17" s="39">
        <f>((((F$5*C$8)-(G$5*C$8))/(E$5*C$8))*(F$8*G$8*(C12*C13*C14*C15/D12/D13/D14/D15)/(0.2248*39.37))+(G$5*C$8))/C$8</f>
        <v>0.45335443704995904</v>
      </c>
      <c r="G17" s="42">
        <f>E5*C8*(1/(C12*C13*C14*C15/D12/D13/D14/D15))*39.37*0.2248*D8/G8</f>
        <v>31.647174500799991</v>
      </c>
      <c r="H17" s="16"/>
      <c r="I17" s="1"/>
    </row>
    <row r="18" spans="1:9" ht="16.5" thickBot="1" x14ac:dyDescent="0.3">
      <c r="A18" s="1"/>
      <c r="B18" s="18"/>
      <c r="C18" s="20"/>
      <c r="D18" s="20"/>
      <c r="E18" s="20"/>
      <c r="F18" s="20"/>
      <c r="G18" s="20"/>
      <c r="H18" s="23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9E037F6A-6E31-4E9D-ABA4-B28FDC8205AC}">
      <formula1>Motors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L17"/>
  <sheetViews>
    <sheetView workbookViewId="0">
      <selection activeCell="E22" sqref="E22"/>
    </sheetView>
  </sheetViews>
  <sheetFormatPr defaultColWidth="10.875" defaultRowHeight="15.75" x14ac:dyDescent="0.25"/>
  <cols>
    <col min="1" max="1" width="5.875" customWidth="1"/>
    <col min="2" max="2" width="3.5" customWidth="1"/>
    <col min="3" max="3" width="11.625" customWidth="1"/>
    <col min="4" max="4" width="11.125" customWidth="1"/>
    <col min="6" max="6" width="10.125" customWidth="1"/>
    <col min="8" max="8" width="4.125" customWidth="1"/>
    <col min="9" max="9" width="12.625" customWidth="1"/>
    <col min="11" max="11" width="2.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 x14ac:dyDescent="0.3">
      <c r="A2" s="1"/>
      <c r="B2" s="65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2"/>
      <c r="C3" s="31"/>
      <c r="D3" s="3"/>
      <c r="E3" s="3"/>
      <c r="F3" s="3"/>
      <c r="G3" s="3"/>
      <c r="H3" s="3"/>
      <c r="I3" s="3"/>
      <c r="J3" s="3"/>
      <c r="K3" s="4"/>
      <c r="L3" s="1"/>
    </row>
    <row r="4" spans="1:12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25">
      <c r="A5" s="9"/>
      <c r="B5" s="10"/>
      <c r="C5" s="55" t="s">
        <v>96</v>
      </c>
      <c r="D5" s="12">
        <v>145</v>
      </c>
      <c r="E5" s="12">
        <v>1.0591181999999999</v>
      </c>
      <c r="F5" s="12">
        <v>3</v>
      </c>
      <c r="G5" s="12">
        <v>0.23</v>
      </c>
      <c r="H5" s="9"/>
      <c r="I5" s="13">
        <v>0.81</v>
      </c>
      <c r="J5" s="13">
        <v>0.9</v>
      </c>
      <c r="K5" s="14"/>
      <c r="L5" s="9"/>
    </row>
    <row r="6" spans="1:12" x14ac:dyDescent="0.25">
      <c r="A6" s="1"/>
      <c r="B6" s="15"/>
      <c r="C6" s="5"/>
      <c r="D6" s="5"/>
      <c r="E6" s="9"/>
      <c r="F6" s="9"/>
      <c r="G6" s="1"/>
      <c r="H6" s="1"/>
      <c r="I6" s="1"/>
      <c r="J6" s="1"/>
      <c r="K6" s="16"/>
      <c r="L6" s="1"/>
    </row>
    <row r="7" spans="1:12" ht="47.25" x14ac:dyDescent="0.25">
      <c r="A7" s="1"/>
      <c r="B7" s="15"/>
      <c r="C7" s="7" t="s">
        <v>14</v>
      </c>
      <c r="D7" s="7" t="s">
        <v>15</v>
      </c>
      <c r="E7" s="9"/>
      <c r="F7" s="7" t="s">
        <v>7</v>
      </c>
      <c r="G7" s="7" t="s">
        <v>8</v>
      </c>
      <c r="I7" s="32" t="s">
        <v>9</v>
      </c>
      <c r="J7" s="32" t="s">
        <v>10</v>
      </c>
      <c r="K7" s="16"/>
      <c r="L7" s="1"/>
    </row>
    <row r="8" spans="1:12" x14ac:dyDescent="0.25">
      <c r="A8" s="1"/>
      <c r="B8" s="15"/>
      <c r="C8" s="17">
        <v>2</v>
      </c>
      <c r="D8" s="17">
        <v>1</v>
      </c>
      <c r="E8" s="1"/>
      <c r="F8" s="17">
        <v>7</v>
      </c>
      <c r="G8" s="13">
        <v>1</v>
      </c>
      <c r="I8" s="17">
        <v>3</v>
      </c>
      <c r="J8" s="17">
        <v>0.70589999999999997</v>
      </c>
      <c r="K8" s="16"/>
      <c r="L8" s="1"/>
    </row>
    <row r="9" spans="1:12" ht="16.5" thickBot="1" x14ac:dyDescent="0.3">
      <c r="A9" s="1"/>
      <c r="B9" s="18"/>
      <c r="C9" s="19"/>
      <c r="D9" s="19"/>
      <c r="E9" s="20"/>
      <c r="F9" s="20"/>
      <c r="G9" s="20"/>
      <c r="H9" s="20"/>
      <c r="I9" s="21"/>
      <c r="J9" s="22"/>
      <c r="K9" s="23"/>
      <c r="L9" s="1"/>
    </row>
    <row r="10" spans="1:12" x14ac:dyDescent="0.25">
      <c r="A10" s="1"/>
      <c r="B10" s="2"/>
      <c r="C10" s="31"/>
      <c r="D10" s="24"/>
      <c r="E10" s="3"/>
      <c r="F10" s="3"/>
      <c r="G10" s="3"/>
      <c r="H10" s="3"/>
      <c r="I10" s="25"/>
      <c r="J10" s="26"/>
      <c r="K10" s="4"/>
      <c r="L10" s="1"/>
    </row>
    <row r="11" spans="1:12" ht="47.25" x14ac:dyDescent="0.25">
      <c r="A11" s="5"/>
      <c r="B11" s="6"/>
      <c r="C11" s="33" t="s">
        <v>11</v>
      </c>
      <c r="D11" s="33" t="s">
        <v>12</v>
      </c>
      <c r="E11" s="5"/>
      <c r="F11" s="68" t="s">
        <v>17</v>
      </c>
      <c r="G11" s="68" t="s">
        <v>18</v>
      </c>
      <c r="I11" s="69" t="s">
        <v>91</v>
      </c>
      <c r="K11" s="8"/>
      <c r="L11" s="5"/>
    </row>
    <row r="12" spans="1:12" x14ac:dyDescent="0.25">
      <c r="A12" s="9"/>
      <c r="B12" s="10"/>
      <c r="C12" s="17">
        <v>1</v>
      </c>
      <c r="D12" s="17">
        <v>1</v>
      </c>
      <c r="E12" s="9"/>
      <c r="F12" s="35">
        <f>G12/I$5</f>
        <v>1.898045561543833</v>
      </c>
      <c r="G12" s="35">
        <f>D$5*I$5*((I$8*0.0254/2)*2*PI())/(0.3048*60)*C12/D12*C13/D13*C14/D14*C15/D15</f>
        <v>1.5374169048505049</v>
      </c>
      <c r="I12" s="36">
        <f>((F$5-G$5)/E$5*(F$8*G$8*J$8/C$8*4.44822161526*I$8*0.0254/2/J$5/D$8*C12/D12*C13/D13*C14/D14*C15/D15))+G$5</f>
        <v>1.446789480954735</v>
      </c>
      <c r="K12" s="14"/>
      <c r="L12" s="9"/>
    </row>
    <row r="13" spans="1:12" x14ac:dyDescent="0.25">
      <c r="A13" s="1"/>
      <c r="B13" s="15"/>
      <c r="C13" s="17">
        <v>1</v>
      </c>
      <c r="D13" s="17">
        <v>1</v>
      </c>
      <c r="E13" s="1"/>
      <c r="F13" s="34">
        <f>D12*D13*D14*D15/C12/C13/C14/C15</f>
        <v>1</v>
      </c>
      <c r="G13" s="1" t="s">
        <v>16</v>
      </c>
      <c r="H13" s="1"/>
      <c r="I13" s="1"/>
      <c r="K13" s="16"/>
      <c r="L13" s="1"/>
    </row>
    <row r="14" spans="1:12" x14ac:dyDescent="0.25">
      <c r="A14" s="1"/>
      <c r="B14" s="15"/>
      <c r="C14" s="17">
        <v>1</v>
      </c>
      <c r="D14" s="17">
        <v>1</v>
      </c>
      <c r="E14" s="1"/>
      <c r="F14" s="1"/>
      <c r="G14" s="1"/>
      <c r="H14" s="1"/>
      <c r="I14" s="27"/>
      <c r="J14" s="1"/>
      <c r="K14" s="16"/>
      <c r="L14" s="1"/>
    </row>
    <row r="15" spans="1:12" x14ac:dyDescent="0.25">
      <c r="A15" s="1"/>
      <c r="B15" s="15"/>
      <c r="C15" s="17">
        <v>1</v>
      </c>
      <c r="D15" s="17">
        <v>1</v>
      </c>
      <c r="E15" s="1"/>
      <c r="F15" s="1"/>
      <c r="G15" s="1"/>
      <c r="H15" s="1"/>
      <c r="I15" s="28"/>
      <c r="J15" s="1"/>
      <c r="K15" s="16"/>
      <c r="L15" s="1"/>
    </row>
    <row r="16" spans="1:12" ht="16.5" thickBot="1" x14ac:dyDescent="0.3">
      <c r="A16" s="1"/>
      <c r="B16" s="18"/>
      <c r="C16" s="20"/>
      <c r="D16" s="20"/>
      <c r="E16" s="20"/>
      <c r="F16" s="20"/>
      <c r="G16" s="20"/>
      <c r="H16" s="20"/>
      <c r="I16" s="20"/>
      <c r="J16" s="20"/>
      <c r="K16" s="23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 xr:uid="{00000000-0002-0000-05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499984740745262"/>
  </sheetPr>
  <dimension ref="A1:O92"/>
  <sheetViews>
    <sheetView workbookViewId="0">
      <selection activeCell="G17" sqref="G17"/>
    </sheetView>
  </sheetViews>
  <sheetFormatPr defaultColWidth="11" defaultRowHeight="12.75" x14ac:dyDescent="0.2"/>
  <cols>
    <col min="1" max="1" width="3.5" style="46" customWidth="1"/>
    <col min="2" max="2" width="36.625" style="50" customWidth="1"/>
    <col min="3" max="9" width="11" style="46"/>
    <col min="10" max="10" width="23.125" style="46" customWidth="1"/>
    <col min="11" max="16384" width="11" style="46"/>
  </cols>
  <sheetData>
    <row r="1" spans="1:15" ht="26.1" customHeight="1" x14ac:dyDescent="0.2">
      <c r="A1" s="45"/>
      <c r="B1" s="54" t="s">
        <v>33</v>
      </c>
      <c r="C1" s="45"/>
      <c r="D1" s="45"/>
      <c r="E1" s="45"/>
      <c r="F1" s="45"/>
      <c r="G1" s="45"/>
      <c r="H1" s="45"/>
      <c r="I1" s="45"/>
    </row>
    <row r="2" spans="1:15" x14ac:dyDescent="0.2">
      <c r="A2" s="45"/>
      <c r="B2" s="53" t="s">
        <v>79</v>
      </c>
      <c r="C2" s="45"/>
      <c r="D2" s="45"/>
      <c r="E2" s="45"/>
      <c r="F2" s="45"/>
      <c r="G2" s="45"/>
      <c r="H2" s="45"/>
      <c r="I2" s="45"/>
    </row>
    <row r="3" spans="1:15" ht="15.75" x14ac:dyDescent="0.2">
      <c r="A3" s="45"/>
      <c r="B3" s="53" t="s">
        <v>78</v>
      </c>
      <c r="C3" s="45"/>
      <c r="D3" s="45"/>
      <c r="E3" s="45"/>
      <c r="F3" s="45"/>
      <c r="G3" s="45"/>
      <c r="H3" s="45"/>
      <c r="I3" s="45"/>
      <c r="J3" s="54" t="s">
        <v>70</v>
      </c>
    </row>
    <row r="4" spans="1:15" ht="34.5" customHeight="1" x14ac:dyDescent="0.2">
      <c r="A4" s="47"/>
      <c r="B4" s="43"/>
      <c r="C4" s="47" t="s">
        <v>0</v>
      </c>
      <c r="D4" s="47" t="s">
        <v>32</v>
      </c>
      <c r="E4" s="47" t="s">
        <v>2</v>
      </c>
      <c r="F4" s="47" t="s">
        <v>3</v>
      </c>
      <c r="G4" s="47" t="s">
        <v>13</v>
      </c>
      <c r="H4" s="47"/>
      <c r="I4" s="47"/>
      <c r="J4" s="43"/>
      <c r="K4" s="47" t="s">
        <v>0</v>
      </c>
      <c r="L4" s="47" t="s">
        <v>1</v>
      </c>
      <c r="M4" s="47" t="s">
        <v>2</v>
      </c>
      <c r="N4" s="47" t="s">
        <v>3</v>
      </c>
      <c r="O4" s="47" t="s">
        <v>13</v>
      </c>
    </row>
    <row r="5" spans="1:15" x14ac:dyDescent="0.2">
      <c r="A5" s="45"/>
      <c r="B5" s="43" t="s">
        <v>6</v>
      </c>
      <c r="C5" s="51">
        <v>5330</v>
      </c>
      <c r="D5" s="29">
        <v>2.41</v>
      </c>
      <c r="E5" s="29">
        <v>131</v>
      </c>
      <c r="F5" s="29">
        <v>2.7</v>
      </c>
      <c r="G5" s="48">
        <f>C5/2*(1/60*2*PI())*D5/2</f>
        <v>336.28916760964142</v>
      </c>
      <c r="H5" s="45"/>
      <c r="I5" s="45"/>
      <c r="J5" s="43" t="s">
        <v>42</v>
      </c>
      <c r="K5" s="51">
        <v>5330</v>
      </c>
      <c r="L5" s="29">
        <v>2.41</v>
      </c>
      <c r="M5" s="29">
        <v>131</v>
      </c>
      <c r="N5" s="29">
        <v>2.7</v>
      </c>
      <c r="O5" s="61">
        <f t="shared" ref="O5:O10" si="0">K5/2*(1/60*2*PI())*L5/2</f>
        <v>336.28916760964142</v>
      </c>
    </row>
    <row r="6" spans="1:15" x14ac:dyDescent="0.2">
      <c r="A6" s="45"/>
      <c r="B6" s="43" t="s">
        <v>92</v>
      </c>
      <c r="C6" s="52">
        <v>5840</v>
      </c>
      <c r="D6" s="49">
        <v>1.41</v>
      </c>
      <c r="E6" s="49">
        <v>89</v>
      </c>
      <c r="F6" s="49">
        <v>3</v>
      </c>
      <c r="G6" s="48">
        <f t="shared" ref="G6" si="1">C6/2*(1/60*2*PI())*D6/2</f>
        <v>215.57608788933157</v>
      </c>
      <c r="H6" s="45"/>
      <c r="I6" s="45"/>
      <c r="J6" s="43" t="s">
        <v>93</v>
      </c>
      <c r="K6" s="51">
        <v>5508</v>
      </c>
      <c r="L6" s="44">
        <v>3.82</v>
      </c>
      <c r="M6" s="44">
        <v>220</v>
      </c>
      <c r="N6" s="44">
        <v>8.16</v>
      </c>
      <c r="O6" s="61">
        <f t="shared" si="0"/>
        <v>550.84057269512709</v>
      </c>
    </row>
    <row r="7" spans="1:15" x14ac:dyDescent="0.2">
      <c r="A7" s="45"/>
      <c r="B7" s="43" t="s">
        <v>30</v>
      </c>
      <c r="C7" s="52">
        <v>13180</v>
      </c>
      <c r="D7" s="49">
        <v>0.43</v>
      </c>
      <c r="E7" s="49">
        <v>53</v>
      </c>
      <c r="F7" s="49">
        <v>1.8</v>
      </c>
      <c r="G7" s="48">
        <f t="shared" ref="G7" si="2">C7/2*(1/60*2*PI())*D7/2</f>
        <v>148.37218504128995</v>
      </c>
      <c r="H7" s="45"/>
      <c r="I7" s="45"/>
      <c r="J7" s="43" t="s">
        <v>36</v>
      </c>
      <c r="K7" s="51">
        <v>5330</v>
      </c>
      <c r="L7" s="29">
        <v>4.82</v>
      </c>
      <c r="M7" s="29">
        <v>262</v>
      </c>
      <c r="N7" s="29">
        <v>5.4</v>
      </c>
      <c r="O7" s="61">
        <f t="shared" si="0"/>
        <v>672.57833521928285</v>
      </c>
    </row>
    <row r="8" spans="1:15" x14ac:dyDescent="0.2">
      <c r="A8" s="45"/>
      <c r="B8" s="43" t="s">
        <v>75</v>
      </c>
      <c r="C8" s="51">
        <v>18730</v>
      </c>
      <c r="D8" s="29">
        <v>0.71</v>
      </c>
      <c r="E8" s="29">
        <v>134</v>
      </c>
      <c r="F8" s="29">
        <v>0.7</v>
      </c>
      <c r="G8" s="48">
        <f>C8/2*(1/60*2*PI())*D8/2</f>
        <v>348.14867987694288</v>
      </c>
      <c r="H8" s="30"/>
      <c r="I8" s="45"/>
      <c r="J8" s="43" t="s">
        <v>94</v>
      </c>
      <c r="K8" s="51">
        <v>5593</v>
      </c>
      <c r="L8" s="44">
        <v>5.23</v>
      </c>
      <c r="M8" s="44">
        <v>309</v>
      </c>
      <c r="N8" s="44">
        <v>9.6199999999999992</v>
      </c>
      <c r="O8" s="61">
        <f t="shared" si="0"/>
        <v>765.79959942741618</v>
      </c>
    </row>
    <row r="9" spans="1:15" x14ac:dyDescent="0.2">
      <c r="A9" s="45"/>
      <c r="B9" s="43" t="s">
        <v>76</v>
      </c>
      <c r="C9" s="51">
        <v>5800</v>
      </c>
      <c r="D9" s="29">
        <v>0.28000000000000003</v>
      </c>
      <c r="E9" s="29">
        <v>18</v>
      </c>
      <c r="F9" s="29">
        <v>1.6</v>
      </c>
      <c r="G9" s="48">
        <f>C9/2*(1/60*2*PI())*D9/2</f>
        <v>42.516220578581873</v>
      </c>
      <c r="H9" s="45"/>
      <c r="I9" s="45"/>
      <c r="J9" s="43" t="s">
        <v>95</v>
      </c>
      <c r="K9" s="51">
        <v>5437</v>
      </c>
      <c r="L9" s="44">
        <v>6.23</v>
      </c>
      <c r="M9" s="44">
        <v>351</v>
      </c>
      <c r="N9" s="44">
        <v>9.15</v>
      </c>
      <c r="O9" s="61">
        <f t="shared" si="0"/>
        <v>886.78023812205663</v>
      </c>
    </row>
    <row r="10" spans="1:15" x14ac:dyDescent="0.2">
      <c r="A10" s="45"/>
      <c r="B10" s="43" t="s">
        <v>77</v>
      </c>
      <c r="C10" s="51">
        <v>14270</v>
      </c>
      <c r="D10" s="44">
        <v>0.36</v>
      </c>
      <c r="E10" s="44">
        <v>71</v>
      </c>
      <c r="F10" s="44">
        <v>3.7</v>
      </c>
      <c r="G10" s="48">
        <f t="shared" ref="G10" si="3">C10/2*(1/60*2*PI())*D10/2</f>
        <v>134.49158150017902</v>
      </c>
      <c r="H10" s="45"/>
      <c r="I10" s="45"/>
      <c r="J10" s="43" t="s">
        <v>43</v>
      </c>
      <c r="K10" s="51">
        <v>5330</v>
      </c>
      <c r="L10" s="29">
        <v>7.23</v>
      </c>
      <c r="M10" s="29">
        <v>393</v>
      </c>
      <c r="N10" s="29">
        <v>8.1000000000000014</v>
      </c>
      <c r="O10" s="61">
        <f t="shared" si="0"/>
        <v>1008.8675028289243</v>
      </c>
    </row>
    <row r="11" spans="1:15" x14ac:dyDescent="0.2">
      <c r="A11" s="45"/>
      <c r="B11" s="43" t="s">
        <v>93</v>
      </c>
      <c r="C11" s="51">
        <v>5508</v>
      </c>
      <c r="D11" s="44">
        <v>3.82</v>
      </c>
      <c r="E11" s="44">
        <v>220</v>
      </c>
      <c r="F11" s="44">
        <v>8.16</v>
      </c>
      <c r="G11" s="48">
        <f t="shared" ref="G11:G16" si="4">C11/2*(1/60*2*PI())*D11/2</f>
        <v>550.84057269512709</v>
      </c>
      <c r="H11" s="45"/>
      <c r="I11" s="45"/>
      <c r="J11" s="62"/>
      <c r="K11" s="60"/>
      <c r="L11" s="60"/>
      <c r="M11" s="60"/>
      <c r="N11" s="60"/>
      <c r="O11" s="60"/>
    </row>
    <row r="12" spans="1:15" x14ac:dyDescent="0.2">
      <c r="A12" s="45"/>
      <c r="B12" s="43" t="s">
        <v>94</v>
      </c>
      <c r="C12" s="51">
        <v>5593</v>
      </c>
      <c r="D12" s="44">
        <v>5.23</v>
      </c>
      <c r="E12" s="44">
        <v>309</v>
      </c>
      <c r="F12" s="44">
        <v>9.6199999999999992</v>
      </c>
      <c r="G12" s="48">
        <f t="shared" si="4"/>
        <v>765.79959942741618</v>
      </c>
      <c r="H12" s="45"/>
      <c r="I12" s="45"/>
      <c r="J12" s="43"/>
      <c r="K12" s="47"/>
      <c r="L12" s="47"/>
      <c r="M12" s="47"/>
      <c r="N12" s="47"/>
      <c r="O12" s="47"/>
    </row>
    <row r="13" spans="1:15" x14ac:dyDescent="0.2">
      <c r="B13" s="43" t="s">
        <v>95</v>
      </c>
      <c r="C13" s="51">
        <v>5437</v>
      </c>
      <c r="D13" s="44">
        <v>6.23</v>
      </c>
      <c r="E13" s="44">
        <v>351</v>
      </c>
      <c r="F13" s="44">
        <v>9.15</v>
      </c>
      <c r="G13" s="48">
        <f t="shared" si="4"/>
        <v>886.78023812205663</v>
      </c>
      <c r="J13" s="43" t="s">
        <v>42</v>
      </c>
      <c r="K13" s="51">
        <v>5330</v>
      </c>
      <c r="L13" s="29">
        <v>2.41</v>
      </c>
      <c r="M13" s="29">
        <v>131</v>
      </c>
      <c r="N13" s="29">
        <v>2.7</v>
      </c>
      <c r="O13" s="61">
        <f>K13/2*(1/60*2*PI())*L13/2</f>
        <v>336.28916760964142</v>
      </c>
    </row>
    <row r="14" spans="1:15" x14ac:dyDescent="0.2">
      <c r="B14" s="43" t="s">
        <v>101</v>
      </c>
      <c r="C14" s="51">
        <v>59</v>
      </c>
      <c r="D14" s="29">
        <v>0.94099999999999995</v>
      </c>
      <c r="E14" s="29">
        <v>1.06</v>
      </c>
      <c r="F14" s="29">
        <v>0.04</v>
      </c>
      <c r="G14" s="48">
        <f>C14/2*(1/60*2*PI())*D14/2</f>
        <v>1.4534840211220974</v>
      </c>
      <c r="J14" s="43" t="s">
        <v>93</v>
      </c>
      <c r="K14" s="51">
        <v>5508</v>
      </c>
      <c r="L14" s="44">
        <v>3.82</v>
      </c>
      <c r="M14" s="44">
        <v>220</v>
      </c>
      <c r="N14" s="44">
        <v>8.16</v>
      </c>
      <c r="O14" s="61">
        <f>K14/2*(1/60*2*PI())*L14/2</f>
        <v>550.84057269512709</v>
      </c>
    </row>
    <row r="15" spans="1:15" x14ac:dyDescent="0.2">
      <c r="B15" s="43" t="s">
        <v>96</v>
      </c>
      <c r="C15" s="51">
        <v>145</v>
      </c>
      <c r="D15" s="29">
        <v>1.0591181999999999</v>
      </c>
      <c r="E15" s="29">
        <v>3</v>
      </c>
      <c r="F15" s="29">
        <v>0.23</v>
      </c>
      <c r="G15" s="48">
        <f t="shared" si="4"/>
        <v>4.0205091973205871</v>
      </c>
      <c r="J15" s="43" t="s">
        <v>36</v>
      </c>
      <c r="K15" s="51">
        <v>5330</v>
      </c>
      <c r="L15" s="29">
        <v>4.82</v>
      </c>
      <c r="M15" s="29">
        <v>262</v>
      </c>
      <c r="N15" s="29">
        <v>5.4</v>
      </c>
      <c r="O15" s="61">
        <f>K15/2*(1/60*2*PI())*L15/2</f>
        <v>672.57833521928285</v>
      </c>
    </row>
    <row r="16" spans="1:15" x14ac:dyDescent="0.2">
      <c r="B16" s="43" t="s">
        <v>97</v>
      </c>
      <c r="C16" s="51">
        <v>60</v>
      </c>
      <c r="D16" s="44">
        <v>2.4712757999999999</v>
      </c>
      <c r="E16" s="44">
        <v>3</v>
      </c>
      <c r="F16" s="44">
        <v>0.2</v>
      </c>
      <c r="G16" s="48">
        <f t="shared" si="4"/>
        <v>3.8818709491371193</v>
      </c>
    </row>
    <row r="17" spans="2:12" x14ac:dyDescent="0.2">
      <c r="B17" s="62"/>
      <c r="C17" s="51"/>
      <c r="D17" s="44"/>
      <c r="F17" s="44"/>
      <c r="G17" s="48"/>
      <c r="I17" s="61"/>
    </row>
    <row r="18" spans="2:12" x14ac:dyDescent="0.2">
      <c r="C18" s="51"/>
      <c r="D18" s="44"/>
      <c r="E18" s="44"/>
      <c r="F18" s="44"/>
      <c r="G18" s="48"/>
    </row>
    <row r="19" spans="2:12" ht="13.5" thickBot="1" x14ac:dyDescent="0.25">
      <c r="C19" s="51"/>
      <c r="D19" s="44"/>
      <c r="E19" s="44"/>
      <c r="F19" s="44"/>
      <c r="G19" s="48"/>
      <c r="I19" s="60" t="s">
        <v>99</v>
      </c>
      <c r="J19" s="60" t="s">
        <v>100</v>
      </c>
    </row>
    <row r="20" spans="2:12" ht="13.5" thickBot="1" x14ac:dyDescent="0.25">
      <c r="B20" s="43"/>
      <c r="C20" s="51"/>
      <c r="D20" s="44"/>
      <c r="E20" s="44"/>
      <c r="F20" s="44"/>
      <c r="G20" s="48"/>
      <c r="I20" s="72">
        <v>19</v>
      </c>
      <c r="J20" s="73">
        <v>15</v>
      </c>
      <c r="K20" s="73">
        <v>20</v>
      </c>
      <c r="L20" s="74" t="s">
        <v>98</v>
      </c>
    </row>
    <row r="21" spans="2:12" ht="13.5" thickBot="1" x14ac:dyDescent="0.25">
      <c r="I21" s="75">
        <v>21</v>
      </c>
      <c r="J21" s="71">
        <v>26</v>
      </c>
      <c r="K21" s="71">
        <v>34</v>
      </c>
      <c r="L21" s="76">
        <v>45</v>
      </c>
    </row>
    <row r="22" spans="2:12" ht="13.5" thickBot="1" x14ac:dyDescent="0.25">
      <c r="I22" s="77">
        <v>23</v>
      </c>
      <c r="J22" s="70">
        <v>57</v>
      </c>
      <c r="K22" s="70">
        <v>75</v>
      </c>
      <c r="L22" s="78">
        <v>98</v>
      </c>
    </row>
    <row r="23" spans="2:12" ht="13.5" thickBot="1" x14ac:dyDescent="0.25">
      <c r="I23" s="75">
        <v>25</v>
      </c>
      <c r="J23" s="71">
        <v>125</v>
      </c>
      <c r="K23" s="71">
        <v>165</v>
      </c>
      <c r="L23" s="76">
        <v>217</v>
      </c>
    </row>
    <row r="24" spans="2:12" ht="13.5" thickBot="1" x14ac:dyDescent="0.25">
      <c r="I24" s="77">
        <v>27</v>
      </c>
      <c r="J24" s="70">
        <v>275</v>
      </c>
      <c r="K24" s="70">
        <v>362</v>
      </c>
      <c r="L24" s="78">
        <v>478</v>
      </c>
    </row>
    <row r="25" spans="2:12" ht="13.5" thickBot="1" x14ac:dyDescent="0.25">
      <c r="C25" s="56"/>
      <c r="I25" s="79">
        <v>29</v>
      </c>
      <c r="J25" s="80">
        <v>603</v>
      </c>
      <c r="K25" s="80">
        <v>796</v>
      </c>
      <c r="L25" s="81">
        <v>1051</v>
      </c>
    </row>
    <row r="26" spans="2:12" ht="15.75" x14ac:dyDescent="0.2">
      <c r="B26" s="54" t="s">
        <v>34</v>
      </c>
    </row>
    <row r="27" spans="2:12" x14ac:dyDescent="0.2">
      <c r="B27" s="58" t="s">
        <v>35</v>
      </c>
    </row>
    <row r="28" spans="2:12" x14ac:dyDescent="0.2">
      <c r="B28" s="64" t="s">
        <v>59</v>
      </c>
      <c r="C28" s="59">
        <v>11</v>
      </c>
      <c r="D28" s="59">
        <v>42</v>
      </c>
    </row>
    <row r="29" spans="2:12" x14ac:dyDescent="0.2">
      <c r="B29" s="64" t="s">
        <v>60</v>
      </c>
      <c r="C29" s="59">
        <v>12</v>
      </c>
      <c r="D29" s="59">
        <v>42</v>
      </c>
    </row>
    <row r="30" spans="2:12" x14ac:dyDescent="0.2">
      <c r="B30" s="63" t="s">
        <v>61</v>
      </c>
      <c r="C30" s="59">
        <v>13</v>
      </c>
      <c r="D30" s="59">
        <v>42</v>
      </c>
    </row>
    <row r="31" spans="2:12" x14ac:dyDescent="0.2">
      <c r="B31" s="63" t="s">
        <v>62</v>
      </c>
      <c r="C31" s="59">
        <v>13</v>
      </c>
      <c r="D31" s="59">
        <v>40</v>
      </c>
    </row>
    <row r="32" spans="2:12" x14ac:dyDescent="0.2">
      <c r="B32" s="63" t="s">
        <v>63</v>
      </c>
      <c r="C32" s="59">
        <v>14</v>
      </c>
      <c r="D32" s="59">
        <v>42</v>
      </c>
    </row>
    <row r="33" spans="2:4" x14ac:dyDescent="0.2">
      <c r="B33" s="63" t="s">
        <v>64</v>
      </c>
      <c r="C33" s="59">
        <v>14</v>
      </c>
      <c r="D33" s="59">
        <v>40</v>
      </c>
    </row>
    <row r="34" spans="2:4" x14ac:dyDescent="0.2">
      <c r="C34" s="59"/>
      <c r="D34" s="59"/>
    </row>
    <row r="35" spans="2:4" x14ac:dyDescent="0.2">
      <c r="B35" s="58" t="s">
        <v>58</v>
      </c>
      <c r="C35" s="59"/>
      <c r="D35" s="59"/>
    </row>
    <row r="36" spans="2:4" x14ac:dyDescent="0.2">
      <c r="B36" s="64" t="s">
        <v>66</v>
      </c>
      <c r="C36" s="59">
        <v>14</v>
      </c>
      <c r="D36" s="59">
        <v>60</v>
      </c>
    </row>
    <row r="37" spans="2:4" x14ac:dyDescent="0.2">
      <c r="B37" s="64" t="s">
        <v>65</v>
      </c>
      <c r="C37" s="59">
        <v>24</v>
      </c>
      <c r="D37" s="59">
        <v>50</v>
      </c>
    </row>
    <row r="38" spans="2:4" x14ac:dyDescent="0.2">
      <c r="C38" s="59"/>
      <c r="D38" s="59"/>
    </row>
    <row r="39" spans="2:4" x14ac:dyDescent="0.2">
      <c r="B39" s="58" t="s">
        <v>67</v>
      </c>
      <c r="C39" s="59"/>
      <c r="D39" s="59"/>
    </row>
    <row r="40" spans="2:4" x14ac:dyDescent="0.2">
      <c r="B40" s="64" t="s">
        <v>65</v>
      </c>
      <c r="C40" s="59">
        <v>24</v>
      </c>
      <c r="D40" s="59">
        <v>50</v>
      </c>
    </row>
    <row r="41" spans="2:4" x14ac:dyDescent="0.2">
      <c r="B41" s="64" t="s">
        <v>68</v>
      </c>
      <c r="C41" s="59">
        <v>30</v>
      </c>
      <c r="D41" s="59">
        <v>44</v>
      </c>
    </row>
    <row r="42" spans="2:4" x14ac:dyDescent="0.2">
      <c r="B42" s="64" t="s">
        <v>69</v>
      </c>
      <c r="C42" s="59">
        <v>34</v>
      </c>
      <c r="D42" s="59">
        <v>40</v>
      </c>
    </row>
    <row r="43" spans="2:4" x14ac:dyDescent="0.2">
      <c r="C43" s="59"/>
      <c r="D43" s="59"/>
    </row>
    <row r="44" spans="2:4" x14ac:dyDescent="0.2">
      <c r="C44" s="59"/>
      <c r="D44" s="59"/>
    </row>
    <row r="45" spans="2:4" x14ac:dyDescent="0.2">
      <c r="C45" s="59"/>
      <c r="D45" s="59"/>
    </row>
    <row r="46" spans="2:4" ht="15.75" x14ac:dyDescent="0.2">
      <c r="B46" s="54" t="s">
        <v>44</v>
      </c>
      <c r="C46" s="67"/>
      <c r="D46" s="67"/>
    </row>
    <row r="47" spans="2:4" x14ac:dyDescent="0.2">
      <c r="B47" s="57" t="s">
        <v>45</v>
      </c>
      <c r="C47" s="67"/>
      <c r="D47" s="67"/>
    </row>
    <row r="48" spans="2:4" x14ac:dyDescent="0.2">
      <c r="B48" s="63" t="s">
        <v>37</v>
      </c>
      <c r="C48" s="67">
        <v>12</v>
      </c>
      <c r="D48" s="67">
        <v>50</v>
      </c>
    </row>
    <row r="49" spans="2:4" x14ac:dyDescent="0.2">
      <c r="B49" s="62" t="s">
        <v>46</v>
      </c>
      <c r="C49" s="67">
        <v>11</v>
      </c>
      <c r="D49" s="67">
        <v>50</v>
      </c>
    </row>
    <row r="50" spans="2:4" x14ac:dyDescent="0.2">
      <c r="B50" s="62"/>
      <c r="C50" s="67"/>
      <c r="D50" s="67"/>
    </row>
    <row r="51" spans="2:4" x14ac:dyDescent="0.2">
      <c r="B51" s="62" t="s">
        <v>47</v>
      </c>
      <c r="C51" s="67">
        <v>50</v>
      </c>
      <c r="D51" s="67">
        <v>34</v>
      </c>
    </row>
    <row r="52" spans="2:4" x14ac:dyDescent="0.2">
      <c r="B52" s="62"/>
      <c r="C52" s="67"/>
      <c r="D52" s="67"/>
    </row>
    <row r="53" spans="2:4" x14ac:dyDescent="0.2">
      <c r="B53" s="62" t="s">
        <v>38</v>
      </c>
      <c r="C53" s="67">
        <v>34</v>
      </c>
      <c r="D53" s="67">
        <v>50</v>
      </c>
    </row>
    <row r="54" spans="2:4" x14ac:dyDescent="0.2">
      <c r="B54" s="62" t="s">
        <v>48</v>
      </c>
      <c r="C54" s="67">
        <v>30</v>
      </c>
      <c r="D54" s="67">
        <v>54</v>
      </c>
    </row>
    <row r="55" spans="2:4" x14ac:dyDescent="0.2">
      <c r="B55" s="62" t="s">
        <v>49</v>
      </c>
      <c r="C55" s="67">
        <v>24</v>
      </c>
      <c r="D55" s="67">
        <v>60</v>
      </c>
    </row>
    <row r="56" spans="2:4" x14ac:dyDescent="0.2">
      <c r="B56" s="62"/>
      <c r="C56" s="67"/>
      <c r="D56" s="67"/>
    </row>
    <row r="57" spans="2:4" x14ac:dyDescent="0.2">
      <c r="B57" s="62" t="s">
        <v>50</v>
      </c>
      <c r="C57" s="67">
        <v>1</v>
      </c>
      <c r="D57" s="67">
        <v>1</v>
      </c>
    </row>
    <row r="58" spans="2:4" x14ac:dyDescent="0.2">
      <c r="B58" s="62" t="s">
        <v>39</v>
      </c>
      <c r="C58" s="67">
        <v>20</v>
      </c>
      <c r="D58" s="67">
        <v>64</v>
      </c>
    </row>
    <row r="59" spans="2:4" x14ac:dyDescent="0.2">
      <c r="B59" s="62" t="s">
        <v>51</v>
      </c>
      <c r="C59" s="67">
        <v>24</v>
      </c>
      <c r="D59" s="67">
        <v>60</v>
      </c>
    </row>
    <row r="60" spans="2:4" x14ac:dyDescent="0.2">
      <c r="B60" s="62" t="s">
        <v>52</v>
      </c>
      <c r="C60" s="67">
        <v>30</v>
      </c>
      <c r="D60" s="67">
        <v>54</v>
      </c>
    </row>
    <row r="61" spans="2:4" x14ac:dyDescent="0.2">
      <c r="B61" s="62" t="s">
        <v>53</v>
      </c>
      <c r="C61" s="67">
        <v>34</v>
      </c>
      <c r="D61" s="67">
        <v>50</v>
      </c>
    </row>
    <row r="62" spans="2:4" x14ac:dyDescent="0.2">
      <c r="B62" s="62"/>
      <c r="C62" s="67"/>
      <c r="D62" s="67"/>
    </row>
    <row r="63" spans="2:4" x14ac:dyDescent="0.2">
      <c r="B63" s="62"/>
      <c r="C63" s="67"/>
      <c r="D63" s="67"/>
    </row>
    <row r="64" spans="2:4" ht="15.75" x14ac:dyDescent="0.2">
      <c r="B64" s="54" t="s">
        <v>54</v>
      </c>
      <c r="C64" s="67"/>
      <c r="D64" s="67"/>
    </row>
    <row r="65" spans="2:4" x14ac:dyDescent="0.2">
      <c r="B65" s="57" t="s">
        <v>45</v>
      </c>
      <c r="C65" s="67"/>
      <c r="D65" s="67"/>
    </row>
    <row r="66" spans="2:4" x14ac:dyDescent="0.2">
      <c r="B66" s="63" t="s">
        <v>40</v>
      </c>
      <c r="C66" s="67">
        <v>12</v>
      </c>
      <c r="D66" s="67">
        <v>40</v>
      </c>
    </row>
    <row r="67" spans="2:4" x14ac:dyDescent="0.2">
      <c r="B67" s="62" t="s">
        <v>55</v>
      </c>
      <c r="C67" s="67">
        <v>11</v>
      </c>
      <c r="D67" s="67">
        <v>40</v>
      </c>
    </row>
    <row r="68" spans="2:4" x14ac:dyDescent="0.2">
      <c r="B68" s="62"/>
      <c r="C68" s="67"/>
      <c r="D68" s="67"/>
    </row>
    <row r="69" spans="2:4" x14ac:dyDescent="0.2">
      <c r="B69" s="62" t="s">
        <v>50</v>
      </c>
      <c r="C69" s="67">
        <v>1</v>
      </c>
      <c r="D69" s="67">
        <v>1</v>
      </c>
    </row>
    <row r="70" spans="2:4" x14ac:dyDescent="0.2">
      <c r="B70" s="62" t="s">
        <v>73</v>
      </c>
      <c r="C70" s="59">
        <v>34</v>
      </c>
      <c r="D70" s="59">
        <v>50</v>
      </c>
    </row>
    <row r="71" spans="2:4" x14ac:dyDescent="0.2">
      <c r="B71" s="62" t="s">
        <v>74</v>
      </c>
      <c r="C71" s="67">
        <v>30</v>
      </c>
      <c r="D71" s="67">
        <v>54</v>
      </c>
    </row>
    <row r="72" spans="2:4" x14ac:dyDescent="0.2">
      <c r="B72" s="62" t="s">
        <v>71</v>
      </c>
      <c r="C72" s="67">
        <v>24</v>
      </c>
      <c r="D72" s="67">
        <v>60</v>
      </c>
    </row>
    <row r="73" spans="2:4" x14ac:dyDescent="0.2">
      <c r="B73" s="62" t="s">
        <v>72</v>
      </c>
      <c r="C73" s="67">
        <v>20</v>
      </c>
      <c r="D73" s="67">
        <v>64</v>
      </c>
    </row>
    <row r="74" spans="2:4" x14ac:dyDescent="0.2">
      <c r="B74" s="62"/>
      <c r="C74" s="67"/>
      <c r="D74" s="67"/>
    </row>
    <row r="75" spans="2:4" x14ac:dyDescent="0.2">
      <c r="B75" s="62" t="s">
        <v>41</v>
      </c>
      <c r="C75" s="67">
        <v>14</v>
      </c>
      <c r="D75" s="67">
        <v>40</v>
      </c>
    </row>
    <row r="76" spans="2:4" x14ac:dyDescent="0.2">
      <c r="B76" s="62" t="s">
        <v>56</v>
      </c>
      <c r="C76" s="67">
        <v>20</v>
      </c>
      <c r="D76" s="67">
        <v>34</v>
      </c>
    </row>
    <row r="77" spans="2:4" x14ac:dyDescent="0.2">
      <c r="B77" s="62" t="s">
        <v>57</v>
      </c>
      <c r="C77" s="67">
        <v>24</v>
      </c>
      <c r="D77" s="67">
        <v>30</v>
      </c>
    </row>
    <row r="78" spans="2:4" x14ac:dyDescent="0.2">
      <c r="C78" s="59"/>
      <c r="D78" s="59"/>
    </row>
    <row r="79" spans="2:4" x14ac:dyDescent="0.2">
      <c r="C79" s="59"/>
      <c r="D79" s="59"/>
    </row>
    <row r="80" spans="2:4" ht="15.75" x14ac:dyDescent="0.2">
      <c r="B80" s="54" t="s">
        <v>80</v>
      </c>
      <c r="C80" s="59"/>
      <c r="D80" s="59"/>
    </row>
    <row r="81" spans="2:4" x14ac:dyDescent="0.2">
      <c r="B81" s="58" t="s">
        <v>35</v>
      </c>
      <c r="C81" s="59"/>
      <c r="D81" s="59"/>
    </row>
    <row r="82" spans="2:4" x14ac:dyDescent="0.2">
      <c r="B82" s="63" t="s">
        <v>81</v>
      </c>
      <c r="C82" s="59">
        <v>11</v>
      </c>
      <c r="D82" s="59">
        <v>50</v>
      </c>
    </row>
    <row r="83" spans="2:4" x14ac:dyDescent="0.2">
      <c r="B83" s="63" t="s">
        <v>82</v>
      </c>
      <c r="C83" s="59">
        <v>12</v>
      </c>
      <c r="D83" s="59">
        <v>50</v>
      </c>
    </row>
    <row r="84" spans="2:4" x14ac:dyDescent="0.2">
      <c r="B84" s="63" t="s">
        <v>83</v>
      </c>
      <c r="C84" s="59">
        <v>13</v>
      </c>
      <c r="D84" s="59">
        <v>50</v>
      </c>
    </row>
    <row r="85" spans="2:4" x14ac:dyDescent="0.2">
      <c r="B85" s="63" t="s">
        <v>84</v>
      </c>
      <c r="C85" s="59">
        <v>14</v>
      </c>
      <c r="D85" s="59">
        <v>50</v>
      </c>
    </row>
    <row r="86" spans="2:4" x14ac:dyDescent="0.2">
      <c r="C86" s="59"/>
      <c r="D86" s="59"/>
    </row>
    <row r="87" spans="2:4" x14ac:dyDescent="0.2">
      <c r="B87" s="58" t="s">
        <v>85</v>
      </c>
      <c r="C87" s="59"/>
      <c r="D87" s="59"/>
    </row>
    <row r="88" spans="2:4" x14ac:dyDescent="0.2">
      <c r="B88" s="64" t="s">
        <v>86</v>
      </c>
      <c r="C88" s="59">
        <v>34</v>
      </c>
      <c r="D88" s="59">
        <v>40</v>
      </c>
    </row>
    <row r="89" spans="2:4" x14ac:dyDescent="0.2">
      <c r="B89" s="64" t="s">
        <v>87</v>
      </c>
      <c r="C89" s="59">
        <v>30</v>
      </c>
      <c r="D89" s="59">
        <v>44</v>
      </c>
    </row>
    <row r="90" spans="2:4" x14ac:dyDescent="0.2">
      <c r="B90" s="66" t="s">
        <v>88</v>
      </c>
      <c r="C90" s="59">
        <v>24</v>
      </c>
      <c r="D90" s="59">
        <v>50</v>
      </c>
    </row>
    <row r="91" spans="2:4" x14ac:dyDescent="0.2">
      <c r="B91" s="66" t="s">
        <v>89</v>
      </c>
      <c r="C91" s="59">
        <v>20</v>
      </c>
      <c r="D91" s="59">
        <v>54</v>
      </c>
    </row>
    <row r="92" spans="2:4" x14ac:dyDescent="0.2">
      <c r="B92" s="66" t="s">
        <v>90</v>
      </c>
      <c r="C92" s="59">
        <v>14</v>
      </c>
      <c r="D92" s="59">
        <v>60</v>
      </c>
    </row>
  </sheetData>
  <pageMargins left="0.75" right="0.75" top="1" bottom="1" header="0.5" footer="0.5"/>
  <pageSetup orientation="portrait" horizontalDpi="4294967292" verticalDpi="4294967292" r:id="rId1"/>
  <ignoredErrors>
    <ignoredError sqref="G15:G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Spinner 2 LDO</vt:lpstr>
      <vt:lpstr>Spinner 1 Speed</vt:lpstr>
      <vt:lpstr>Benzene</vt:lpstr>
      <vt:lpstr>Multiplier 2 Speed</vt:lpstr>
      <vt:lpstr>Multiplier Torque</vt:lpstr>
      <vt:lpstr>Multiplier 1 LDO</vt:lpstr>
      <vt:lpstr>2 Servo Drive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Garrett R Blosen</cp:lastModifiedBy>
  <dcterms:created xsi:type="dcterms:W3CDTF">2012-08-11T00:19:30Z</dcterms:created>
  <dcterms:modified xsi:type="dcterms:W3CDTF">2024-08-09T10:07:25Z</dcterms:modified>
</cp:coreProperties>
</file>