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pypsa format" sheetId="2" r:id="rId5"/>
    <sheet state="visible" name="additional assumptions" sheetId="3" r:id="rId6"/>
    <sheet state="visible" name="electrolyzer efficiency" sheetId="4" r:id="rId7"/>
    <sheet state="visible" name="electrolysis CAPEX" sheetId="5" r:id="rId8"/>
    <sheet state="visible" name="electrolyzer lifetime" sheetId="6" r:id="rId9"/>
    <sheet state="visible" name="DAC annual" sheetId="7" r:id="rId10"/>
  </sheets>
  <definedNames/>
  <calcPr/>
  <extLst>
    <ext uri="GoogleSheetsCustomDataVersion2">
      <go:sheetsCustomData xmlns:go="http://customooxmlschemas.google.com/" r:id="rId11" roundtripDataChecksum="v5l4S249uMfFNUNmr79FvbgNHTxZzwpp/EYkDVtRmG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
ID#AAABYXUY1As
tc={D23DE66F-6AB4-424B-933F-103848E7BD2B}    (2024-11-11 16:22:56)
[Threaded comment]
Your version of Excel allows you to read this threaded comment; however, any edits to it will get removed if the file is opened in a newer version of Excel. Learn more: https://go.microsoft.com/fwlink/?linkid=870924
Comment:
    I think these should be the inverse of each other but have been taken from different sources</t>
      </text>
    </comment>
  </commentList>
  <extLst>
    <ext uri="GoogleSheetsCustomDataVersion2">
      <go:sheetsCustomData xmlns:go="http://customooxmlschemas.google.com/" r:id="rId1" roundtripDataSignature="AMtx7millQ3uFS995dH1c1UBFKCqFt6zy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
ID#AAABYXUY1BE
tc={F6B11B3E-2122-BC40-918D-89799D203EE1}    (2024-11-11 16:22:56)
[Threaded comment]
Your version of Excel allows you to read this threaded comment; however, any edits to it will get removed if the file is opened in a newer version of Excel. Learn more: https://go.microsoft.com/fwlink/?linkid=870924
Comment:
    Is this annual improvement in energy efficiency of DAC, so heat and electricity input would both be reduced at the same rate?
Reply:
    yes that’s correct</t>
      </text>
    </comment>
    <comment authorId="0" ref="B18">
      <text>
        <t xml:space="preserve">======
ID#AAABYXUY1BA
tc={7B8E4F80-8C44-1446-A557-2BBC36319D1C}    (2024-11-11 16:22:56)
[Threaded comment]
Your version of Excel allows you to read this threaded comment; however, any edits to it will get removed if the file is opened in a newer version of Excel. Learn more: https://go.microsoft.com/fwlink/?linkid=870924
Comment:
    Optimistic has higher OPEX?
Reply:
    this is because in the study where I got the numbers from  they broke out the opex  and most of the added expense in the base and pessimistic scenarios is CAPEX so the OPEX ends up being a smaller precent than in optimistic scenario</t>
      </text>
    </comment>
    <comment authorId="0" ref="A15">
      <text>
        <t xml:space="preserve">======
ID#AAABYXUY1A8
tc={801AA37A-9E86-A842-83AD-3BF9924E14D0}    (2024-11-11 16:22:56)
[Threaded comment]
Your version of Excel allows you to read this threaded comment; however, any edits to it will get removed if the file is opened in a newer version of Excel. Learn more: https://go.microsoft.com/fwlink/?linkid=870924
Comment:
    What does FTL recycling, balance with electricity mean? Does it mean the FTL hear recycling factor in row 11 is only applicable to SDAC not LDAC?
Reply:
    Yes, the heat for LDAC is is to hot for recycling so can only use for SDAC with current technology</t>
      </text>
    </comment>
    <comment authorId="0" ref="B17">
      <text>
        <t xml:space="preserve">======
ID#AAABYXUY1A4
tc={71213055-7CD9-0748-9A70-022DE85E166F}    (2024-11-11 16:22:56)
[Threaded comment]
Your version of Excel allows you to read this threaded comment; however, any edits to it will get removed if the file is opened in a newer version of Excel. Learn more: https://go.microsoft.com/fwlink/?linkid=870924
Comment:
    Lower because includes heat recycling from FT facility</t>
      </text>
    </comment>
    <comment authorId="0" ref="A17">
      <text>
        <t xml:space="preserve">======
ID#AAABYXUY1A0
tc={851BF600-26C1-FF43-BEF5-F69D5C3F7FB7}    (2024-11-11 16:22:56)
[Threaded comment]
Your version of Excel allows you to read this threaded comment; however, any edits to it will get removed if the file is opened in a newer version of Excel. Learn more: https://go.microsoft.com/fwlink/?linkid=870924
Comment:
    So shall I only consider this in cost model and ignore row 52 and 53?
Reply:
    yes that’s correct</t>
      </text>
    </comment>
    <comment authorId="0" ref="B42">
      <text>
        <t xml:space="preserve">======
ID#AAABYXUY1Aw
tc={451E12EB-975C-FD4E-BD13-BF2BC19F8685}    (2024-11-11 16:22:56)
[Threaded comment]
Your version of Excel allows you to read this threaded comment; however, any edits to it will get removed if the file is opened in a newer version of Excel. Learn more: https://go.microsoft.com/fwlink/?linkid=870924
Comment:
    The discount rate would be 8% base on these assumptions.</t>
      </text>
    </comment>
    <comment authorId="0" ref="A21">
      <text>
        <t xml:space="preserve">======
ID#AAABYXUY1Ao
tc={37616F75-6F83-EA41-AA17-94A9E292B444}    (2024-11-11 16:22:56)
[Threaded comment]
Your version of Excel allows you to read this threaded comment; however, any edits to it will get removed if the file is opened in a newer version of Excel. Learn more: https://go.microsoft.com/fwlink/?linkid=870924
Comment:
    Is this annual reduction rate of DAC CAPEX?
Reply:
    Yes</t>
      </text>
    </comment>
  </commentList>
  <extLst>
    <ext uri="GoogleSheetsCustomDataVersion2">
      <go:sheetsCustomData xmlns:go="http://customooxmlschemas.google.com/" r:id="rId1" roundtripDataSignature="AMtx7mjJsivDc5NHp/8kllniCCF0Hd3trg=="/>
    </ext>
  </extLst>
</comments>
</file>

<file path=xl/sharedStrings.xml><?xml version="1.0" encoding="utf-8"?>
<sst xmlns="http://schemas.openxmlformats.org/spreadsheetml/2006/main" count="287" uniqueCount="182">
  <si>
    <t>Overview</t>
  </si>
  <si>
    <t>1. This spreadsheet includes ICCT's assumptions to get cost estimates for levelized production cost of renewable electricity, eletrolysis hydrogen, CO2, and e-fuel</t>
  </si>
  <si>
    <t>2. Some of the data inputs are organized based on pypsa input sheet shared by OET. Please see "pypsa format" tab</t>
  </si>
  <si>
    <t>3. There are certain factors that were not seen in pypsa input sheet, and were thus shared in separate tabs</t>
  </si>
  <si>
    <t>Renewable electricity</t>
  </si>
  <si>
    <t>1. Please refer to the renewable electricity folder for CAPEX, OPEX, capacity factor, grid fee in US</t>
  </si>
  <si>
    <t>2. Only considered solar and onshore wind, and created three cost scenarios</t>
  </si>
  <si>
    <t>3. CAPEX and OPEX derived from NREL ATB 2023 version https://atb.nrel.gov/electricity/2023/data</t>
  </si>
  <si>
    <t>Unit: 2022 $/kW</t>
  </si>
  <si>
    <t>4. Capacity factor derived from NREL ReEDS https://www.nrel.gov/analysis/reeds/</t>
  </si>
  <si>
    <t>5. Grid fee derived from EIA AEO 2023 https://www.eia.gov/outlooks/aeo/data/browser/#/?id=8-AEO2023&amp;region=0-0&amp;cases=ref2023&amp;start=2021&amp;end=2050&amp;f=A&amp;linechart=~ref2023-d020623a.75-8-AEO2023~ref2023-d020623a.76-8-AEO2023&amp;map=&amp;ctype=linechart&amp;sourcekey=0</t>
  </si>
  <si>
    <t>Unit: 2022 $/kWh</t>
  </si>
  <si>
    <t>Hydrogen</t>
  </si>
  <si>
    <t>1. Only considered renewable electrolysis hydrogen, and created three cost scenarios</t>
  </si>
  <si>
    <t>2. Considered all three types of electrolyzer (AE, PEM, SOEC) for grid connection, but only PEM for direct connection</t>
  </si>
  <si>
    <t>Pypsa seems only considers AE</t>
  </si>
  <si>
    <t>3. Basic assumptions of electrolyzer cost, efficiency, lifetime are based on Christensen 2020 with adjustments https://theicct.org/publication/assessment-of-hydrogen-production-costs-from-electrolysis-united-states-and-europe/</t>
  </si>
  <si>
    <t>See also https://theicct.org/publication/fuels-eu-onsite-hydro-cost-feb22/</t>
  </si>
  <si>
    <t>Please refer to the tabs in this spreadsheet for detailed assumptions</t>
  </si>
  <si>
    <t>4. CAPEX from pypsa is much lower than ICCT's assumption, would need to come to a consensus</t>
  </si>
  <si>
    <t>5. It is unclear whether pypsa considered certain elements, such as electrolyzer lifetime and replacement and water cost</t>
  </si>
  <si>
    <t>Financing assumptions</t>
  </si>
  <si>
    <t>1. Please see detailed assumptions in "additional assumptions" tab</t>
  </si>
  <si>
    <t>2. It is unclear whether and how pypsa considers financing costs</t>
  </si>
  <si>
    <t>FT Synthesis</t>
  </si>
  <si>
    <t>1. Pypsa CAPEX is very low, based on 2018 study, recent cost assemetns have been much higher especially for FOAK need to come to consensus on this and if cost reductions are likely.</t>
  </si>
  <si>
    <t>2. Although we have converted CAPEX in $ per MW our estimate used scaling factors to adjust other studies where possible</t>
  </si>
  <si>
    <t>3. It is not clear what is the difference between "efficiency" and "H2 input" in the Pypsa FT values.  Also our 70% assumption is lower than both of these. Unclear how likely are efficiency gains</t>
  </si>
  <si>
    <t xml:space="preserve">DAC </t>
  </si>
  <si>
    <t>1. CAPEX is much lower than our values and impression of current state of technology. Should probably discuss what cost curve might look like</t>
  </si>
  <si>
    <t>H2 Storage</t>
  </si>
  <si>
    <t xml:space="preserve">1. Our values considered underground pipe storage and compressor to match expected needs for FT facility. </t>
  </si>
  <si>
    <t>2. Our CAPEX is approximately 1/2 most likely due to use of underground pipe vs aboveground tank storage</t>
  </si>
  <si>
    <t>3. Aboveground tank storage as considered in the existing model may be more approriate due to flexibility</t>
  </si>
  <si>
    <t>4. Pypsa numbers are from the same source as electrolyzer (Danish Energy Agency) so should be verified that are up to date and not overly optimistic</t>
  </si>
  <si>
    <t>E-fuels synthesis</t>
  </si>
  <si>
    <t>OET 2030 Values</t>
  </si>
  <si>
    <t>OET 2040 Values</t>
  </si>
  <si>
    <t>ICCT IRA e-fuels assumptions</t>
  </si>
  <si>
    <t>Fischer-Tropsch</t>
  </si>
  <si>
    <t>FOM</t>
  </si>
  <si>
    <t>%/year</t>
  </si>
  <si>
    <t>VOM</t>
  </si>
  <si>
    <t>EUR/MWh_FT</t>
  </si>
  <si>
    <t>capture rate</t>
  </si>
  <si>
    <t>per unit</t>
  </si>
  <si>
    <t>NA</t>
  </si>
  <si>
    <t>carbondioxide-input</t>
  </si>
  <si>
    <t>t_CO2/MWh_FT</t>
  </si>
  <si>
    <t>efficiency</t>
  </si>
  <si>
    <t>electricity-input</t>
  </si>
  <si>
    <t>MWh_el/MWh_FT</t>
  </si>
  <si>
    <t>hydrogen-input</t>
  </si>
  <si>
    <t>MWh_H2/MWh_FT</t>
  </si>
  <si>
    <t>investment</t>
  </si>
  <si>
    <t>EUR/MW_FT</t>
  </si>
  <si>
    <t>USD/MW_FT</t>
  </si>
  <si>
    <t>lifetime</t>
  </si>
  <si>
    <t>years</t>
  </si>
  <si>
    <t>electrolysis</t>
  </si>
  <si>
    <t>Sources: https://theicct.org/publication/assessment-of-hydrogen-production-costs-from-electrolysis-united-states-and-europe/; https://theicct.org/publication/fuels-eu-onsite-hydro-cost-feb22/</t>
  </si>
  <si>
    <t>An overall system efficiency by electrolyzer type and year: see electrolyzer efficiency tab</t>
  </si>
  <si>
    <t>%</t>
  </si>
  <si>
    <t>efficiency-heat</t>
  </si>
  <si>
    <t>EUR/kW_e</t>
  </si>
  <si>
    <t>CAPEX by electrolyzer type, scenario, and year: see electrolysis CAPEX tab</t>
  </si>
  <si>
    <t>2022 $/kW_e</t>
  </si>
  <si>
    <t>contigency factor</t>
  </si>
  <si>
    <t>Multiplied with CAPEX for total upfront cost</t>
  </si>
  <si>
    <t>plant lifetime</t>
  </si>
  <si>
    <t>electrolyzer lifetime</t>
  </si>
  <si>
    <t>see electrolyzer lifetime tab</t>
  </si>
  <si>
    <t>hour</t>
  </si>
  <si>
    <t>electrolyzer replacement cost</t>
  </si>
  <si>
    <t>% of electrolysis CAPEX tab</t>
  </si>
  <si>
    <t>water cost</t>
  </si>
  <si>
    <t>$/kg H2 produced</t>
  </si>
  <si>
    <t>revenue from oxygen</t>
  </si>
  <si>
    <t>Hydrogen Storage</t>
  </si>
  <si>
    <t>hydrogen storage tank type 1 including compressor</t>
  </si>
  <si>
    <t>EUR/kWh</t>
  </si>
  <si>
    <t>$/kWh</t>
  </si>
  <si>
    <t>Note this is for aboveground storage</t>
  </si>
  <si>
    <t>hydrogen storage underground</t>
  </si>
  <si>
    <t>I believe this should match hydrogen electrolysis because was included in same DCF model</t>
  </si>
  <si>
    <t>EUR/MWh</t>
  </si>
  <si>
    <t>Note we did not calculate VOM, only considered electricity use for compression</t>
  </si>
  <si>
    <t>$/KWh</t>
  </si>
  <si>
    <t>years (note this was only used for sensitivity analysis)</t>
  </si>
  <si>
    <t>CO2</t>
  </si>
  <si>
    <t>ICCT IRA e-fuels assumptions (baseline 2022)</t>
  </si>
  <si>
    <t>direct air capture</t>
  </si>
  <si>
    <t>compression-electricity-input</t>
  </si>
  <si>
    <t>MWh/tCO2</t>
  </si>
  <si>
    <t>compression-heat-output</t>
  </si>
  <si>
    <t>MWh_el/t_CO2</t>
  </si>
  <si>
    <t>heat-input</t>
  </si>
  <si>
    <t>MWh_th/t_CO2</t>
  </si>
  <si>
    <t>heat-output</t>
  </si>
  <si>
    <t>EUR/(tCO2/h)</t>
  </si>
  <si>
    <t>USD/(tCO2/h)</t>
  </si>
  <si>
    <t>FTL Plant Assumptions</t>
  </si>
  <si>
    <t>Baseline</t>
  </si>
  <si>
    <t>All dollars adjusted to 2023</t>
  </si>
  <si>
    <t>Plant rating (MW of H2 LHV input)</t>
  </si>
  <si>
    <t xml:space="preserve">Sources: </t>
  </si>
  <si>
    <t>FTL plant efficiency (H2 to liquid fuel conversion efficiency)</t>
  </si>
  <si>
    <t>Concawe 2022</t>
  </si>
  <si>
    <t>https://www.concawe.eu/publication/e-fuels-a-techno-economic-assessment-of-european-domestic-production-and-imports-towards-2050/</t>
  </si>
  <si>
    <t>CO2 kg per kWh FT liquids</t>
  </si>
  <si>
    <t>Argonne 2021</t>
  </si>
  <si>
    <t>https://www.sciencedirect.com/science/article/abs/pii/S2212982021000263</t>
  </si>
  <si>
    <t>Capital cost (million $)</t>
  </si>
  <si>
    <t>DENA 2022</t>
  </si>
  <si>
    <t>https://www.dena.de/fileadmin/dena/Publikationen/PDFs/2022/STUDY_E-Kerosene_for_Commercial_Aviation.pdf</t>
  </si>
  <si>
    <t>Financing cost</t>
  </si>
  <si>
    <t>YZ H2 study</t>
  </si>
  <si>
    <t>Plant Life (years)</t>
  </si>
  <si>
    <t>Fixed Opex % of capex</t>
  </si>
  <si>
    <t>Variable electricity use kWh of electricity per kWh LHV of fuel output</t>
  </si>
  <si>
    <t>Oxygen Consumption in FT facility (kg O2 per kWh FT liquids)</t>
  </si>
  <si>
    <t>SDAC Model Used for DAC Secnarios</t>
  </si>
  <si>
    <t>Optimistic</t>
  </si>
  <si>
    <t>Pessimistic</t>
  </si>
  <si>
    <t>DAC Capital Cost for 1 Mta pant (Million $)</t>
  </si>
  <si>
    <t>From NAS DAC study adjusted to 2023$</t>
  </si>
  <si>
    <t>Heat required kWh per kg CO2 Captured assume FTL recycling, balance with electricity</t>
  </si>
  <si>
    <t xml:space="preserve">Negative Emissions Technologies and Reliable Sequestration: A Research Agenda (2019) </t>
  </si>
  <si>
    <t>Electricity required kWh per kg CO2 Captured</t>
  </si>
  <si>
    <t>https://doi.org/10.17226/25259</t>
  </si>
  <si>
    <t>Total electricity needed (value for DCF model, kWh per kg CO2 captured)</t>
  </si>
  <si>
    <t xml:space="preserve">These values add up heat and electricity demand from NAS study and include heat recycling from FT facility in the optimisic scenario </t>
  </si>
  <si>
    <t>Opex % of Capex</t>
  </si>
  <si>
    <t>Learning Rates (per year)</t>
  </si>
  <si>
    <t>Adjusted to keep paramters in line with overall DAC literature see DAC scenarios sheet</t>
  </si>
  <si>
    <t>Capex</t>
  </si>
  <si>
    <t>Energy Use</t>
  </si>
  <si>
    <t>DAC Plant Life and Financing</t>
  </si>
  <si>
    <t>CO2 Conversion</t>
  </si>
  <si>
    <t>WACC</t>
  </si>
  <si>
    <t>Use YZ H2 assumptions</t>
  </si>
  <si>
    <t>Million tons per year</t>
  </si>
  <si>
    <t>Plant life (years)</t>
  </si>
  <si>
    <t>tons per year</t>
  </si>
  <si>
    <t>tons per day</t>
  </si>
  <si>
    <t>tons per hour</t>
  </si>
  <si>
    <t>Capex including compressor for underground pipes ($ per kg of H2 capacity)</t>
  </si>
  <si>
    <t>Sources:</t>
  </si>
  <si>
    <t>Capex including compressor for lined rock cavern ($ per kg of H2 capacity)</t>
  </si>
  <si>
    <t>Underground Pipe Storage</t>
  </si>
  <si>
    <t>Compression electricity use (kWh per kWh H2)</t>
  </si>
  <si>
    <t>Lifetime (years)</t>
  </si>
  <si>
    <t>Compression costs</t>
  </si>
  <si>
    <t>https://transitionaccelerator.ca/wp-content/uploads/2023/04/TA-Technical-Brief-1.1_TEEA-Hydrogen-Compression_PUBLISHED.pdf</t>
  </si>
  <si>
    <t>Financing Assumptions</t>
  </si>
  <si>
    <t>Inflation</t>
  </si>
  <si>
    <t>Corporate tax rate</t>
  </si>
  <si>
    <t>Debt to equity ratio</t>
  </si>
  <si>
    <t>60:40</t>
  </si>
  <si>
    <t>Interest rate</t>
  </si>
  <si>
    <t>Loan term</t>
  </si>
  <si>
    <t>Return of equity_electrolysis hydrogen, FT, DAC</t>
  </si>
  <si>
    <t>Return of equity_renewable electricity</t>
  </si>
  <si>
    <t>alkaline</t>
  </si>
  <si>
    <t>pem</t>
  </si>
  <si>
    <t>soec</t>
  </si>
  <si>
    <t>2022 $/kW</t>
  </si>
  <si>
    <t>alkaline_low</t>
  </si>
  <si>
    <t>pem_low</t>
  </si>
  <si>
    <t>soec_low</t>
  </si>
  <si>
    <t>alkaline_mid</t>
  </si>
  <si>
    <t>pem_mid</t>
  </si>
  <si>
    <t>soec_mid</t>
  </si>
  <si>
    <t>alkaline_high</t>
  </si>
  <si>
    <t>pem_high</t>
  </si>
  <si>
    <t>soec_high</t>
  </si>
  <si>
    <t>Notes: electricity conssumption assumes heat recycling from FT synthesis</t>
  </si>
  <si>
    <t>baseYear</t>
  </si>
  <si>
    <t>plantCapacity</t>
  </si>
  <si>
    <t>DACCAPEX</t>
  </si>
  <si>
    <t>electricityRate</t>
  </si>
  <si>
    <t>fixedOPEX</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</si>
</sst>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_(* \(#,##0\);_(* &quot;-&quot;??_);_(@_)"/>
    <numFmt numFmtId="165" formatCode="_(* #,##0.00_);_(* \(#,##0.00\);_(* &quot;-&quot;??_);_(@_)"/>
  </numFmts>
  <fonts count="13">
    <font>
      <sz val="12.0"/>
      <color theme="1"/>
      <name val="Aptos Narrow"/>
      <scheme val="minor"/>
    </font>
    <font>
      <b/>
      <sz val="12.0"/>
      <color theme="1"/>
      <name val="Aptos Narrow"/>
    </font>
    <font>
      <color theme="1"/>
      <name val="Aptos Narrow"/>
      <scheme val="minor"/>
    </font>
    <font>
      <color theme="1"/>
      <name val="Arial"/>
    </font>
    <font>
      <sz val="12.0"/>
      <color rgb="FFFF0000"/>
      <name val="Aptos Narrow"/>
    </font>
    <font>
      <sz val="12.0"/>
      <color rgb="FFFF0000"/>
      <name val="Aptos Narrow (Body)"/>
    </font>
    <font>
      <sz val="12.0"/>
      <color theme="1"/>
      <name val="Aptos Narrow"/>
    </font>
    <font>
      <b/>
      <sz val="10.0"/>
      <color theme="1"/>
      <name val="Arial"/>
    </font>
    <font>
      <sz val="10.0"/>
      <color theme="1"/>
      <name val="Arial"/>
    </font>
    <font>
      <u/>
      <color rgb="FF0000FF"/>
      <name val="Arial"/>
    </font>
    <font>
      <sz val="12.0"/>
      <color rgb="FF000000"/>
      <name val="Aptos Narrow"/>
    </font>
    <font>
      <u/>
      <sz val="12.0"/>
      <color theme="10"/>
      <name val="Aptos Narrow"/>
    </font>
    <font>
      <sz val="12.0"/>
      <color rgb="FF000000"/>
      <name val="Calibri"/>
    </font>
  </fonts>
  <fills count="6">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s>
  <borders count="2">
    <border/>
    <border>
      <left/>
      <right/>
      <top/>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0" fillId="0" fontId="4" numFmtId="0" xfId="0" applyFont="1"/>
    <xf borderId="0" fillId="0" fontId="5" numFmtId="0" xfId="0" applyFont="1"/>
    <xf borderId="0" fillId="0" fontId="6" numFmtId="0" xfId="0" applyFont="1"/>
    <xf borderId="0" fillId="0" fontId="7" numFmtId="0" xfId="0" applyFont="1"/>
    <xf borderId="0" fillId="0" fontId="8" numFmtId="0" xfId="0" applyFont="1"/>
    <xf borderId="0" fillId="0" fontId="6" numFmtId="9" xfId="0" applyFont="1" applyNumberFormat="1"/>
    <xf borderId="1" fillId="2" fontId="8" numFmtId="0" xfId="0" applyBorder="1" applyFill="1" applyFont="1"/>
    <xf borderId="0" fillId="0" fontId="6" numFmtId="2" xfId="0" applyFont="1" applyNumberFormat="1"/>
    <xf borderId="0" fillId="0" fontId="8" numFmtId="3" xfId="0" applyFont="1" applyNumberFormat="1"/>
    <xf borderId="0" fillId="0" fontId="6" numFmtId="164" xfId="0" applyFont="1" applyNumberFormat="1"/>
    <xf borderId="1" fillId="3" fontId="8" numFmtId="0" xfId="0" applyBorder="1" applyFill="1" applyFont="1"/>
    <xf borderId="0" fillId="0" fontId="6" numFmtId="0" xfId="0" applyAlignment="1" applyFont="1">
      <alignment horizontal="center" shrinkToFit="0" wrapText="1"/>
    </xf>
    <xf borderId="0" fillId="0" fontId="6" numFmtId="0" xfId="0" applyAlignment="1" applyFont="1">
      <alignment horizontal="left" vertical="center"/>
    </xf>
    <xf borderId="0" fillId="0" fontId="8" numFmtId="165" xfId="0" applyFont="1" applyNumberFormat="1"/>
    <xf borderId="0" fillId="0" fontId="6" numFmtId="165" xfId="0" applyFont="1" applyNumberFormat="1"/>
    <xf borderId="0" fillId="0" fontId="1" numFmtId="0" xfId="0" applyAlignment="1" applyFont="1">
      <alignment horizontal="right"/>
    </xf>
    <xf borderId="0" fillId="0" fontId="6" numFmtId="0" xfId="0" applyAlignment="1" applyFont="1">
      <alignment horizontal="right"/>
    </xf>
    <xf borderId="0" fillId="0" fontId="9" numFmtId="0" xfId="0" applyAlignment="1" applyFont="1">
      <alignment readingOrder="0"/>
    </xf>
    <xf borderId="0" fillId="0" fontId="6" numFmtId="9" xfId="0" applyAlignment="1" applyFont="1" applyNumberFormat="1">
      <alignment horizontal="right"/>
    </xf>
    <xf borderId="0" fillId="0" fontId="10" numFmtId="2" xfId="0" applyAlignment="1" applyFont="1" applyNumberFormat="1">
      <alignment horizontal="right"/>
    </xf>
    <xf borderId="0" fillId="0" fontId="6" numFmtId="1" xfId="0" applyAlignment="1" applyFont="1" applyNumberFormat="1">
      <alignment horizontal="right"/>
    </xf>
    <xf borderId="1" fillId="4" fontId="6" numFmtId="2" xfId="0" applyAlignment="1" applyBorder="1" applyFill="1" applyFont="1" applyNumberFormat="1">
      <alignment horizontal="right"/>
    </xf>
    <xf borderId="0" fillId="0" fontId="11" numFmtId="0" xfId="0" applyFont="1"/>
    <xf borderId="0" fillId="0" fontId="6" numFmtId="2" xfId="0" applyAlignment="1" applyFont="1" applyNumberFormat="1">
      <alignment horizontal="right"/>
    </xf>
    <xf borderId="0" fillId="0" fontId="4" numFmtId="2" xfId="0" applyAlignment="1" applyFont="1" applyNumberFormat="1">
      <alignment horizontal="right"/>
    </xf>
    <xf borderId="1" fillId="5" fontId="6" numFmtId="9" xfId="0" applyAlignment="1" applyBorder="1" applyFill="1" applyFont="1" applyNumberFormat="1">
      <alignment horizontal="right"/>
    </xf>
    <xf borderId="1" fillId="5" fontId="6" numFmtId="0" xfId="0" applyAlignment="1" applyBorder="1" applyFont="1">
      <alignment horizontal="right"/>
    </xf>
    <xf borderId="0" fillId="0" fontId="12" numFmtId="2" xfId="0" applyFont="1" applyNumberFormat="1"/>
    <xf borderId="0" fillId="0" fontId="6" numFmtId="10" xfId="0" applyFont="1" applyNumberFormat="1"/>
    <xf borderId="0" fillId="0" fontId="6" numFmtId="49" xfId="0" applyFont="1" applyNumberFormat="1"/>
    <xf borderId="0" fillId="0" fontId="10" numFmtId="0" xfId="0" applyFont="1"/>
    <xf borderId="0" fillId="0" fontId="6" numFmtId="1"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sciencedirect.com/science/article/abs/pii/S2212982021000263" TargetMode="External"/><Relationship Id="rId3" Type="http://schemas.openxmlformats.org/officeDocument/2006/relationships/hyperlink" Target="https://doi.org/10.17226/25259" TargetMode="External"/><Relationship Id="rId4" Type="http://schemas.openxmlformats.org/officeDocument/2006/relationships/drawing" Target="../drawings/drawing3.xml"/><Relationship Id="rId5"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 t="s">
        <v>0</v>
      </c>
    </row>
    <row r="2" ht="15.75" customHeight="1">
      <c r="A2" s="2" t="s">
        <v>1</v>
      </c>
    </row>
    <row r="3" ht="15.75" customHeight="1">
      <c r="A3" s="2" t="s">
        <v>2</v>
      </c>
    </row>
    <row r="4" ht="15.75" customHeight="1">
      <c r="A4" s="2" t="s">
        <v>3</v>
      </c>
    </row>
    <row r="5" ht="15.75" customHeight="1"/>
    <row r="6" ht="15.75" customHeight="1"/>
    <row r="7" ht="15.75" customHeight="1">
      <c r="A7" s="1" t="s">
        <v>4</v>
      </c>
    </row>
    <row r="8" ht="15.75" customHeight="1">
      <c r="A8" s="2" t="s">
        <v>5</v>
      </c>
    </row>
    <row r="9" ht="15.75" customHeight="1">
      <c r="A9" s="2" t="s">
        <v>6</v>
      </c>
    </row>
    <row r="10" ht="15.75" customHeight="1">
      <c r="A10" s="2" t="s">
        <v>7</v>
      </c>
    </row>
    <row r="11" ht="15.75" customHeight="1">
      <c r="B11" s="2" t="s">
        <v>8</v>
      </c>
    </row>
    <row r="12" ht="15.75" customHeight="1">
      <c r="A12" s="3" t="s">
        <v>9</v>
      </c>
    </row>
    <row r="13" ht="15.75" customHeight="1">
      <c r="A13" s="3" t="s">
        <v>10</v>
      </c>
    </row>
    <row r="14" ht="15.75" customHeight="1">
      <c r="B14" s="2" t="s">
        <v>11</v>
      </c>
    </row>
    <row r="15" ht="15.75" customHeight="1"/>
    <row r="16" ht="15.75" customHeight="1"/>
    <row r="17" ht="15.75" customHeight="1">
      <c r="A17" s="1" t="s">
        <v>12</v>
      </c>
    </row>
    <row r="18" ht="15.75" customHeight="1">
      <c r="A18" s="2" t="s">
        <v>13</v>
      </c>
    </row>
    <row r="19" ht="15.75" customHeight="1">
      <c r="A19" s="2" t="s">
        <v>14</v>
      </c>
    </row>
    <row r="20" ht="15.75" customHeight="1">
      <c r="B20" s="4" t="s">
        <v>15</v>
      </c>
    </row>
    <row r="21" ht="15.75" customHeight="1">
      <c r="A21" s="2" t="s">
        <v>16</v>
      </c>
    </row>
    <row r="22" ht="15.75" customHeight="1">
      <c r="B22" s="2" t="s">
        <v>17</v>
      </c>
    </row>
    <row r="23" ht="15.75" customHeight="1">
      <c r="B23" s="2" t="s">
        <v>18</v>
      </c>
    </row>
    <row r="24" ht="15.75" customHeight="1">
      <c r="A24" s="4" t="s">
        <v>19</v>
      </c>
    </row>
    <row r="25" ht="15.75" customHeight="1">
      <c r="A25" s="4" t="s">
        <v>20</v>
      </c>
    </row>
    <row r="26" ht="15.75" customHeight="1"/>
    <row r="27" ht="15.75" customHeight="1"/>
    <row r="28" ht="15.75" customHeight="1">
      <c r="A28" s="1" t="s">
        <v>21</v>
      </c>
    </row>
    <row r="29" ht="15.75" customHeight="1">
      <c r="A29" s="2" t="s">
        <v>22</v>
      </c>
    </row>
    <row r="30" ht="15.75" customHeight="1">
      <c r="A30" s="4" t="s">
        <v>23</v>
      </c>
    </row>
    <row r="31" ht="15.75" customHeight="1"/>
    <row r="32" ht="15.75" customHeight="1">
      <c r="A32" s="1" t="s">
        <v>24</v>
      </c>
    </row>
    <row r="33" ht="15.75" customHeight="1">
      <c r="A33" s="5" t="s">
        <v>25</v>
      </c>
    </row>
    <row r="34" ht="15.75" customHeight="1">
      <c r="A34" s="2" t="s">
        <v>26</v>
      </c>
    </row>
    <row r="35" ht="15.75" customHeight="1">
      <c r="A35" s="4" t="s">
        <v>27</v>
      </c>
    </row>
    <row r="36" ht="15.75" customHeight="1"/>
    <row r="37" ht="15.75" customHeight="1">
      <c r="A37" s="1" t="s">
        <v>28</v>
      </c>
    </row>
    <row r="38" ht="15.75" customHeight="1">
      <c r="A38" s="5" t="s">
        <v>29</v>
      </c>
    </row>
    <row r="39" ht="15.75" customHeight="1"/>
    <row r="40" ht="15.75" customHeight="1">
      <c r="A40" s="1" t="s">
        <v>30</v>
      </c>
    </row>
    <row r="41" ht="15.75" customHeight="1">
      <c r="A41" s="2" t="s">
        <v>31</v>
      </c>
    </row>
    <row r="42" ht="15.75" customHeight="1">
      <c r="A42" s="4" t="s">
        <v>32</v>
      </c>
    </row>
    <row r="43" ht="15.75" customHeight="1">
      <c r="A43" s="6" t="s">
        <v>33</v>
      </c>
    </row>
    <row r="44" ht="15.75" customHeight="1">
      <c r="A44" s="4" t="s">
        <v>34</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7.33"/>
    <col customWidth="1" min="2" max="3" width="25.44"/>
    <col customWidth="1" min="4" max="4" width="26.33"/>
    <col customWidth="1" min="5" max="5" width="26.11"/>
    <col customWidth="1" min="6" max="6" width="28.0"/>
    <col customWidth="1" min="7" max="7" width="36.67"/>
    <col customWidth="1" min="8" max="8" width="38.0"/>
    <col customWidth="1" min="9" max="26" width="10.56"/>
  </cols>
  <sheetData>
    <row r="1" ht="15.75" customHeight="1">
      <c r="A1" s="7" t="s">
        <v>35</v>
      </c>
      <c r="B1" s="8"/>
      <c r="C1" s="7" t="s">
        <v>36</v>
      </c>
      <c r="D1" s="7" t="s">
        <v>37</v>
      </c>
      <c r="E1" s="8"/>
      <c r="F1" s="1" t="s">
        <v>38</v>
      </c>
    </row>
    <row r="2" ht="15.75" customHeight="1">
      <c r="A2" s="8" t="s">
        <v>39</v>
      </c>
      <c r="B2" s="8" t="s">
        <v>40</v>
      </c>
      <c r="C2" s="8">
        <v>3.0</v>
      </c>
      <c r="D2" s="8">
        <v>3.0</v>
      </c>
      <c r="E2" s="8" t="s">
        <v>41</v>
      </c>
      <c r="F2" s="9">
        <f>'additional assumptions'!B8</f>
        <v>0.04</v>
      </c>
      <c r="G2" s="8" t="s">
        <v>41</v>
      </c>
    </row>
    <row r="3" ht="15.75" customHeight="1">
      <c r="A3" s="8" t="s">
        <v>39</v>
      </c>
      <c r="B3" s="8" t="s">
        <v>42</v>
      </c>
      <c r="C3" s="8">
        <v>4.2</v>
      </c>
      <c r="D3" s="8">
        <v>3.2</v>
      </c>
      <c r="E3" s="8" t="s">
        <v>43</v>
      </c>
      <c r="G3" s="8" t="s">
        <v>43</v>
      </c>
    </row>
    <row r="4" ht="15.75" customHeight="1">
      <c r="A4" s="8" t="s">
        <v>39</v>
      </c>
      <c r="B4" s="8" t="s">
        <v>44</v>
      </c>
      <c r="C4" s="8">
        <v>0.9</v>
      </c>
      <c r="D4" s="8">
        <v>0.9</v>
      </c>
      <c r="E4" s="8" t="s">
        <v>45</v>
      </c>
      <c r="F4" s="8" t="s">
        <v>46</v>
      </c>
      <c r="G4" s="8" t="s">
        <v>45</v>
      </c>
    </row>
    <row r="5" ht="15.75" customHeight="1">
      <c r="A5" s="8" t="s">
        <v>39</v>
      </c>
      <c r="B5" s="8" t="s">
        <v>47</v>
      </c>
      <c r="C5" s="8">
        <v>0.33</v>
      </c>
      <c r="D5" s="8">
        <v>0.3</v>
      </c>
      <c r="E5" s="8" t="s">
        <v>48</v>
      </c>
      <c r="F5" s="2">
        <f>'additional assumptions'!B4</f>
        <v>0.32</v>
      </c>
      <c r="G5" s="8" t="s">
        <v>48</v>
      </c>
    </row>
    <row r="6" ht="15.75" customHeight="1">
      <c r="A6" s="8" t="s">
        <v>39</v>
      </c>
      <c r="B6" s="8" t="s">
        <v>49</v>
      </c>
      <c r="C6" s="8">
        <v>0.8</v>
      </c>
      <c r="D6" s="10">
        <v>0.8</v>
      </c>
      <c r="E6" s="8" t="s">
        <v>45</v>
      </c>
      <c r="F6" s="2" t="str">
        <f>1/F8</f>
        <v>#REF!</v>
      </c>
      <c r="G6" s="8" t="s">
        <v>45</v>
      </c>
    </row>
    <row r="7" ht="15.75" customHeight="1">
      <c r="A7" s="8" t="s">
        <v>39</v>
      </c>
      <c r="B7" s="8" t="s">
        <v>50</v>
      </c>
      <c r="C7" s="8">
        <v>0.01</v>
      </c>
      <c r="D7" s="8">
        <v>0.01</v>
      </c>
      <c r="E7" s="8" t="s">
        <v>51</v>
      </c>
      <c r="F7" s="11">
        <f>'additional assumptions'!B9</f>
        <v>0.044265686</v>
      </c>
      <c r="G7" s="8" t="s">
        <v>51</v>
      </c>
    </row>
    <row r="8" ht="15.75" customHeight="1">
      <c r="A8" s="8" t="s">
        <v>39</v>
      </c>
      <c r="B8" s="8" t="s">
        <v>52</v>
      </c>
      <c r="C8" s="8">
        <v>1.42</v>
      </c>
      <c r="D8" s="10">
        <v>1.36</v>
      </c>
      <c r="E8" s="8" t="s">
        <v>53</v>
      </c>
      <c r="F8" s="11" t="str">
        <f>1/F6</f>
        <v>#REF!</v>
      </c>
      <c r="G8" s="8" t="s">
        <v>53</v>
      </c>
    </row>
    <row r="9" ht="15.75" customHeight="1">
      <c r="A9" s="8" t="s">
        <v>39</v>
      </c>
      <c r="B9" s="8" t="s">
        <v>54</v>
      </c>
      <c r="C9" s="12">
        <v>650711.26</v>
      </c>
      <c r="D9" s="12">
        <v>565647.83</v>
      </c>
      <c r="E9" s="8" t="s">
        <v>55</v>
      </c>
      <c r="F9" s="13">
        <f>('additional assumptions'!B5*1000000)/('additional assumptions'!B2*'additional assumptions'!B3)</f>
        <v>1696428.571</v>
      </c>
      <c r="G9" s="14" t="s">
        <v>56</v>
      </c>
    </row>
    <row r="10" ht="15.75" customHeight="1">
      <c r="A10" s="8" t="s">
        <v>39</v>
      </c>
      <c r="B10" s="8" t="s">
        <v>57</v>
      </c>
      <c r="C10" s="8">
        <v>20.0</v>
      </c>
      <c r="D10" s="8">
        <v>20.0</v>
      </c>
      <c r="E10" s="8" t="s">
        <v>58</v>
      </c>
      <c r="F10" s="2">
        <f>'additional assumptions'!B7</f>
        <v>30</v>
      </c>
      <c r="G10" s="8" t="s">
        <v>58</v>
      </c>
    </row>
    <row r="11" ht="15.75" customHeight="1"/>
    <row r="12" ht="15.75" customHeight="1">
      <c r="A12" s="7" t="s">
        <v>12</v>
      </c>
      <c r="F12" s="7"/>
    </row>
    <row r="13" ht="15.75" customHeight="1">
      <c r="A13" s="2" t="s">
        <v>59</v>
      </c>
      <c r="B13" s="2" t="s">
        <v>40</v>
      </c>
      <c r="C13" s="2">
        <v>2.0</v>
      </c>
      <c r="D13" s="2">
        <v>2.0</v>
      </c>
      <c r="E13" s="2" t="s">
        <v>41</v>
      </c>
      <c r="F13" s="2">
        <v>4.0</v>
      </c>
      <c r="G13" s="2" t="s">
        <v>41</v>
      </c>
      <c r="H13" s="15" t="s">
        <v>60</v>
      </c>
    </row>
    <row r="14" ht="15.75" customHeight="1">
      <c r="A14" s="2" t="s">
        <v>59</v>
      </c>
      <c r="B14" s="2" t="s">
        <v>49</v>
      </c>
      <c r="C14" s="2">
        <v>0.68</v>
      </c>
      <c r="D14" s="2">
        <v>0.72</v>
      </c>
      <c r="E14" s="2" t="s">
        <v>45</v>
      </c>
      <c r="F14" s="15" t="s">
        <v>61</v>
      </c>
      <c r="G14" s="16" t="s">
        <v>62</v>
      </c>
    </row>
    <row r="15" ht="15.75" customHeight="1">
      <c r="A15" s="2" t="s">
        <v>59</v>
      </c>
      <c r="B15" s="2" t="s">
        <v>63</v>
      </c>
      <c r="C15" s="2">
        <v>0.17</v>
      </c>
      <c r="D15" s="2">
        <v>0.12</v>
      </c>
      <c r="E15" s="2" t="s">
        <v>45</v>
      </c>
    </row>
    <row r="16" ht="15.75" customHeight="1">
      <c r="A16" s="2" t="s">
        <v>59</v>
      </c>
      <c r="B16" s="2" t="s">
        <v>54</v>
      </c>
      <c r="C16" s="2">
        <v>407.58</v>
      </c>
      <c r="D16" s="2">
        <v>271.72</v>
      </c>
      <c r="E16" s="2" t="s">
        <v>64</v>
      </c>
      <c r="F16" s="2" t="s">
        <v>65</v>
      </c>
      <c r="G16" s="2" t="s">
        <v>66</v>
      </c>
    </row>
    <row r="17" ht="15.75" customHeight="1">
      <c r="A17" s="2" t="s">
        <v>59</v>
      </c>
      <c r="B17" s="2" t="s">
        <v>67</v>
      </c>
      <c r="F17" s="2">
        <v>1.2</v>
      </c>
      <c r="G17" s="2" t="s">
        <v>68</v>
      </c>
    </row>
    <row r="18" ht="15.75" customHeight="1">
      <c r="A18" s="2" t="s">
        <v>59</v>
      </c>
      <c r="B18" s="2" t="s">
        <v>69</v>
      </c>
      <c r="C18" s="2">
        <v>30.0</v>
      </c>
      <c r="D18" s="2">
        <v>32.0</v>
      </c>
      <c r="E18" s="2" t="s">
        <v>58</v>
      </c>
      <c r="F18" s="2">
        <v>30.0</v>
      </c>
      <c r="G18" s="2" t="s">
        <v>58</v>
      </c>
    </row>
    <row r="19" ht="15.75" customHeight="1">
      <c r="A19" s="2" t="s">
        <v>59</v>
      </c>
      <c r="B19" s="2" t="s">
        <v>70</v>
      </c>
      <c r="F19" s="2" t="s">
        <v>71</v>
      </c>
      <c r="G19" s="2" t="s">
        <v>72</v>
      </c>
    </row>
    <row r="20" ht="15.75" customHeight="1">
      <c r="A20" s="2" t="s">
        <v>59</v>
      </c>
      <c r="B20" s="2" t="s">
        <v>73</v>
      </c>
      <c r="F20" s="2">
        <v>30.0</v>
      </c>
      <c r="G20" s="2" t="s">
        <v>74</v>
      </c>
    </row>
    <row r="21" ht="15.75" customHeight="1">
      <c r="A21" s="2" t="s">
        <v>59</v>
      </c>
      <c r="B21" s="2" t="s">
        <v>75</v>
      </c>
      <c r="F21" s="2">
        <v>0.08</v>
      </c>
      <c r="G21" s="2" t="s">
        <v>76</v>
      </c>
    </row>
    <row r="22" ht="15.75" customHeight="1">
      <c r="A22" s="2" t="s">
        <v>59</v>
      </c>
      <c r="B22" s="2" t="s">
        <v>77</v>
      </c>
      <c r="F22" s="2">
        <v>0.8</v>
      </c>
      <c r="G22" s="2" t="s">
        <v>76</v>
      </c>
      <c r="H22" s="15"/>
    </row>
    <row r="23" ht="15.75" customHeight="1"/>
    <row r="24" ht="15.75" customHeight="1">
      <c r="A24" s="1" t="s">
        <v>78</v>
      </c>
    </row>
    <row r="25" ht="15.75" customHeight="1">
      <c r="A25" s="8" t="s">
        <v>79</v>
      </c>
      <c r="B25" s="8" t="s">
        <v>40</v>
      </c>
      <c r="C25" s="8">
        <v>1.11</v>
      </c>
      <c r="D25" s="8">
        <v>1.85</v>
      </c>
      <c r="E25" s="8" t="s">
        <v>41</v>
      </c>
      <c r="F25" s="2">
        <f>F13</f>
        <v>4</v>
      </c>
    </row>
    <row r="26" ht="15.75" customHeight="1">
      <c r="A26" s="8" t="s">
        <v>79</v>
      </c>
      <c r="B26" s="8" t="s">
        <v>54</v>
      </c>
      <c r="C26" s="8">
        <v>44.91</v>
      </c>
      <c r="D26" s="8">
        <v>27.05</v>
      </c>
      <c r="E26" s="8" t="s">
        <v>80</v>
      </c>
      <c r="F26" s="11">
        <f>'additional assumptions'!B30/33.33</f>
        <v>16.86558656</v>
      </c>
      <c r="G26" s="2" t="s">
        <v>81</v>
      </c>
      <c r="H26" s="2" t="s">
        <v>82</v>
      </c>
    </row>
    <row r="27" ht="15.75" customHeight="1">
      <c r="A27" s="8" t="s">
        <v>79</v>
      </c>
      <c r="B27" s="8" t="s">
        <v>57</v>
      </c>
      <c r="C27" s="8">
        <v>30.0</v>
      </c>
      <c r="D27" s="8">
        <v>30.0</v>
      </c>
      <c r="E27" s="8" t="s">
        <v>58</v>
      </c>
      <c r="F27" s="11">
        <f>'additional assumptions'!B33</f>
        <v>30</v>
      </c>
      <c r="G27" s="2" t="s">
        <v>58</v>
      </c>
    </row>
    <row r="28" ht="15.75" customHeight="1">
      <c r="A28" s="8" t="s">
        <v>83</v>
      </c>
      <c r="B28" s="8" t="s">
        <v>40</v>
      </c>
      <c r="C28" s="8">
        <v>0.0</v>
      </c>
      <c r="D28" s="8">
        <v>0.0</v>
      </c>
      <c r="E28" s="8" t="s">
        <v>41</v>
      </c>
      <c r="F28" s="2">
        <f>F13</f>
        <v>4</v>
      </c>
      <c r="G28" s="2" t="s">
        <v>84</v>
      </c>
    </row>
    <row r="29" ht="15.75" customHeight="1">
      <c r="A29" s="8" t="s">
        <v>83</v>
      </c>
      <c r="B29" s="8" t="s">
        <v>42</v>
      </c>
      <c r="C29" s="8">
        <v>0.0</v>
      </c>
      <c r="D29" s="8">
        <v>0.0</v>
      </c>
      <c r="E29" s="8" t="s">
        <v>85</v>
      </c>
      <c r="G29" s="2" t="s">
        <v>86</v>
      </c>
    </row>
    <row r="30" ht="15.75" customHeight="1">
      <c r="A30" s="8" t="s">
        <v>83</v>
      </c>
      <c r="B30" s="8" t="s">
        <v>54</v>
      </c>
      <c r="C30" s="8">
        <v>2.0</v>
      </c>
      <c r="D30" s="8">
        <v>1.5</v>
      </c>
      <c r="E30" s="8" t="s">
        <v>80</v>
      </c>
      <c r="F30" s="11">
        <f>'additional assumptions'!B31/33.33</f>
        <v>2.280228023</v>
      </c>
      <c r="G30" s="2" t="s">
        <v>87</v>
      </c>
    </row>
    <row r="31" ht="15.75" customHeight="1">
      <c r="A31" s="8" t="s">
        <v>83</v>
      </c>
      <c r="B31" s="8" t="s">
        <v>57</v>
      </c>
      <c r="C31" s="8">
        <v>100.0</v>
      </c>
      <c r="D31" s="8">
        <v>100.0</v>
      </c>
      <c r="E31" s="8" t="s">
        <v>58</v>
      </c>
      <c r="F31" s="2">
        <v>30.0</v>
      </c>
      <c r="G31" s="2" t="s">
        <v>88</v>
      </c>
    </row>
    <row r="32" ht="15.75" customHeight="1">
      <c r="A32" s="8"/>
      <c r="B32" s="8"/>
      <c r="C32" s="8"/>
      <c r="D32" s="8"/>
      <c r="E32" s="8"/>
    </row>
    <row r="33" ht="15.75" customHeight="1">
      <c r="A33" s="7" t="s">
        <v>89</v>
      </c>
      <c r="B33" s="8"/>
      <c r="C33" s="8"/>
      <c r="D33" s="8"/>
      <c r="E33" s="8"/>
      <c r="F33" s="1" t="s">
        <v>90</v>
      </c>
    </row>
    <row r="34" ht="15.75" customHeight="1">
      <c r="A34" s="8" t="s">
        <v>91</v>
      </c>
      <c r="B34" s="8" t="s">
        <v>40</v>
      </c>
      <c r="C34" s="8">
        <v>4.95</v>
      </c>
      <c r="D34" s="8">
        <v>4.95</v>
      </c>
      <c r="E34" s="8" t="s">
        <v>41</v>
      </c>
      <c r="F34" s="11">
        <f>'additional assumptions'!C18*100</f>
        <v>1.299709458</v>
      </c>
      <c r="G34" s="8" t="s">
        <v>41</v>
      </c>
    </row>
    <row r="35" ht="15.75" customHeight="1">
      <c r="A35" s="8" t="s">
        <v>91</v>
      </c>
      <c r="B35" s="8" t="s">
        <v>92</v>
      </c>
      <c r="C35" s="8">
        <v>0.15</v>
      </c>
      <c r="D35" s="8">
        <v>0.15</v>
      </c>
      <c r="E35" s="8" t="s">
        <v>93</v>
      </c>
      <c r="F35" s="8" t="s">
        <v>46</v>
      </c>
      <c r="G35" s="8" t="s">
        <v>93</v>
      </c>
    </row>
    <row r="36" ht="15.75" customHeight="1">
      <c r="A36" s="8" t="s">
        <v>91</v>
      </c>
      <c r="B36" s="8" t="s">
        <v>94</v>
      </c>
      <c r="C36" s="8">
        <v>0.2</v>
      </c>
      <c r="D36" s="8">
        <v>0.2</v>
      </c>
      <c r="E36" s="8" t="s">
        <v>93</v>
      </c>
      <c r="F36" s="8" t="s">
        <v>46</v>
      </c>
      <c r="G36" s="8" t="s">
        <v>93</v>
      </c>
    </row>
    <row r="37" ht="15.75" customHeight="1">
      <c r="A37" s="8" t="s">
        <v>91</v>
      </c>
      <c r="B37" s="8" t="s">
        <v>50</v>
      </c>
      <c r="C37" s="8">
        <v>0.4</v>
      </c>
      <c r="D37" s="8">
        <v>0.4</v>
      </c>
      <c r="E37" s="8" t="s">
        <v>95</v>
      </c>
      <c r="F37" s="11">
        <f>'additional assumptions'!C16</f>
        <v>0.2361111111</v>
      </c>
      <c r="G37" s="8" t="s">
        <v>95</v>
      </c>
    </row>
    <row r="38" ht="15.75" customHeight="1">
      <c r="A38" s="8" t="s">
        <v>91</v>
      </c>
      <c r="B38" s="8" t="s">
        <v>96</v>
      </c>
      <c r="C38" s="8">
        <v>1.6</v>
      </c>
      <c r="D38" s="8">
        <v>1.6</v>
      </c>
      <c r="E38" s="8" t="s">
        <v>97</v>
      </c>
      <c r="F38" s="11">
        <f>'additional assumptions'!C15</f>
        <v>1.166666667</v>
      </c>
      <c r="G38" s="8" t="s">
        <v>97</v>
      </c>
    </row>
    <row r="39" ht="15.75" customHeight="1">
      <c r="A39" s="8" t="s">
        <v>91</v>
      </c>
      <c r="B39" s="8" t="s">
        <v>98</v>
      </c>
      <c r="C39" s="8">
        <v>1.0</v>
      </c>
      <c r="D39" s="8">
        <v>0.75</v>
      </c>
      <c r="E39" s="8" t="s">
        <v>93</v>
      </c>
      <c r="F39" s="8" t="s">
        <v>46</v>
      </c>
      <c r="G39" s="8" t="s">
        <v>93</v>
      </c>
    </row>
    <row r="40" ht="15.75" customHeight="1">
      <c r="A40" s="8" t="s">
        <v>91</v>
      </c>
      <c r="B40" s="8" t="s">
        <v>54</v>
      </c>
      <c r="C40" s="17">
        <v>6000000.0</v>
      </c>
      <c r="D40" s="17">
        <v>5000000.0</v>
      </c>
      <c r="E40" s="8" t="s">
        <v>99</v>
      </c>
      <c r="F40" s="18">
        <f>'additional assumptions'!C14*1000000/'additional assumptions'!F28</f>
        <v>12398844.91</v>
      </c>
      <c r="G40" s="14" t="s">
        <v>100</v>
      </c>
    </row>
    <row r="41" ht="15.75" customHeight="1">
      <c r="A41" s="8" t="s">
        <v>91</v>
      </c>
      <c r="B41" s="8" t="s">
        <v>57</v>
      </c>
      <c r="C41" s="8">
        <v>20.0</v>
      </c>
      <c r="D41" s="8">
        <v>20.0</v>
      </c>
      <c r="E41" s="8" t="s">
        <v>58</v>
      </c>
      <c r="F41" s="2">
        <f>'additional assumptions'!C26</f>
        <v>30</v>
      </c>
      <c r="G41" s="8" t="s">
        <v>58</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H13:H21"/>
    <mergeCell ref="F14:F15"/>
    <mergeCell ref="G14:G15"/>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8.33"/>
    <col customWidth="1" min="2" max="4" width="10.56"/>
    <col customWidth="1" min="5" max="5" width="13.44"/>
    <col customWidth="1" min="6" max="26" width="10.56"/>
  </cols>
  <sheetData>
    <row r="1" ht="15.75" customHeight="1">
      <c r="A1" s="1" t="s">
        <v>101</v>
      </c>
      <c r="B1" s="19" t="s">
        <v>102</v>
      </c>
      <c r="E1" s="2" t="s">
        <v>103</v>
      </c>
    </row>
    <row r="2" ht="15.75" customHeight="1">
      <c r="A2" s="2" t="s">
        <v>104</v>
      </c>
      <c r="B2" s="20">
        <v>400.0</v>
      </c>
      <c r="E2" s="2" t="s">
        <v>105</v>
      </c>
    </row>
    <row r="3" ht="15.75" customHeight="1">
      <c r="A3" s="2" t="s">
        <v>106</v>
      </c>
      <c r="B3" s="20">
        <v>0.7</v>
      </c>
      <c r="E3" s="2" t="s">
        <v>107</v>
      </c>
      <c r="F3" s="2" t="s">
        <v>108</v>
      </c>
    </row>
    <row r="4" ht="15.75" customHeight="1">
      <c r="A4" s="2" t="s">
        <v>109</v>
      </c>
      <c r="B4" s="20">
        <v>0.32</v>
      </c>
      <c r="E4" s="2" t="s">
        <v>110</v>
      </c>
      <c r="F4" s="21" t="s">
        <v>111</v>
      </c>
    </row>
    <row r="5" ht="15.75" customHeight="1">
      <c r="A5" s="2" t="s">
        <v>112</v>
      </c>
      <c r="B5" s="20">
        <v>475.0</v>
      </c>
      <c r="E5" s="2" t="s">
        <v>113</v>
      </c>
      <c r="F5" s="2" t="s">
        <v>114</v>
      </c>
    </row>
    <row r="6" ht="15.75" customHeight="1">
      <c r="A6" s="2" t="s">
        <v>115</v>
      </c>
      <c r="B6" s="20" t="s">
        <v>116</v>
      </c>
    </row>
    <row r="7" ht="15.75" customHeight="1">
      <c r="A7" s="2" t="s">
        <v>117</v>
      </c>
      <c r="B7" s="20">
        <v>30.0</v>
      </c>
    </row>
    <row r="8" ht="15.75" customHeight="1">
      <c r="A8" s="2" t="s">
        <v>118</v>
      </c>
      <c r="B8" s="22">
        <v>0.04</v>
      </c>
    </row>
    <row r="9" ht="15.75" customHeight="1">
      <c r="A9" s="2" t="s">
        <v>119</v>
      </c>
      <c r="B9" s="23">
        <v>0.044265686002006005</v>
      </c>
    </row>
    <row r="10" ht="15.75" customHeight="1">
      <c r="A10" s="2" t="s">
        <v>120</v>
      </c>
      <c r="B10" s="20">
        <v>0.0</v>
      </c>
    </row>
    <row r="11" ht="15.75" customHeight="1"/>
    <row r="12" ht="15.75" customHeight="1"/>
    <row r="13" ht="15.75" customHeight="1">
      <c r="A13" s="1" t="s">
        <v>121</v>
      </c>
      <c r="B13" s="19" t="s">
        <v>122</v>
      </c>
      <c r="C13" s="19" t="s">
        <v>102</v>
      </c>
      <c r="D13" s="19" t="s">
        <v>123</v>
      </c>
      <c r="F13" s="19"/>
    </row>
    <row r="14" ht="15.75" customHeight="1">
      <c r="A14" s="2" t="s">
        <v>124</v>
      </c>
      <c r="B14" s="24">
        <v>810.9129343677771</v>
      </c>
      <c r="C14" s="24">
        <v>1415.3932543799347</v>
      </c>
      <c r="D14" s="24">
        <v>2189.5821837668127</v>
      </c>
      <c r="F14" s="2" t="s">
        <v>125</v>
      </c>
    </row>
    <row r="15" ht="15.75" customHeight="1">
      <c r="A15" s="2" t="s">
        <v>126</v>
      </c>
      <c r="B15" s="25">
        <v>0.9444444444444444</v>
      </c>
      <c r="C15" s="25">
        <v>1.1666666666666665</v>
      </c>
      <c r="D15" s="25">
        <v>1.3333333333333333</v>
      </c>
      <c r="F15" s="2" t="s">
        <v>127</v>
      </c>
    </row>
    <row r="16" ht="15.75" customHeight="1">
      <c r="A16" s="2" t="s">
        <v>128</v>
      </c>
      <c r="B16" s="25">
        <v>0.1527777777777778</v>
      </c>
      <c r="C16" s="25">
        <v>0.2361111111111111</v>
      </c>
      <c r="D16" s="25">
        <v>0.3111111111111111</v>
      </c>
      <c r="F16" s="26" t="s">
        <v>129</v>
      </c>
    </row>
    <row r="17" ht="15.75" customHeight="1">
      <c r="A17" s="2" t="s">
        <v>130</v>
      </c>
      <c r="B17" s="27">
        <v>0.15</v>
      </c>
      <c r="C17" s="27">
        <f t="shared" ref="C17:D17" si="1">C15+C16</f>
        <v>1.402777778</v>
      </c>
      <c r="D17" s="27">
        <f t="shared" si="1"/>
        <v>1.644444444</v>
      </c>
      <c r="F17" s="2" t="s">
        <v>131</v>
      </c>
    </row>
    <row r="18" ht="15.75" customHeight="1">
      <c r="A18" s="2" t="s">
        <v>132</v>
      </c>
      <c r="B18" s="28">
        <v>0.0177133689588991</v>
      </c>
      <c r="C18" s="27">
        <v>0.0129970945834831</v>
      </c>
      <c r="D18" s="27">
        <v>0.0127980580988251</v>
      </c>
    </row>
    <row r="19" ht="15.75" customHeight="1">
      <c r="B19" s="20"/>
      <c r="C19" s="20"/>
      <c r="D19" s="20"/>
    </row>
    <row r="20" ht="15.75" customHeight="1">
      <c r="A20" s="6" t="s">
        <v>133</v>
      </c>
      <c r="B20" s="20" t="s">
        <v>122</v>
      </c>
      <c r="C20" s="20" t="s">
        <v>102</v>
      </c>
      <c r="D20" s="20" t="s">
        <v>123</v>
      </c>
      <c r="F20" s="2" t="s">
        <v>134</v>
      </c>
    </row>
    <row r="21" ht="15.75" customHeight="1">
      <c r="A21" s="2" t="s">
        <v>135</v>
      </c>
      <c r="B21" s="20">
        <v>0.05</v>
      </c>
      <c r="C21" s="20">
        <v>0.02</v>
      </c>
      <c r="D21" s="20">
        <v>0.005</v>
      </c>
    </row>
    <row r="22" ht="15.75" customHeight="1">
      <c r="A22" s="2" t="s">
        <v>136</v>
      </c>
      <c r="B22" s="20">
        <v>0.015</v>
      </c>
      <c r="C22" s="20">
        <v>0.01</v>
      </c>
      <c r="D22" s="20">
        <v>0.005</v>
      </c>
    </row>
    <row r="23" ht="15.75" customHeight="1">
      <c r="B23" s="20"/>
      <c r="C23" s="20"/>
      <c r="D23" s="20"/>
    </row>
    <row r="24" ht="15.75" customHeight="1">
      <c r="A24" s="1" t="s">
        <v>137</v>
      </c>
      <c r="B24" s="19"/>
      <c r="C24" s="20"/>
      <c r="D24" s="19"/>
      <c r="F24" s="2" t="s">
        <v>138</v>
      </c>
    </row>
    <row r="25" ht="15.75" customHeight="1">
      <c r="A25" s="2" t="s">
        <v>139</v>
      </c>
      <c r="B25" s="29"/>
      <c r="C25" s="2" t="s">
        <v>140</v>
      </c>
      <c r="D25" s="30"/>
      <c r="F25" s="2">
        <v>1.0</v>
      </c>
      <c r="G25" s="2" t="s">
        <v>141</v>
      </c>
    </row>
    <row r="26" ht="15.75" customHeight="1">
      <c r="A26" s="2" t="s">
        <v>142</v>
      </c>
      <c r="B26" s="30"/>
      <c r="C26" s="20">
        <v>30.0</v>
      </c>
      <c r="D26" s="30"/>
      <c r="F26" s="2">
        <f>F25*1000000</f>
        <v>1000000</v>
      </c>
      <c r="G26" s="2" t="s">
        <v>143</v>
      </c>
    </row>
    <row r="27" ht="15.75" customHeight="1">
      <c r="F27" s="2">
        <f>F26/365</f>
        <v>2739.726027</v>
      </c>
      <c r="G27" s="2" t="s">
        <v>144</v>
      </c>
    </row>
    <row r="28" ht="15.75" customHeight="1">
      <c r="F28" s="2">
        <f>F27/24</f>
        <v>114.1552511</v>
      </c>
      <c r="G28" s="2" t="s">
        <v>145</v>
      </c>
    </row>
    <row r="29" ht="15.75" customHeight="1">
      <c r="A29" s="1" t="s">
        <v>78</v>
      </c>
    </row>
    <row r="30" ht="15.75" customHeight="1">
      <c r="A30" s="2" t="s">
        <v>146</v>
      </c>
      <c r="B30" s="31">
        <v>562.13</v>
      </c>
      <c r="D30" s="2" t="s">
        <v>147</v>
      </c>
    </row>
    <row r="31" ht="15.75" customHeight="1">
      <c r="A31" s="2" t="s">
        <v>148</v>
      </c>
      <c r="B31" s="11">
        <v>76.0</v>
      </c>
      <c r="D31" s="2" t="s">
        <v>149</v>
      </c>
    </row>
    <row r="32" ht="15.75" customHeight="1">
      <c r="A32" s="2" t="s">
        <v>150</v>
      </c>
      <c r="B32" s="11">
        <f>C26/C18</f>
        <v>2308.208177</v>
      </c>
      <c r="D32" s="2" t="s">
        <v>107</v>
      </c>
      <c r="E32" s="2" t="s">
        <v>108</v>
      </c>
    </row>
    <row r="33" ht="15.75" customHeight="1">
      <c r="A33" s="2" t="s">
        <v>151</v>
      </c>
      <c r="B33" s="11">
        <v>30.0</v>
      </c>
      <c r="D33" s="2" t="s">
        <v>152</v>
      </c>
    </row>
    <row r="34" ht="15.75" customHeight="1">
      <c r="D34" s="2" t="s">
        <v>153</v>
      </c>
    </row>
    <row r="35" ht="15.75" customHeight="1"/>
    <row r="36" ht="15.75" customHeight="1">
      <c r="A36" s="1" t="s">
        <v>154</v>
      </c>
    </row>
    <row r="37" ht="15.75" customHeight="1">
      <c r="A37" s="2" t="s">
        <v>155</v>
      </c>
      <c r="B37" s="32">
        <v>0.025</v>
      </c>
    </row>
    <row r="38" ht="15.75" customHeight="1">
      <c r="A38" s="2" t="s">
        <v>156</v>
      </c>
      <c r="B38" s="32">
        <v>0.257</v>
      </c>
    </row>
    <row r="39" ht="15.75" customHeight="1">
      <c r="A39" s="2" t="s">
        <v>157</v>
      </c>
      <c r="B39" s="33" t="s">
        <v>158</v>
      </c>
    </row>
    <row r="40" ht="15.75" customHeight="1">
      <c r="A40" s="2" t="s">
        <v>159</v>
      </c>
      <c r="B40" s="9">
        <v>0.04</v>
      </c>
    </row>
    <row r="41" ht="15.75" customHeight="1">
      <c r="A41" s="2" t="s">
        <v>160</v>
      </c>
      <c r="B41" s="2">
        <v>10.0</v>
      </c>
      <c r="C41" s="2" t="s">
        <v>58</v>
      </c>
    </row>
    <row r="42" ht="15.75" customHeight="1">
      <c r="A42" s="2" t="s">
        <v>161</v>
      </c>
      <c r="B42" s="32">
        <v>0.193</v>
      </c>
    </row>
    <row r="43" ht="15.75" customHeight="1">
      <c r="A43" s="2" t="s">
        <v>162</v>
      </c>
      <c r="B43" s="9">
        <v>0.07</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F4"/>
    <hyperlink r:id="rId3" ref="F16"/>
  </hyperlinks>
  <printOptions/>
  <pageMargins bottom="0.75" footer="0.0" header="0.0" left="0.7" right="0.7" top="0.75"/>
  <pageSetup orientation="landscape"/>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2" t="s">
        <v>62</v>
      </c>
      <c r="B1" s="2" t="s">
        <v>163</v>
      </c>
      <c r="C1" s="2" t="s">
        <v>164</v>
      </c>
      <c r="D1" s="2" t="s">
        <v>165</v>
      </c>
    </row>
    <row r="2" ht="15.75" customHeight="1">
      <c r="A2" s="2">
        <v>2020.0</v>
      </c>
      <c r="B2" s="2">
        <v>0.65</v>
      </c>
      <c r="C2" s="2">
        <v>0.6</v>
      </c>
      <c r="D2" s="2">
        <v>0.81</v>
      </c>
    </row>
    <row r="3" ht="15.75" customHeight="1">
      <c r="A3" s="2">
        <v>2021.0</v>
      </c>
      <c r="B3" s="2">
        <v>0.654333333</v>
      </c>
      <c r="C3" s="2">
        <v>0.604666667</v>
      </c>
      <c r="D3" s="2">
        <v>0.813</v>
      </c>
    </row>
    <row r="4" ht="15.75" customHeight="1">
      <c r="A4" s="2">
        <v>2022.0</v>
      </c>
      <c r="B4" s="2">
        <v>0.658666667</v>
      </c>
      <c r="C4" s="2">
        <v>0.609333333</v>
      </c>
      <c r="D4" s="2">
        <v>0.816</v>
      </c>
    </row>
    <row r="5" ht="15.75" customHeight="1">
      <c r="A5" s="2">
        <v>2023.0</v>
      </c>
      <c r="B5" s="2">
        <v>0.663</v>
      </c>
      <c r="C5" s="2">
        <v>0.614</v>
      </c>
      <c r="D5" s="2">
        <v>0.819</v>
      </c>
    </row>
    <row r="6" ht="15.75" customHeight="1">
      <c r="A6" s="2">
        <v>2024.0</v>
      </c>
      <c r="B6" s="2">
        <v>0.667333333</v>
      </c>
      <c r="C6" s="2">
        <v>0.618666667</v>
      </c>
      <c r="D6" s="2">
        <v>0.822</v>
      </c>
    </row>
    <row r="7" ht="15.75" customHeight="1">
      <c r="A7" s="2">
        <v>2025.0</v>
      </c>
      <c r="B7" s="2">
        <v>0.671666667</v>
      </c>
      <c r="C7" s="2">
        <v>0.623333333</v>
      </c>
      <c r="D7" s="2">
        <v>0.825</v>
      </c>
    </row>
    <row r="8" ht="15.75" customHeight="1">
      <c r="A8" s="2">
        <v>2026.0</v>
      </c>
      <c r="B8" s="2">
        <v>0.676</v>
      </c>
      <c r="C8" s="2">
        <v>0.628</v>
      </c>
      <c r="D8" s="2">
        <v>0.828</v>
      </c>
    </row>
    <row r="9" ht="15.75" customHeight="1">
      <c r="A9" s="2">
        <v>2027.0</v>
      </c>
      <c r="B9" s="2">
        <v>0.680333333</v>
      </c>
      <c r="C9" s="2">
        <v>0.632666667</v>
      </c>
      <c r="D9" s="2">
        <v>0.831</v>
      </c>
    </row>
    <row r="10" ht="15.75" customHeight="1">
      <c r="A10" s="2">
        <v>2028.0</v>
      </c>
      <c r="B10" s="2">
        <v>0.684666667</v>
      </c>
      <c r="C10" s="2">
        <v>0.637333333</v>
      </c>
      <c r="D10" s="2">
        <v>0.834</v>
      </c>
    </row>
    <row r="11" ht="15.75" customHeight="1">
      <c r="A11" s="2">
        <v>2029.0</v>
      </c>
      <c r="B11" s="2">
        <v>0.689</v>
      </c>
      <c r="C11" s="2">
        <v>0.642</v>
      </c>
      <c r="D11" s="2">
        <v>0.837</v>
      </c>
    </row>
    <row r="12" ht="15.75" customHeight="1">
      <c r="A12" s="2">
        <v>2030.0</v>
      </c>
      <c r="B12" s="2">
        <v>0.693333333</v>
      </c>
      <c r="C12" s="2">
        <v>0.646666667</v>
      </c>
      <c r="D12" s="2">
        <v>0.84</v>
      </c>
    </row>
    <row r="13" ht="15.75" customHeight="1">
      <c r="A13" s="2">
        <v>2031.0</v>
      </c>
      <c r="B13" s="2">
        <v>0.697666667</v>
      </c>
      <c r="C13" s="2">
        <v>0.651333333</v>
      </c>
      <c r="D13" s="2">
        <v>0.843</v>
      </c>
    </row>
    <row r="14" ht="15.75" customHeight="1">
      <c r="A14" s="2">
        <v>2032.0</v>
      </c>
      <c r="B14" s="2">
        <v>0.702</v>
      </c>
      <c r="C14" s="2">
        <v>0.656</v>
      </c>
      <c r="D14" s="2">
        <v>0.846</v>
      </c>
    </row>
    <row r="15" ht="15.75" customHeight="1">
      <c r="A15" s="2">
        <v>2033.0</v>
      </c>
      <c r="B15" s="2">
        <v>0.706333333</v>
      </c>
      <c r="C15" s="2">
        <v>0.660666667</v>
      </c>
      <c r="D15" s="2">
        <v>0.849</v>
      </c>
    </row>
    <row r="16" ht="15.75" customHeight="1">
      <c r="A16" s="2">
        <v>2034.0</v>
      </c>
      <c r="B16" s="2">
        <v>0.710666667</v>
      </c>
      <c r="C16" s="2">
        <v>0.665333333</v>
      </c>
      <c r="D16" s="2">
        <v>0.852</v>
      </c>
    </row>
    <row r="17" ht="15.75" customHeight="1">
      <c r="A17" s="2">
        <v>2035.0</v>
      </c>
      <c r="B17" s="2">
        <v>0.715</v>
      </c>
      <c r="C17" s="2">
        <v>0.67</v>
      </c>
      <c r="D17" s="2">
        <v>0.855</v>
      </c>
    </row>
    <row r="18" ht="15.75" customHeight="1">
      <c r="A18" s="2">
        <v>2036.0</v>
      </c>
      <c r="B18" s="2">
        <v>0.719333333</v>
      </c>
      <c r="C18" s="2">
        <v>0.674666667</v>
      </c>
      <c r="D18" s="2">
        <v>0.858</v>
      </c>
    </row>
    <row r="19" ht="15.75" customHeight="1">
      <c r="A19" s="2">
        <v>2037.0</v>
      </c>
      <c r="B19" s="2">
        <v>0.723666667</v>
      </c>
      <c r="C19" s="2">
        <v>0.679333333</v>
      </c>
      <c r="D19" s="2">
        <v>0.861</v>
      </c>
    </row>
    <row r="20" ht="15.75" customHeight="1">
      <c r="A20" s="2">
        <v>2038.0</v>
      </c>
      <c r="B20" s="2">
        <v>0.728</v>
      </c>
      <c r="C20" s="2">
        <v>0.684</v>
      </c>
      <c r="D20" s="2">
        <v>0.864</v>
      </c>
    </row>
    <row r="21" ht="15.75" customHeight="1">
      <c r="A21" s="2">
        <v>2039.0</v>
      </c>
      <c r="B21" s="2">
        <v>0.732333333</v>
      </c>
      <c r="C21" s="2">
        <v>0.688666667</v>
      </c>
      <c r="D21" s="2">
        <v>0.867</v>
      </c>
    </row>
    <row r="22" ht="15.75" customHeight="1">
      <c r="A22" s="2">
        <v>2040.0</v>
      </c>
      <c r="B22" s="2">
        <v>0.736666667</v>
      </c>
      <c r="C22" s="2">
        <v>0.693333333</v>
      </c>
      <c r="D22" s="2">
        <v>0.87</v>
      </c>
    </row>
    <row r="23" ht="15.75" customHeight="1">
      <c r="A23" s="2">
        <v>2041.0</v>
      </c>
      <c r="B23" s="2">
        <v>0.741</v>
      </c>
      <c r="C23" s="2">
        <v>0.698</v>
      </c>
      <c r="D23" s="2">
        <v>0.873</v>
      </c>
    </row>
    <row r="24" ht="15.75" customHeight="1">
      <c r="A24" s="2">
        <v>2042.0</v>
      </c>
      <c r="B24" s="2">
        <v>0.745333333</v>
      </c>
      <c r="C24" s="2">
        <v>0.702666667</v>
      </c>
      <c r="D24" s="2">
        <v>0.876</v>
      </c>
    </row>
    <row r="25" ht="15.75" customHeight="1">
      <c r="A25" s="2">
        <v>2043.0</v>
      </c>
      <c r="B25" s="2">
        <v>0.749666667</v>
      </c>
      <c r="C25" s="2">
        <v>0.707333333</v>
      </c>
      <c r="D25" s="2">
        <v>0.879</v>
      </c>
    </row>
    <row r="26" ht="15.75" customHeight="1">
      <c r="A26" s="2">
        <v>2044.0</v>
      </c>
      <c r="B26" s="2">
        <v>0.754</v>
      </c>
      <c r="C26" s="2">
        <v>0.712</v>
      </c>
      <c r="D26" s="2">
        <v>0.882</v>
      </c>
    </row>
    <row r="27" ht="15.75" customHeight="1">
      <c r="A27" s="2">
        <v>2045.0</v>
      </c>
      <c r="B27" s="2">
        <v>0.758333333</v>
      </c>
      <c r="C27" s="2">
        <v>0.716666667</v>
      </c>
      <c r="D27" s="2">
        <v>0.885</v>
      </c>
    </row>
    <row r="28" ht="15.75" customHeight="1">
      <c r="A28" s="2">
        <v>2046.0</v>
      </c>
      <c r="B28" s="2">
        <v>0.762666667</v>
      </c>
      <c r="C28" s="2">
        <v>0.721333333</v>
      </c>
      <c r="D28" s="2">
        <v>0.888</v>
      </c>
    </row>
    <row r="29" ht="15.75" customHeight="1">
      <c r="A29" s="2">
        <v>2047.0</v>
      </c>
      <c r="B29" s="2">
        <v>0.767</v>
      </c>
      <c r="C29" s="2">
        <v>0.726</v>
      </c>
      <c r="D29" s="2">
        <v>0.891</v>
      </c>
    </row>
    <row r="30" ht="15.75" customHeight="1">
      <c r="A30" s="2">
        <v>2048.0</v>
      </c>
      <c r="B30" s="2">
        <v>0.771333333</v>
      </c>
      <c r="C30" s="2">
        <v>0.730666667</v>
      </c>
      <c r="D30" s="2">
        <v>0.894</v>
      </c>
    </row>
    <row r="31" ht="15.75" customHeight="1">
      <c r="A31" s="2">
        <v>2049.0</v>
      </c>
      <c r="B31" s="2">
        <v>0.775666667</v>
      </c>
      <c r="C31" s="2">
        <v>0.735333333</v>
      </c>
      <c r="D31" s="2">
        <v>0.897</v>
      </c>
    </row>
    <row r="32" ht="15.75" customHeight="1">
      <c r="A32" s="2">
        <v>2050.0</v>
      </c>
      <c r="B32" s="2">
        <v>0.78</v>
      </c>
      <c r="C32" s="2">
        <v>0.74</v>
      </c>
      <c r="D32" s="2">
        <v>0.9</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2" t="s">
        <v>166</v>
      </c>
      <c r="B1" s="2" t="s">
        <v>167</v>
      </c>
      <c r="C1" s="2" t="s">
        <v>168</v>
      </c>
      <c r="D1" s="2" t="s">
        <v>169</v>
      </c>
      <c r="E1" s="2" t="s">
        <v>170</v>
      </c>
      <c r="F1" s="2" t="s">
        <v>171</v>
      </c>
      <c r="G1" s="2" t="s">
        <v>172</v>
      </c>
      <c r="H1" s="34" t="s">
        <v>173</v>
      </c>
      <c r="I1" s="34" t="s">
        <v>174</v>
      </c>
      <c r="J1" s="34" t="s">
        <v>175</v>
      </c>
    </row>
    <row r="2" ht="15.75" customHeight="1">
      <c r="A2" s="2">
        <v>2020.0</v>
      </c>
      <c r="B2" s="35">
        <f>571*1.16</f>
        <v>662.36</v>
      </c>
      <c r="C2" s="35">
        <f>385*1.16</f>
        <v>446.6</v>
      </c>
      <c r="D2" s="35">
        <f>677*1.16</f>
        <v>785.32</v>
      </c>
      <c r="E2" s="35">
        <f>988*1.16</f>
        <v>1146.08</v>
      </c>
      <c r="F2" s="35">
        <f>1182*1.16</f>
        <v>1371.12</v>
      </c>
      <c r="G2" s="35">
        <f>1346*1.16</f>
        <v>1561.36</v>
      </c>
      <c r="H2" s="35">
        <f>1268*1.16</f>
        <v>1470.88</v>
      </c>
      <c r="I2" s="35">
        <f>2068*1.16</f>
        <v>2398.88</v>
      </c>
      <c r="J2" s="35">
        <f>2285*1.16</f>
        <v>2650.6</v>
      </c>
    </row>
    <row r="3" ht="15.75" customHeight="1">
      <c r="A3" s="2">
        <v>2021.0</v>
      </c>
      <c r="B3" s="35">
        <f t="shared" ref="B3:D3" si="1">B2*(1-0.005)</f>
        <v>659.0482</v>
      </c>
      <c r="C3" s="35">
        <f t="shared" si="1"/>
        <v>444.367</v>
      </c>
      <c r="D3" s="35">
        <f t="shared" si="1"/>
        <v>781.3934</v>
      </c>
      <c r="E3" s="35">
        <f t="shared" ref="E3:G3" si="2">E2*(1-0.02)</f>
        <v>1123.1584</v>
      </c>
      <c r="F3" s="35">
        <f t="shared" si="2"/>
        <v>1343.6976</v>
      </c>
      <c r="G3" s="35">
        <f t="shared" si="2"/>
        <v>1530.1328</v>
      </c>
      <c r="H3" s="35">
        <f t="shared" ref="H3:J3" si="3">H2*(1-0.025)</f>
        <v>1434.108</v>
      </c>
      <c r="I3" s="35">
        <f t="shared" si="3"/>
        <v>2338.908</v>
      </c>
      <c r="J3" s="35">
        <f t="shared" si="3"/>
        <v>2584.335</v>
      </c>
    </row>
    <row r="4" ht="15.75" customHeight="1">
      <c r="A4" s="2">
        <v>2022.0</v>
      </c>
      <c r="B4" s="35">
        <f t="shared" ref="B4:D4" si="4">B3*(1-0.005)</f>
        <v>655.752959</v>
      </c>
      <c r="C4" s="35">
        <f t="shared" si="4"/>
        <v>442.145165</v>
      </c>
      <c r="D4" s="35">
        <f t="shared" si="4"/>
        <v>777.486433</v>
      </c>
      <c r="E4" s="35">
        <f t="shared" ref="E4:G4" si="5">E3*(1-0.02)</f>
        <v>1100.695232</v>
      </c>
      <c r="F4" s="35">
        <f t="shared" si="5"/>
        <v>1316.823648</v>
      </c>
      <c r="G4" s="35">
        <f t="shared" si="5"/>
        <v>1499.530144</v>
      </c>
      <c r="H4" s="35">
        <f t="shared" ref="H4:J4" si="6">H3*(1-0.025)</f>
        <v>1398.2553</v>
      </c>
      <c r="I4" s="35">
        <f t="shared" si="6"/>
        <v>2280.4353</v>
      </c>
      <c r="J4" s="35">
        <f t="shared" si="6"/>
        <v>2519.726625</v>
      </c>
    </row>
    <row r="5" ht="15.75" customHeight="1">
      <c r="A5" s="2">
        <v>2023.0</v>
      </c>
      <c r="B5" s="35">
        <f t="shared" ref="B5:D5" si="7">B4*(1-0.005)</f>
        <v>652.4741942</v>
      </c>
      <c r="C5" s="35">
        <f t="shared" si="7"/>
        <v>439.9344392</v>
      </c>
      <c r="D5" s="35">
        <f t="shared" si="7"/>
        <v>773.5990008</v>
      </c>
      <c r="E5" s="35">
        <f t="shared" ref="E5:G5" si="8">E4*(1-0.02)</f>
        <v>1078.681327</v>
      </c>
      <c r="F5" s="35">
        <f t="shared" si="8"/>
        <v>1290.487175</v>
      </c>
      <c r="G5" s="35">
        <f t="shared" si="8"/>
        <v>1469.539541</v>
      </c>
      <c r="H5" s="35">
        <f t="shared" ref="H5:J5" si="9">H4*(1-0.025)</f>
        <v>1363.298918</v>
      </c>
      <c r="I5" s="35">
        <f t="shared" si="9"/>
        <v>2223.424418</v>
      </c>
      <c r="J5" s="35">
        <f t="shared" si="9"/>
        <v>2456.733459</v>
      </c>
    </row>
    <row r="6" ht="15.75" customHeight="1">
      <c r="A6" s="2">
        <v>2024.0</v>
      </c>
      <c r="B6" s="35">
        <f t="shared" ref="B6:D6" si="10">B5*(1-0.005)</f>
        <v>649.2118232</v>
      </c>
      <c r="C6" s="35">
        <f t="shared" si="10"/>
        <v>437.734767</v>
      </c>
      <c r="D6" s="35">
        <f t="shared" si="10"/>
        <v>769.7310058</v>
      </c>
      <c r="E6" s="35">
        <f t="shared" ref="E6:G6" si="11">E5*(1-0.02)</f>
        <v>1057.107701</v>
      </c>
      <c r="F6" s="35">
        <f t="shared" si="11"/>
        <v>1264.677432</v>
      </c>
      <c r="G6" s="35">
        <f t="shared" si="11"/>
        <v>1440.14875</v>
      </c>
      <c r="H6" s="35">
        <f t="shared" ref="H6:J6" si="12">H5*(1-0.025)</f>
        <v>1329.216445</v>
      </c>
      <c r="I6" s="35">
        <f t="shared" si="12"/>
        <v>2167.838807</v>
      </c>
      <c r="J6" s="35">
        <f t="shared" si="12"/>
        <v>2395.315123</v>
      </c>
    </row>
    <row r="7" ht="15.75" customHeight="1">
      <c r="A7" s="2">
        <v>2025.0</v>
      </c>
      <c r="B7" s="35">
        <f t="shared" ref="B7:D7" si="13">B6*(1-0.005)</f>
        <v>645.9657641</v>
      </c>
      <c r="C7" s="35">
        <f t="shared" si="13"/>
        <v>435.5460931</v>
      </c>
      <c r="D7" s="35">
        <f t="shared" si="13"/>
        <v>765.8823508</v>
      </c>
      <c r="E7" s="35">
        <f t="shared" ref="E7:G7" si="14">E6*(1-0.02)</f>
        <v>1035.965547</v>
      </c>
      <c r="F7" s="35">
        <f t="shared" si="14"/>
        <v>1239.383883</v>
      </c>
      <c r="G7" s="35">
        <f t="shared" si="14"/>
        <v>1411.345775</v>
      </c>
      <c r="H7" s="35">
        <f t="shared" ref="H7:J7" si="15">H6*(1-0.025)</f>
        <v>1295.986033</v>
      </c>
      <c r="I7" s="35">
        <f t="shared" si="15"/>
        <v>2113.642837</v>
      </c>
      <c r="J7" s="35">
        <f t="shared" si="15"/>
        <v>2335.432245</v>
      </c>
    </row>
    <row r="8" ht="15.75" customHeight="1">
      <c r="A8" s="2">
        <v>2026.0</v>
      </c>
      <c r="B8" s="35">
        <f t="shared" ref="B8:D8" si="16">B7*(1-0.005)</f>
        <v>642.7359353</v>
      </c>
      <c r="C8" s="35">
        <f t="shared" si="16"/>
        <v>433.3683627</v>
      </c>
      <c r="D8" s="35">
        <f t="shared" si="16"/>
        <v>762.052939</v>
      </c>
      <c r="E8" s="35">
        <f t="shared" ref="E8:G8" si="17">E7*(1-0.02)</f>
        <v>1015.246236</v>
      </c>
      <c r="F8" s="35">
        <f t="shared" si="17"/>
        <v>1214.596205</v>
      </c>
      <c r="G8" s="35">
        <f t="shared" si="17"/>
        <v>1383.11886</v>
      </c>
      <c r="H8" s="35">
        <f t="shared" ref="H8:J8" si="18">H7*(1-0.025)</f>
        <v>1263.586383</v>
      </c>
      <c r="I8" s="35">
        <f t="shared" si="18"/>
        <v>2060.801766</v>
      </c>
      <c r="J8" s="35">
        <f t="shared" si="18"/>
        <v>2277.046439</v>
      </c>
    </row>
    <row r="9" ht="15.75" customHeight="1">
      <c r="A9" s="2">
        <v>2027.0</v>
      </c>
      <c r="B9" s="35">
        <f t="shared" ref="B9:D9" si="19">B8*(1-0.005)</f>
        <v>639.5222556</v>
      </c>
      <c r="C9" s="35">
        <f t="shared" si="19"/>
        <v>431.2015209</v>
      </c>
      <c r="D9" s="35">
        <f t="shared" si="19"/>
        <v>758.2426744</v>
      </c>
      <c r="E9" s="35">
        <f t="shared" ref="E9:G9" si="20">E8*(1-0.02)</f>
        <v>994.9413111</v>
      </c>
      <c r="F9" s="35">
        <f t="shared" si="20"/>
        <v>1190.304281</v>
      </c>
      <c r="G9" s="35">
        <f t="shared" si="20"/>
        <v>1355.456483</v>
      </c>
      <c r="H9" s="35">
        <f t="shared" ref="H9:J9" si="21">H8*(1-0.025)</f>
        <v>1231.996723</v>
      </c>
      <c r="I9" s="35">
        <f t="shared" si="21"/>
        <v>2009.281722</v>
      </c>
      <c r="J9" s="35">
        <f t="shared" si="21"/>
        <v>2220.120278</v>
      </c>
    </row>
    <row r="10" ht="15.75" customHeight="1">
      <c r="A10" s="2">
        <v>2028.0</v>
      </c>
      <c r="B10" s="35">
        <f t="shared" ref="B10:D10" si="22">B9*(1-0.005)</f>
        <v>636.3246443</v>
      </c>
      <c r="C10" s="35">
        <f t="shared" si="22"/>
        <v>429.0455133</v>
      </c>
      <c r="D10" s="35">
        <f t="shared" si="22"/>
        <v>754.451461</v>
      </c>
      <c r="E10" s="35">
        <f t="shared" ref="E10:G10" si="23">E9*(1-0.02)</f>
        <v>975.0424849</v>
      </c>
      <c r="F10" s="35">
        <f t="shared" si="23"/>
        <v>1166.498196</v>
      </c>
      <c r="G10" s="35">
        <f t="shared" si="23"/>
        <v>1328.347353</v>
      </c>
      <c r="H10" s="35">
        <f t="shared" ref="H10:J10" si="24">H9*(1-0.025)</f>
        <v>1201.196805</v>
      </c>
      <c r="I10" s="35">
        <f t="shared" si="24"/>
        <v>1959.049679</v>
      </c>
      <c r="J10" s="35">
        <f t="shared" si="24"/>
        <v>2164.617271</v>
      </c>
    </row>
    <row r="11" ht="15.75" customHeight="1">
      <c r="A11" s="2">
        <v>2029.0</v>
      </c>
      <c r="B11" s="35">
        <f t="shared" ref="B11:D11" si="25">B10*(1-0.005)</f>
        <v>633.1430211</v>
      </c>
      <c r="C11" s="35">
        <f t="shared" si="25"/>
        <v>426.9002857</v>
      </c>
      <c r="D11" s="35">
        <f t="shared" si="25"/>
        <v>750.6792037</v>
      </c>
      <c r="E11" s="35">
        <f t="shared" ref="E11:G11" si="26">E10*(1-0.02)</f>
        <v>955.5416352</v>
      </c>
      <c r="F11" s="35">
        <f t="shared" si="26"/>
        <v>1143.168232</v>
      </c>
      <c r="G11" s="35">
        <f t="shared" si="26"/>
        <v>1301.780406</v>
      </c>
      <c r="H11" s="35">
        <f t="shared" ref="H11:J11" si="27">H10*(1-0.025)</f>
        <v>1171.166885</v>
      </c>
      <c r="I11" s="35">
        <f t="shared" si="27"/>
        <v>1910.073437</v>
      </c>
      <c r="J11" s="35">
        <f t="shared" si="27"/>
        <v>2110.501839</v>
      </c>
    </row>
    <row r="12" ht="15.75" customHeight="1">
      <c r="A12" s="2">
        <v>2030.0</v>
      </c>
      <c r="B12" s="35">
        <f t="shared" ref="B12:D12" si="28">B11*(1-0.005)</f>
        <v>629.977306</v>
      </c>
      <c r="C12" s="35">
        <f t="shared" si="28"/>
        <v>424.7657843</v>
      </c>
      <c r="D12" s="35">
        <f t="shared" si="28"/>
        <v>746.9258077</v>
      </c>
      <c r="E12" s="35">
        <f t="shared" ref="E12:G12" si="29">E11*(1-0.02)</f>
        <v>936.4308025</v>
      </c>
      <c r="F12" s="35">
        <f t="shared" si="29"/>
        <v>1120.304867</v>
      </c>
      <c r="G12" s="35">
        <f t="shared" si="29"/>
        <v>1275.744798</v>
      </c>
      <c r="H12" s="35">
        <f t="shared" ref="H12:J12" si="30">H11*(1-0.025)</f>
        <v>1141.887713</v>
      </c>
      <c r="I12" s="35">
        <f t="shared" si="30"/>
        <v>1862.321601</v>
      </c>
      <c r="J12" s="35">
        <f t="shared" si="30"/>
        <v>2057.739293</v>
      </c>
    </row>
    <row r="13" ht="15.75" customHeight="1">
      <c r="A13" s="2">
        <v>2031.0</v>
      </c>
      <c r="B13" s="35">
        <f t="shared" ref="B13:D13" si="31">B12*(1-0.005)</f>
        <v>626.8274195</v>
      </c>
      <c r="C13" s="35">
        <f t="shared" si="31"/>
        <v>422.6419553</v>
      </c>
      <c r="D13" s="35">
        <f t="shared" si="31"/>
        <v>743.1911786</v>
      </c>
      <c r="E13" s="35">
        <f t="shared" ref="E13:G13" si="32">E12*(1-0.02)</f>
        <v>917.7021865</v>
      </c>
      <c r="F13" s="35">
        <f t="shared" si="32"/>
        <v>1097.89877</v>
      </c>
      <c r="G13" s="35">
        <f t="shared" si="32"/>
        <v>1250.229902</v>
      </c>
      <c r="H13" s="35">
        <f t="shared" ref="H13:J13" si="33">H12*(1-0.025)</f>
        <v>1113.34052</v>
      </c>
      <c r="I13" s="35">
        <f t="shared" si="33"/>
        <v>1815.763561</v>
      </c>
      <c r="J13" s="35">
        <f t="shared" si="33"/>
        <v>2006.295811</v>
      </c>
    </row>
    <row r="14" ht="15.75" customHeight="1">
      <c r="A14" s="2">
        <v>2032.0</v>
      </c>
      <c r="B14" s="35">
        <f t="shared" ref="B14:D14" si="34">B13*(1-0.005)</f>
        <v>623.6932824</v>
      </c>
      <c r="C14" s="35">
        <f t="shared" si="34"/>
        <v>420.5287456</v>
      </c>
      <c r="D14" s="35">
        <f t="shared" si="34"/>
        <v>739.4752227</v>
      </c>
      <c r="E14" s="35">
        <f t="shared" ref="E14:G14" si="35">E13*(1-0.02)</f>
        <v>899.3481427</v>
      </c>
      <c r="F14" s="35">
        <f t="shared" si="35"/>
        <v>1075.940794</v>
      </c>
      <c r="G14" s="35">
        <f t="shared" si="35"/>
        <v>1225.225304</v>
      </c>
      <c r="H14" s="35">
        <f t="shared" ref="H14:J14" si="36">H13*(1-0.025)</f>
        <v>1085.507007</v>
      </c>
      <c r="I14" s="35">
        <f t="shared" si="36"/>
        <v>1770.369472</v>
      </c>
      <c r="J14" s="35">
        <f t="shared" si="36"/>
        <v>1956.138415</v>
      </c>
    </row>
    <row r="15" ht="15.75" customHeight="1">
      <c r="A15" s="2">
        <v>2033.0</v>
      </c>
      <c r="B15" s="35">
        <f t="shared" ref="B15:D15" si="37">B14*(1-0.005)</f>
        <v>620.574816</v>
      </c>
      <c r="C15" s="35">
        <f t="shared" si="37"/>
        <v>418.4261018</v>
      </c>
      <c r="D15" s="35">
        <f t="shared" si="37"/>
        <v>735.7778466</v>
      </c>
      <c r="E15" s="35">
        <f t="shared" ref="E15:G15" si="38">E14*(1-0.02)</f>
        <v>881.3611799</v>
      </c>
      <c r="F15" s="35">
        <f t="shared" si="38"/>
        <v>1054.421978</v>
      </c>
      <c r="G15" s="35">
        <f t="shared" si="38"/>
        <v>1200.720798</v>
      </c>
      <c r="H15" s="35">
        <f t="shared" ref="H15:J15" si="39">H14*(1-0.025)</f>
        <v>1058.369332</v>
      </c>
      <c r="I15" s="35">
        <f t="shared" si="39"/>
        <v>1726.110235</v>
      </c>
      <c r="J15" s="35">
        <f t="shared" si="39"/>
        <v>1907.234955</v>
      </c>
    </row>
    <row r="16" ht="15.75" customHeight="1">
      <c r="A16" s="2">
        <v>2034.0</v>
      </c>
      <c r="B16" s="35">
        <f t="shared" ref="B16:D16" si="40">B15*(1-0.005)</f>
        <v>617.4719419</v>
      </c>
      <c r="C16" s="35">
        <f t="shared" si="40"/>
        <v>416.3339713</v>
      </c>
      <c r="D16" s="35">
        <f t="shared" si="40"/>
        <v>732.0989574</v>
      </c>
      <c r="E16" s="35">
        <f t="shared" ref="E16:G16" si="41">E15*(1-0.02)</f>
        <v>863.7339563</v>
      </c>
      <c r="F16" s="35">
        <f t="shared" si="41"/>
        <v>1033.333539</v>
      </c>
      <c r="G16" s="35">
        <f t="shared" si="41"/>
        <v>1176.706382</v>
      </c>
      <c r="H16" s="35">
        <f t="shared" ref="H16:J16" si="42">H15*(1-0.025)</f>
        <v>1031.910098</v>
      </c>
      <c r="I16" s="35">
        <f t="shared" si="42"/>
        <v>1682.957479</v>
      </c>
      <c r="J16" s="35">
        <f t="shared" si="42"/>
        <v>1859.554081</v>
      </c>
    </row>
    <row r="17" ht="15.75" customHeight="1">
      <c r="A17" s="2">
        <v>2035.0</v>
      </c>
      <c r="B17" s="35">
        <f t="shared" ref="B17:D17" si="43">B16*(1-0.005)</f>
        <v>614.3845822</v>
      </c>
      <c r="C17" s="35">
        <f t="shared" si="43"/>
        <v>414.2523015</v>
      </c>
      <c r="D17" s="35">
        <f t="shared" si="43"/>
        <v>728.4384626</v>
      </c>
      <c r="E17" s="35">
        <f t="shared" ref="E17:G17" si="44">E16*(1-0.02)</f>
        <v>846.4592772</v>
      </c>
      <c r="F17" s="35">
        <f t="shared" si="44"/>
        <v>1012.666868</v>
      </c>
      <c r="G17" s="35">
        <f t="shared" si="44"/>
        <v>1153.172254</v>
      </c>
      <c r="H17" s="35">
        <f t="shared" ref="H17:J17" si="45">H16*(1-0.025)</f>
        <v>1006.112346</v>
      </c>
      <c r="I17" s="35">
        <f t="shared" si="45"/>
        <v>1640.883542</v>
      </c>
      <c r="J17" s="35">
        <f t="shared" si="45"/>
        <v>1813.065229</v>
      </c>
    </row>
    <row r="18" ht="15.75" customHeight="1">
      <c r="A18" s="2">
        <v>2036.0</v>
      </c>
      <c r="B18" s="35">
        <f t="shared" ref="B18:D18" si="46">B17*(1-0.005)</f>
        <v>611.3126593</v>
      </c>
      <c r="C18" s="35">
        <f t="shared" si="46"/>
        <v>412.18104</v>
      </c>
      <c r="D18" s="35">
        <f t="shared" si="46"/>
        <v>724.7962703</v>
      </c>
      <c r="E18" s="35">
        <f t="shared" ref="E18:G18" si="47">E17*(1-0.02)</f>
        <v>829.5300916</v>
      </c>
      <c r="F18" s="35">
        <f t="shared" si="47"/>
        <v>992.4135307</v>
      </c>
      <c r="G18" s="35">
        <f t="shared" si="47"/>
        <v>1130.108809</v>
      </c>
      <c r="H18" s="35">
        <f t="shared" ref="H18:J18" si="48">H17*(1-0.025)</f>
        <v>980.9595373</v>
      </c>
      <c r="I18" s="35">
        <f t="shared" si="48"/>
        <v>1599.861454</v>
      </c>
      <c r="J18" s="35">
        <f t="shared" si="48"/>
        <v>1767.738598</v>
      </c>
    </row>
    <row r="19" ht="15.75" customHeight="1">
      <c r="A19" s="2">
        <v>2037.0</v>
      </c>
      <c r="B19" s="35">
        <f t="shared" ref="B19:D19" si="49">B18*(1-0.005)</f>
        <v>608.256096</v>
      </c>
      <c r="C19" s="35">
        <f t="shared" si="49"/>
        <v>410.1201348</v>
      </c>
      <c r="D19" s="35">
        <f t="shared" si="49"/>
        <v>721.1722889</v>
      </c>
      <c r="E19" s="35">
        <f t="shared" ref="E19:G19" si="50">E18*(1-0.02)</f>
        <v>812.9394898</v>
      </c>
      <c r="F19" s="35">
        <f t="shared" si="50"/>
        <v>972.56526</v>
      </c>
      <c r="G19" s="35">
        <f t="shared" si="50"/>
        <v>1107.506633</v>
      </c>
      <c r="H19" s="35">
        <f t="shared" ref="H19:J19" si="51">H18*(1-0.025)</f>
        <v>956.4355489</v>
      </c>
      <c r="I19" s="35">
        <f t="shared" si="51"/>
        <v>1559.864917</v>
      </c>
      <c r="J19" s="35">
        <f t="shared" si="51"/>
        <v>1723.545133</v>
      </c>
    </row>
    <row r="20" ht="15.75" customHeight="1">
      <c r="A20" s="2">
        <v>2038.0</v>
      </c>
      <c r="B20" s="35">
        <f t="shared" ref="B20:D20" si="52">B19*(1-0.005)</f>
        <v>605.2148155</v>
      </c>
      <c r="C20" s="35">
        <f t="shared" si="52"/>
        <v>408.0695341</v>
      </c>
      <c r="D20" s="35">
        <f t="shared" si="52"/>
        <v>717.5664275</v>
      </c>
      <c r="E20" s="35">
        <f t="shared" ref="E20:G20" si="53">E19*(1-0.02)</f>
        <v>796.6807</v>
      </c>
      <c r="F20" s="35">
        <f t="shared" si="53"/>
        <v>953.1139548</v>
      </c>
      <c r="G20" s="35">
        <f t="shared" si="53"/>
        <v>1085.3565</v>
      </c>
      <c r="H20" s="35">
        <f t="shared" ref="H20:J20" si="54">H19*(1-0.025)</f>
        <v>932.5246602</v>
      </c>
      <c r="I20" s="35">
        <f t="shared" si="54"/>
        <v>1520.868294</v>
      </c>
      <c r="J20" s="35">
        <f t="shared" si="54"/>
        <v>1680.456505</v>
      </c>
    </row>
    <row r="21" ht="15.75" customHeight="1">
      <c r="A21" s="2">
        <v>2039.0</v>
      </c>
      <c r="B21" s="35">
        <f t="shared" ref="B21:D21" si="55">B20*(1-0.005)</f>
        <v>602.1887414</v>
      </c>
      <c r="C21" s="35">
        <f t="shared" si="55"/>
        <v>406.0291864</v>
      </c>
      <c r="D21" s="35">
        <f t="shared" si="55"/>
        <v>713.9785953</v>
      </c>
      <c r="E21" s="35">
        <f t="shared" ref="E21:G21" si="56">E20*(1-0.02)</f>
        <v>780.747086</v>
      </c>
      <c r="F21" s="35">
        <f t="shared" si="56"/>
        <v>934.0516757</v>
      </c>
      <c r="G21" s="35">
        <f t="shared" si="56"/>
        <v>1063.64937</v>
      </c>
      <c r="H21" s="35">
        <f t="shared" ref="H21:J21" si="57">H20*(1-0.025)</f>
        <v>909.2115437</v>
      </c>
      <c r="I21" s="35">
        <f t="shared" si="57"/>
        <v>1482.846587</v>
      </c>
      <c r="J21" s="35">
        <f t="shared" si="57"/>
        <v>1638.445093</v>
      </c>
    </row>
    <row r="22" ht="15.75" customHeight="1">
      <c r="A22" s="2">
        <v>2040.0</v>
      </c>
      <c r="B22" s="35">
        <f t="shared" ref="B22:D22" si="58">B21*(1-0.005)</f>
        <v>599.1777977</v>
      </c>
      <c r="C22" s="35">
        <f t="shared" si="58"/>
        <v>403.9990405</v>
      </c>
      <c r="D22" s="35">
        <f t="shared" si="58"/>
        <v>710.4087024</v>
      </c>
      <c r="E22" s="35">
        <f t="shared" ref="E22:G22" si="59">E21*(1-0.02)</f>
        <v>765.1321443</v>
      </c>
      <c r="F22" s="35">
        <f t="shared" si="59"/>
        <v>915.3706422</v>
      </c>
      <c r="G22" s="35">
        <f t="shared" si="59"/>
        <v>1042.376383</v>
      </c>
      <c r="H22" s="35">
        <f t="shared" ref="H22:J22" si="60">H21*(1-0.025)</f>
        <v>886.4812551</v>
      </c>
      <c r="I22" s="35">
        <f t="shared" si="60"/>
        <v>1445.775422</v>
      </c>
      <c r="J22" s="35">
        <f t="shared" si="60"/>
        <v>1597.483965</v>
      </c>
    </row>
    <row r="23" ht="15.75" customHeight="1">
      <c r="A23" s="2">
        <v>2041.0</v>
      </c>
      <c r="B23" s="35">
        <f t="shared" ref="B23:D23" si="61">B22*(1-0.005)</f>
        <v>596.1819087</v>
      </c>
      <c r="C23" s="35">
        <f t="shared" si="61"/>
        <v>401.9790453</v>
      </c>
      <c r="D23" s="35">
        <f t="shared" si="61"/>
        <v>706.8566589</v>
      </c>
      <c r="E23" s="35">
        <f t="shared" ref="E23:G23" si="62">E22*(1-0.02)</f>
        <v>749.8295014</v>
      </c>
      <c r="F23" s="35">
        <f t="shared" si="62"/>
        <v>897.0632294</v>
      </c>
      <c r="G23" s="35">
        <f t="shared" si="62"/>
        <v>1021.528855</v>
      </c>
      <c r="H23" s="35">
        <f t="shared" ref="H23:J23" si="63">H22*(1-0.025)</f>
        <v>864.3192237</v>
      </c>
      <c r="I23" s="35">
        <f t="shared" si="63"/>
        <v>1409.631037</v>
      </c>
      <c r="J23" s="35">
        <f t="shared" si="63"/>
        <v>1557.546866</v>
      </c>
    </row>
    <row r="24" ht="15.75" customHeight="1">
      <c r="A24" s="2">
        <v>2042.0</v>
      </c>
      <c r="B24" s="35">
        <f t="shared" ref="B24:D24" si="64">B23*(1-0.005)</f>
        <v>593.2009992</v>
      </c>
      <c r="C24" s="35">
        <f t="shared" si="64"/>
        <v>399.9691501</v>
      </c>
      <c r="D24" s="35">
        <f t="shared" si="64"/>
        <v>703.3223756</v>
      </c>
      <c r="E24" s="35">
        <f t="shared" ref="E24:G24" si="65">E23*(1-0.02)</f>
        <v>734.8329114</v>
      </c>
      <c r="F24" s="35">
        <f t="shared" si="65"/>
        <v>879.1219648</v>
      </c>
      <c r="G24" s="35">
        <f t="shared" si="65"/>
        <v>1001.098278</v>
      </c>
      <c r="H24" s="35">
        <f t="shared" ref="H24:J24" si="66">H23*(1-0.025)</f>
        <v>842.7112431</v>
      </c>
      <c r="I24" s="35">
        <f t="shared" si="66"/>
        <v>1374.390261</v>
      </c>
      <c r="J24" s="35">
        <f t="shared" si="66"/>
        <v>1518.608194</v>
      </c>
    </row>
    <row r="25" ht="15.75" customHeight="1">
      <c r="A25" s="2">
        <v>2043.0</v>
      </c>
      <c r="B25" s="35">
        <f t="shared" ref="B25:D25" si="67">B24*(1-0.005)</f>
        <v>590.2349942</v>
      </c>
      <c r="C25" s="35">
        <f t="shared" si="67"/>
        <v>397.9693043</v>
      </c>
      <c r="D25" s="35">
        <f t="shared" si="67"/>
        <v>699.8057637</v>
      </c>
      <c r="E25" s="35">
        <f t="shared" ref="E25:G25" si="68">E24*(1-0.02)</f>
        <v>720.1362531</v>
      </c>
      <c r="F25" s="35">
        <f t="shared" si="68"/>
        <v>861.5395255</v>
      </c>
      <c r="G25" s="35">
        <f t="shared" si="68"/>
        <v>981.0763125</v>
      </c>
      <c r="H25" s="35">
        <f t="shared" ref="H25:J25" si="69">H24*(1-0.025)</f>
        <v>821.643462</v>
      </c>
      <c r="I25" s="35">
        <f t="shared" si="69"/>
        <v>1340.030504</v>
      </c>
      <c r="J25" s="35">
        <f t="shared" si="69"/>
        <v>1480.64299</v>
      </c>
    </row>
    <row r="26" ht="15.75" customHeight="1">
      <c r="A26" s="2">
        <v>2044.0</v>
      </c>
      <c r="B26" s="35">
        <f t="shared" ref="B26:D26" si="70">B25*(1-0.005)</f>
        <v>587.2838192</v>
      </c>
      <c r="C26" s="35">
        <f t="shared" si="70"/>
        <v>395.9794578</v>
      </c>
      <c r="D26" s="35">
        <f t="shared" si="70"/>
        <v>696.3067349</v>
      </c>
      <c r="E26" s="35">
        <f t="shared" ref="E26:G26" si="71">E25*(1-0.02)</f>
        <v>705.7335281</v>
      </c>
      <c r="F26" s="35">
        <f t="shared" si="71"/>
        <v>844.308735</v>
      </c>
      <c r="G26" s="35">
        <f t="shared" si="71"/>
        <v>961.4547862</v>
      </c>
      <c r="H26" s="35">
        <f t="shared" ref="H26:J26" si="72">H25*(1-0.025)</f>
        <v>801.1023755</v>
      </c>
      <c r="I26" s="35">
        <f t="shared" si="72"/>
        <v>1306.529742</v>
      </c>
      <c r="J26" s="35">
        <f t="shared" si="72"/>
        <v>1443.626915</v>
      </c>
    </row>
    <row r="27" ht="15.75" customHeight="1">
      <c r="A27" s="2">
        <v>2045.0</v>
      </c>
      <c r="B27" s="35">
        <f t="shared" ref="B27:D27" si="73">B26*(1-0.005)</f>
        <v>584.3474001</v>
      </c>
      <c r="C27" s="35">
        <f t="shared" si="73"/>
        <v>393.9995605</v>
      </c>
      <c r="D27" s="35">
        <f t="shared" si="73"/>
        <v>692.8252012</v>
      </c>
      <c r="E27" s="35">
        <f t="shared" ref="E27:G27" si="74">E26*(1-0.02)</f>
        <v>691.6188575</v>
      </c>
      <c r="F27" s="35">
        <f t="shared" si="74"/>
        <v>827.4225603</v>
      </c>
      <c r="G27" s="35">
        <f t="shared" si="74"/>
        <v>942.2256905</v>
      </c>
      <c r="H27" s="35">
        <f t="shared" ref="H27:J27" si="75">H26*(1-0.025)</f>
        <v>781.0748161</v>
      </c>
      <c r="I27" s="35">
        <f t="shared" si="75"/>
        <v>1273.866498</v>
      </c>
      <c r="J27" s="35">
        <f t="shared" si="75"/>
        <v>1407.536242</v>
      </c>
    </row>
    <row r="28" ht="15.75" customHeight="1">
      <c r="A28" s="2">
        <v>2046.0</v>
      </c>
      <c r="B28" s="35">
        <f t="shared" ref="B28:D28" si="76">B27*(1-0.005)</f>
        <v>581.4256631</v>
      </c>
      <c r="C28" s="35">
        <f t="shared" si="76"/>
        <v>392.0295627</v>
      </c>
      <c r="D28" s="35">
        <f t="shared" si="76"/>
        <v>689.3610752</v>
      </c>
      <c r="E28" s="35">
        <f t="shared" ref="E28:G28" si="77">E27*(1-0.02)</f>
        <v>677.7864804</v>
      </c>
      <c r="F28" s="35">
        <f t="shared" si="77"/>
        <v>810.8741091</v>
      </c>
      <c r="G28" s="35">
        <f t="shared" si="77"/>
        <v>923.3811767</v>
      </c>
      <c r="H28" s="35">
        <f t="shared" ref="H28:J28" si="78">H27*(1-0.025)</f>
        <v>761.5479457</v>
      </c>
      <c r="I28" s="35">
        <f t="shared" si="78"/>
        <v>1242.019836</v>
      </c>
      <c r="J28" s="35">
        <f t="shared" si="78"/>
        <v>1372.347836</v>
      </c>
    </row>
    <row r="29" ht="15.75" customHeight="1">
      <c r="A29" s="2">
        <v>2047.0</v>
      </c>
      <c r="B29" s="35">
        <f t="shared" ref="B29:D29" si="79">B28*(1-0.005)</f>
        <v>578.5185348</v>
      </c>
      <c r="C29" s="35">
        <f t="shared" si="79"/>
        <v>390.0694149</v>
      </c>
      <c r="D29" s="35">
        <f t="shared" si="79"/>
        <v>685.9142698</v>
      </c>
      <c r="E29" s="35">
        <f t="shared" ref="E29:G29" si="80">E28*(1-0.02)</f>
        <v>664.2307507</v>
      </c>
      <c r="F29" s="35">
        <f t="shared" si="80"/>
        <v>794.6566269</v>
      </c>
      <c r="G29" s="35">
        <f t="shared" si="80"/>
        <v>904.9135531</v>
      </c>
      <c r="H29" s="35">
        <f t="shared" ref="H29:J29" si="81">H28*(1-0.025)</f>
        <v>742.5092471</v>
      </c>
      <c r="I29" s="35">
        <f t="shared" si="81"/>
        <v>1210.96934</v>
      </c>
      <c r="J29" s="35">
        <f t="shared" si="81"/>
        <v>1338.03914</v>
      </c>
    </row>
    <row r="30" ht="15.75" customHeight="1">
      <c r="A30" s="2">
        <v>2048.0</v>
      </c>
      <c r="B30" s="35">
        <f t="shared" ref="B30:D30" si="82">B29*(1-0.005)</f>
        <v>575.6259421</v>
      </c>
      <c r="C30" s="35">
        <f t="shared" si="82"/>
        <v>388.1190678</v>
      </c>
      <c r="D30" s="35">
        <f t="shared" si="82"/>
        <v>682.4846985</v>
      </c>
      <c r="E30" s="35">
        <f t="shared" ref="E30:G30" si="83">E29*(1-0.02)</f>
        <v>650.9461357</v>
      </c>
      <c r="F30" s="35">
        <f t="shared" si="83"/>
        <v>778.7634944</v>
      </c>
      <c r="G30" s="35">
        <f t="shared" si="83"/>
        <v>886.8152821</v>
      </c>
      <c r="H30" s="35">
        <f t="shared" ref="H30:J30" si="84">H29*(1-0.025)</f>
        <v>723.9465159</v>
      </c>
      <c r="I30" s="35">
        <f t="shared" si="84"/>
        <v>1180.695106</v>
      </c>
      <c r="J30" s="35">
        <f t="shared" si="84"/>
        <v>1304.588161</v>
      </c>
    </row>
    <row r="31" ht="15.75" customHeight="1">
      <c r="A31" s="2">
        <v>2049.0</v>
      </c>
      <c r="B31" s="35">
        <f t="shared" ref="B31:D31" si="85">B30*(1-0.005)</f>
        <v>572.7478124</v>
      </c>
      <c r="C31" s="35">
        <f t="shared" si="85"/>
        <v>386.1784725</v>
      </c>
      <c r="D31" s="35">
        <f t="shared" si="85"/>
        <v>679.072275</v>
      </c>
      <c r="E31" s="35">
        <f t="shared" ref="E31:G31" si="86">E30*(1-0.02)</f>
        <v>637.927213</v>
      </c>
      <c r="F31" s="35">
        <f t="shared" si="86"/>
        <v>763.1882245</v>
      </c>
      <c r="G31" s="35">
        <f t="shared" si="86"/>
        <v>869.0789764</v>
      </c>
      <c r="H31" s="35">
        <f t="shared" ref="H31:J31" si="87">H30*(1-0.025)</f>
        <v>705.847853</v>
      </c>
      <c r="I31" s="35">
        <f t="shared" si="87"/>
        <v>1151.177729</v>
      </c>
      <c r="J31" s="35">
        <f t="shared" si="87"/>
        <v>1271.973457</v>
      </c>
    </row>
    <row r="32" ht="15.75" customHeight="1">
      <c r="A32" s="2">
        <v>2050.0</v>
      </c>
      <c r="B32" s="35">
        <f t="shared" ref="B32:D32" si="88">B31*(1-0.005)</f>
        <v>569.8840734</v>
      </c>
      <c r="C32" s="35">
        <f t="shared" si="88"/>
        <v>384.2475801</v>
      </c>
      <c r="D32" s="35">
        <f t="shared" si="88"/>
        <v>675.6769136</v>
      </c>
      <c r="E32" s="35">
        <f t="shared" ref="E32:G32" si="89">E31*(1-0.02)</f>
        <v>625.1686688</v>
      </c>
      <c r="F32" s="35">
        <f t="shared" si="89"/>
        <v>747.92446</v>
      </c>
      <c r="G32" s="35">
        <f t="shared" si="89"/>
        <v>851.6973969</v>
      </c>
      <c r="H32" s="35">
        <f t="shared" ref="H32:J32" si="90">H31*(1-0.025)</f>
        <v>688.2016567</v>
      </c>
      <c r="I32" s="35">
        <f t="shared" si="90"/>
        <v>1122.398285</v>
      </c>
      <c r="J32" s="35">
        <f t="shared" si="90"/>
        <v>1240.174121</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34" t="s">
        <v>72</v>
      </c>
      <c r="B1" s="34" t="s">
        <v>163</v>
      </c>
      <c r="C1" s="34" t="s">
        <v>164</v>
      </c>
      <c r="D1" s="34" t="s">
        <v>165</v>
      </c>
    </row>
    <row r="2" ht="15.75" customHeight="1">
      <c r="A2" s="34">
        <v>2020.0</v>
      </c>
      <c r="B2" s="34">
        <v>60000.0</v>
      </c>
      <c r="C2" s="34">
        <v>75000.0</v>
      </c>
      <c r="D2" s="34">
        <v>20000.0</v>
      </c>
    </row>
    <row r="3" ht="15.75" customHeight="1">
      <c r="A3" s="34">
        <v>2021.0</v>
      </c>
      <c r="B3" s="34">
        <v>61333.3333</v>
      </c>
      <c r="C3" s="34">
        <v>75833.3333</v>
      </c>
      <c r="D3" s="34">
        <v>22250.0</v>
      </c>
    </row>
    <row r="4" ht="15.75" customHeight="1">
      <c r="A4" s="34">
        <v>2022.0</v>
      </c>
      <c r="B4" s="34">
        <v>62666.6667</v>
      </c>
      <c r="C4" s="34">
        <v>76666.6667</v>
      </c>
      <c r="D4" s="34">
        <v>24500.0</v>
      </c>
    </row>
    <row r="5" ht="15.75" customHeight="1">
      <c r="A5" s="34">
        <v>2023.0</v>
      </c>
      <c r="B5" s="34">
        <v>64000.0</v>
      </c>
      <c r="C5" s="34">
        <v>77500.0</v>
      </c>
      <c r="D5" s="34">
        <v>26750.0</v>
      </c>
    </row>
    <row r="6" ht="15.75" customHeight="1">
      <c r="A6" s="34">
        <v>2024.0</v>
      </c>
      <c r="B6" s="34">
        <v>65333.3333</v>
      </c>
      <c r="C6" s="34">
        <v>78333.3333</v>
      </c>
      <c r="D6" s="34">
        <v>29000.0</v>
      </c>
    </row>
    <row r="7" ht="15.75" customHeight="1">
      <c r="A7" s="34">
        <v>2025.0</v>
      </c>
      <c r="B7" s="34">
        <v>66666.6667</v>
      </c>
      <c r="C7" s="34">
        <v>79166.6667</v>
      </c>
      <c r="D7" s="34">
        <v>31250.0</v>
      </c>
    </row>
    <row r="8" ht="15.75" customHeight="1">
      <c r="A8" s="34">
        <v>2026.0</v>
      </c>
      <c r="B8" s="34">
        <v>68000.0</v>
      </c>
      <c r="C8" s="34">
        <v>80000.0</v>
      </c>
      <c r="D8" s="34">
        <v>33500.0</v>
      </c>
    </row>
    <row r="9" ht="15.75" customHeight="1">
      <c r="A9" s="34">
        <v>2027.0</v>
      </c>
      <c r="B9" s="34">
        <v>69333.3333</v>
      </c>
      <c r="C9" s="34">
        <v>80833.3333</v>
      </c>
      <c r="D9" s="34">
        <v>35750.0</v>
      </c>
    </row>
    <row r="10" ht="15.75" customHeight="1">
      <c r="A10" s="34">
        <v>2028.0</v>
      </c>
      <c r="B10" s="34">
        <v>70666.6667</v>
      </c>
      <c r="C10" s="34">
        <v>81666.6667</v>
      </c>
      <c r="D10" s="34">
        <v>38000.0</v>
      </c>
    </row>
    <row r="11" ht="15.75" customHeight="1">
      <c r="A11" s="34">
        <v>2029.0</v>
      </c>
      <c r="B11" s="34">
        <v>72000.0</v>
      </c>
      <c r="C11" s="34">
        <v>82500.0</v>
      </c>
      <c r="D11" s="34">
        <v>40250.0</v>
      </c>
    </row>
    <row r="12" ht="15.75" customHeight="1">
      <c r="A12" s="34">
        <v>2030.0</v>
      </c>
      <c r="B12" s="34">
        <v>73333.3333</v>
      </c>
      <c r="C12" s="34">
        <v>83333.3333</v>
      </c>
      <c r="D12" s="34">
        <v>42500.0</v>
      </c>
    </row>
    <row r="13" ht="15.75" customHeight="1">
      <c r="A13" s="34">
        <v>2031.0</v>
      </c>
      <c r="B13" s="34">
        <v>74666.6667</v>
      </c>
      <c r="C13" s="34">
        <v>84166.6667</v>
      </c>
      <c r="D13" s="34">
        <v>44750.0</v>
      </c>
    </row>
    <row r="14" ht="15.75" customHeight="1">
      <c r="A14" s="34">
        <v>2032.0</v>
      </c>
      <c r="B14" s="34">
        <v>76000.0</v>
      </c>
      <c r="C14" s="34">
        <v>85000.0</v>
      </c>
      <c r="D14" s="34">
        <v>47000.0</v>
      </c>
    </row>
    <row r="15" ht="15.75" customHeight="1">
      <c r="A15" s="34">
        <v>2033.0</v>
      </c>
      <c r="B15" s="34">
        <v>77333.3333</v>
      </c>
      <c r="C15" s="34">
        <v>85833.3333</v>
      </c>
      <c r="D15" s="34">
        <v>49250.0</v>
      </c>
    </row>
    <row r="16" ht="15.75" customHeight="1">
      <c r="A16" s="34">
        <v>2034.0</v>
      </c>
      <c r="B16" s="34">
        <v>78666.6667</v>
      </c>
      <c r="C16" s="34">
        <v>86666.6667</v>
      </c>
      <c r="D16" s="34">
        <v>51500.0</v>
      </c>
    </row>
    <row r="17" ht="15.75" customHeight="1">
      <c r="A17" s="34">
        <v>2035.0</v>
      </c>
      <c r="B17" s="34">
        <v>80000.0</v>
      </c>
      <c r="C17" s="34">
        <v>87500.0</v>
      </c>
      <c r="D17" s="34">
        <v>53750.0</v>
      </c>
    </row>
    <row r="18" ht="15.75" customHeight="1">
      <c r="A18" s="34">
        <v>2036.0</v>
      </c>
      <c r="B18" s="34">
        <v>81333.3333</v>
      </c>
      <c r="C18" s="34">
        <v>88333.3333</v>
      </c>
      <c r="D18" s="34">
        <v>56000.0</v>
      </c>
    </row>
    <row r="19" ht="15.75" customHeight="1">
      <c r="A19" s="34">
        <v>2037.0</v>
      </c>
      <c r="B19" s="34">
        <v>82666.6667</v>
      </c>
      <c r="C19" s="34">
        <v>89166.6667</v>
      </c>
      <c r="D19" s="34">
        <v>58250.0</v>
      </c>
    </row>
    <row r="20" ht="15.75" customHeight="1">
      <c r="A20" s="34">
        <v>2038.0</v>
      </c>
      <c r="B20" s="34">
        <v>84000.0</v>
      </c>
      <c r="C20" s="34">
        <v>90000.0</v>
      </c>
      <c r="D20" s="34">
        <v>60500.0</v>
      </c>
    </row>
    <row r="21" ht="15.75" customHeight="1">
      <c r="A21" s="34">
        <v>2039.0</v>
      </c>
      <c r="B21" s="34">
        <v>85333.3333</v>
      </c>
      <c r="C21" s="34">
        <v>90833.3333</v>
      </c>
      <c r="D21" s="34">
        <v>62750.0</v>
      </c>
    </row>
    <row r="22" ht="15.75" customHeight="1">
      <c r="A22" s="34">
        <v>2040.0</v>
      </c>
      <c r="B22" s="34">
        <v>86666.6667</v>
      </c>
      <c r="C22" s="34">
        <v>91666.6667</v>
      </c>
      <c r="D22" s="34">
        <v>65000.0</v>
      </c>
    </row>
    <row r="23" ht="15.75" customHeight="1">
      <c r="A23" s="34">
        <v>2041.0</v>
      </c>
      <c r="B23" s="34">
        <v>88000.0</v>
      </c>
      <c r="C23" s="34">
        <v>92500.0</v>
      </c>
      <c r="D23" s="34">
        <v>67250.0</v>
      </c>
    </row>
    <row r="24" ht="15.75" customHeight="1">
      <c r="A24" s="34">
        <v>2042.0</v>
      </c>
      <c r="B24" s="34">
        <v>89333.3333</v>
      </c>
      <c r="C24" s="34">
        <v>93333.3333</v>
      </c>
      <c r="D24" s="34">
        <v>69500.0</v>
      </c>
    </row>
    <row r="25" ht="15.75" customHeight="1">
      <c r="A25" s="34">
        <v>2043.0</v>
      </c>
      <c r="B25" s="34">
        <v>90666.6667</v>
      </c>
      <c r="C25" s="34">
        <v>94166.6667</v>
      </c>
      <c r="D25" s="34">
        <v>71750.0</v>
      </c>
    </row>
    <row r="26" ht="15.75" customHeight="1">
      <c r="A26" s="34">
        <v>2044.0</v>
      </c>
      <c r="B26" s="34">
        <v>92000.0</v>
      </c>
      <c r="C26" s="34">
        <v>95000.0</v>
      </c>
      <c r="D26" s="34">
        <v>74000.0</v>
      </c>
    </row>
    <row r="27" ht="15.75" customHeight="1">
      <c r="A27" s="34">
        <v>2045.0</v>
      </c>
      <c r="B27" s="34">
        <v>93333.3333</v>
      </c>
      <c r="C27" s="34">
        <v>95833.3333</v>
      </c>
      <c r="D27" s="34">
        <v>76250.0</v>
      </c>
    </row>
    <row r="28" ht="15.75" customHeight="1">
      <c r="A28" s="34">
        <v>2046.0</v>
      </c>
      <c r="B28" s="34">
        <v>94666.6667</v>
      </c>
      <c r="C28" s="34">
        <v>96666.6667</v>
      </c>
      <c r="D28" s="34">
        <v>78500.0</v>
      </c>
    </row>
    <row r="29" ht="15.75" customHeight="1">
      <c r="A29" s="34">
        <v>2047.0</v>
      </c>
      <c r="B29" s="34">
        <v>96000.0</v>
      </c>
      <c r="C29" s="34">
        <v>97500.0</v>
      </c>
      <c r="D29" s="34">
        <v>80750.0</v>
      </c>
    </row>
    <row r="30" ht="15.75" customHeight="1">
      <c r="A30" s="34">
        <v>2048.0</v>
      </c>
      <c r="B30" s="34">
        <v>97333.3333</v>
      </c>
      <c r="C30" s="34">
        <v>98333.3333</v>
      </c>
      <c r="D30" s="34">
        <v>83000.0</v>
      </c>
    </row>
    <row r="31" ht="15.75" customHeight="1">
      <c r="A31" s="34">
        <v>2049.0</v>
      </c>
      <c r="B31" s="34">
        <v>98666.6667</v>
      </c>
      <c r="C31" s="34">
        <v>99166.6667</v>
      </c>
      <c r="D31" s="34">
        <v>85250.0</v>
      </c>
    </row>
    <row r="32" ht="15.75" customHeight="1">
      <c r="A32" s="34">
        <v>2050.0</v>
      </c>
      <c r="B32" s="34">
        <v>100000.0</v>
      </c>
      <c r="C32" s="34">
        <v>100000.0</v>
      </c>
      <c r="D32" s="34">
        <v>87500.0</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5" width="10.56"/>
    <col customWidth="1" min="6" max="6" width="20.33"/>
    <col customWidth="1" min="7" max="9" width="10.56"/>
    <col customWidth="1" min="10" max="10" width="19.44"/>
    <col customWidth="1" min="11" max="13" width="10.56"/>
    <col customWidth="1" min="14" max="14" width="16.33"/>
    <col customWidth="1" min="15" max="15" width="13.78"/>
    <col customWidth="1" min="16" max="16" width="17.33"/>
    <col customWidth="1" min="17" max="26" width="10.56"/>
  </cols>
  <sheetData>
    <row r="1" ht="15.75" customHeight="1">
      <c r="A1" s="1" t="s">
        <v>122</v>
      </c>
      <c r="B1" s="2" t="s">
        <v>176</v>
      </c>
      <c r="G1" s="1" t="s">
        <v>102</v>
      </c>
      <c r="M1" s="1" t="s">
        <v>123</v>
      </c>
    </row>
    <row r="2" ht="15.75" customHeight="1">
      <c r="A2" s="2" t="s">
        <v>177</v>
      </c>
      <c r="B2" s="2" t="s">
        <v>178</v>
      </c>
      <c r="C2" s="2" t="s">
        <v>179</v>
      </c>
      <c r="D2" s="2" t="s">
        <v>180</v>
      </c>
      <c r="E2" s="2" t="s">
        <v>181</v>
      </c>
      <c r="G2" s="34" t="s">
        <v>177</v>
      </c>
      <c r="H2" s="2" t="s">
        <v>178</v>
      </c>
      <c r="I2" s="2" t="s">
        <v>179</v>
      </c>
      <c r="J2" s="2" t="s">
        <v>180</v>
      </c>
      <c r="K2" s="2" t="s">
        <v>181</v>
      </c>
      <c r="N2" s="2" t="s">
        <v>178</v>
      </c>
      <c r="O2" s="2" t="s">
        <v>179</v>
      </c>
      <c r="P2" s="2" t="s">
        <v>180</v>
      </c>
      <c r="Q2" s="2" t="s">
        <v>181</v>
      </c>
    </row>
    <row r="3" ht="15.75" customHeight="1">
      <c r="A3" s="2">
        <v>2022.0</v>
      </c>
      <c r="B3" s="2">
        <v>1000000.0</v>
      </c>
      <c r="C3" s="2">
        <v>8.11E8</v>
      </c>
      <c r="D3" s="2">
        <v>0.15</v>
      </c>
      <c r="E3" s="2">
        <v>0.02</v>
      </c>
      <c r="G3" s="34">
        <v>2022.0</v>
      </c>
      <c r="H3" s="2">
        <v>1000000.0</v>
      </c>
      <c r="I3" s="2">
        <v>1.415E9</v>
      </c>
      <c r="J3" s="2">
        <v>1.4</v>
      </c>
      <c r="K3" s="2">
        <v>0.01</v>
      </c>
      <c r="N3" s="2">
        <v>1000000.0</v>
      </c>
      <c r="O3" s="2">
        <v>2.19E9</v>
      </c>
      <c r="P3" s="2">
        <v>1.64</v>
      </c>
      <c r="Q3" s="2">
        <v>0.01</v>
      </c>
    </row>
    <row r="4" ht="15.75" customHeight="1">
      <c r="A4" s="2">
        <v>2023.0</v>
      </c>
      <c r="B4" s="2">
        <v>1000000.0</v>
      </c>
      <c r="C4" s="2">
        <v>7.7045E8</v>
      </c>
      <c r="D4" s="2">
        <v>0.14775</v>
      </c>
      <c r="E4" s="2">
        <v>0.02</v>
      </c>
      <c r="G4" s="34">
        <v>2023.0</v>
      </c>
      <c r="H4" s="2">
        <v>1000000.0</v>
      </c>
      <c r="I4" s="2">
        <v>1.3867E9</v>
      </c>
      <c r="J4" s="2">
        <v>1.386</v>
      </c>
      <c r="K4" s="2">
        <v>0.01</v>
      </c>
      <c r="N4" s="2">
        <v>1000000.0</v>
      </c>
      <c r="O4" s="2">
        <v>2.17905E9</v>
      </c>
      <c r="P4" s="2">
        <v>1.6318</v>
      </c>
      <c r="Q4" s="2">
        <v>0.01</v>
      </c>
    </row>
    <row r="5" ht="15.75" customHeight="1">
      <c r="A5" s="2">
        <v>2024.0</v>
      </c>
      <c r="B5" s="2">
        <v>1000000.0</v>
      </c>
      <c r="C5" s="2">
        <v>7.319275E8</v>
      </c>
      <c r="D5" s="2">
        <v>0.14553375</v>
      </c>
      <c r="E5" s="2">
        <v>0.02</v>
      </c>
      <c r="G5" s="34">
        <v>2024.0</v>
      </c>
      <c r="H5" s="2">
        <v>1000000.0</v>
      </c>
      <c r="I5" s="2">
        <v>1.358966E9</v>
      </c>
      <c r="J5" s="2">
        <v>1.37214</v>
      </c>
      <c r="K5" s="2">
        <v>0.01</v>
      </c>
      <c r="N5" s="2">
        <v>1000000.0</v>
      </c>
      <c r="O5" s="2">
        <v>2.16815475E9</v>
      </c>
      <c r="P5" s="2">
        <v>1.623641</v>
      </c>
      <c r="Q5" s="2">
        <v>0.01</v>
      </c>
    </row>
    <row r="6" ht="15.75" customHeight="1">
      <c r="A6" s="2">
        <v>2025.0</v>
      </c>
      <c r="B6" s="2">
        <v>1000000.0</v>
      </c>
      <c r="C6" s="2">
        <v>6.95331124999999E8</v>
      </c>
      <c r="D6" s="2">
        <v>0.143350743749999</v>
      </c>
      <c r="E6" s="2">
        <v>0.02</v>
      </c>
      <c r="G6" s="34">
        <v>2025.0</v>
      </c>
      <c r="H6" s="2">
        <v>1000000.0</v>
      </c>
      <c r="I6" s="2">
        <v>1.33178668E9</v>
      </c>
      <c r="J6" s="2">
        <v>1.3584186</v>
      </c>
      <c r="K6" s="2">
        <v>0.01</v>
      </c>
      <c r="N6" s="2">
        <v>1000000.0</v>
      </c>
      <c r="O6" s="2">
        <v>2.15731397625E9</v>
      </c>
      <c r="P6" s="2">
        <v>1.615522795</v>
      </c>
      <c r="Q6" s="2">
        <v>0.01</v>
      </c>
    </row>
    <row r="7" ht="15.75" customHeight="1">
      <c r="A7" s="2">
        <v>2026.0</v>
      </c>
      <c r="B7" s="2">
        <v>1000000.0</v>
      </c>
      <c r="C7" s="2">
        <v>6.60564568749999E8</v>
      </c>
      <c r="D7" s="2">
        <v>0.141200482593749</v>
      </c>
      <c r="E7" s="2">
        <v>0.02</v>
      </c>
      <c r="G7" s="34">
        <v>2026.0</v>
      </c>
      <c r="H7" s="2">
        <v>1000000.0</v>
      </c>
      <c r="I7" s="2">
        <v>1.30515094639999E9</v>
      </c>
      <c r="J7" s="2">
        <v>1.344834414</v>
      </c>
      <c r="K7" s="2">
        <v>0.01</v>
      </c>
      <c r="N7" s="2">
        <v>1000000.0</v>
      </c>
      <c r="O7" s="2">
        <v>2.14652740636874E9</v>
      </c>
      <c r="P7" s="2">
        <v>1.607445181025</v>
      </c>
      <c r="Q7" s="2">
        <v>0.01</v>
      </c>
    </row>
    <row r="8" ht="15.75" customHeight="1">
      <c r="A8" s="2">
        <v>2027.0</v>
      </c>
      <c r="B8" s="2">
        <v>1000000.0</v>
      </c>
      <c r="C8" s="2">
        <v>6.27536340312499E8</v>
      </c>
      <c r="D8" s="2">
        <v>0.139082475354843</v>
      </c>
      <c r="E8" s="2">
        <v>0.02</v>
      </c>
      <c r="G8" s="34">
        <v>2027.0</v>
      </c>
      <c r="H8" s="2">
        <v>1000000.0</v>
      </c>
      <c r="I8" s="2">
        <v>1.279047927472E9</v>
      </c>
      <c r="J8" s="2">
        <v>1.33138606985999</v>
      </c>
      <c r="K8" s="2">
        <v>0.01</v>
      </c>
      <c r="N8" s="2">
        <v>1000000.0</v>
      </c>
      <c r="O8" s="2">
        <v>2.1357947693369E9</v>
      </c>
      <c r="P8" s="2">
        <v>1.59940795511987</v>
      </c>
      <c r="Q8" s="2">
        <v>0.01</v>
      </c>
    </row>
    <row r="9" ht="15.75" customHeight="1">
      <c r="A9" s="2">
        <v>2028.0</v>
      </c>
      <c r="B9" s="2">
        <v>1000000.0</v>
      </c>
      <c r="C9" s="2">
        <v>5.96159523296874E8</v>
      </c>
      <c r="D9" s="2">
        <v>0.136996238224521</v>
      </c>
      <c r="E9" s="2">
        <v>0.02</v>
      </c>
      <c r="G9" s="34">
        <v>2028.0</v>
      </c>
      <c r="H9" s="2">
        <v>1000000.0</v>
      </c>
      <c r="I9" s="2">
        <v>1.25346696892256E9</v>
      </c>
      <c r="J9" s="2">
        <v>1.31807220916139</v>
      </c>
      <c r="K9" s="2">
        <v>0.01</v>
      </c>
      <c r="N9" s="2">
        <v>1000000.0</v>
      </c>
      <c r="O9" s="2">
        <v>2.12511579549022E9</v>
      </c>
      <c r="P9" s="2">
        <v>1.59141091534427</v>
      </c>
      <c r="Q9" s="2">
        <v>0.01</v>
      </c>
    </row>
    <row r="10" ht="15.75" customHeight="1">
      <c r="A10" s="2">
        <v>2029.0</v>
      </c>
      <c r="B10" s="2">
        <v>1000000.0</v>
      </c>
      <c r="C10" s="2">
        <v>5.66351547132031E8</v>
      </c>
      <c r="D10" s="2">
        <v>0.134941294651153</v>
      </c>
      <c r="E10" s="2">
        <v>0.02</v>
      </c>
      <c r="G10" s="34">
        <v>2029.0</v>
      </c>
      <c r="H10" s="2">
        <v>1000000.0</v>
      </c>
      <c r="I10" s="2">
        <v>1.2283976295441E9</v>
      </c>
      <c r="J10" s="2">
        <v>1.30489148706978</v>
      </c>
      <c r="K10" s="2">
        <v>0.01</v>
      </c>
      <c r="N10" s="2">
        <v>1000000.0</v>
      </c>
      <c r="O10" s="2">
        <v>2.11449021651277E9</v>
      </c>
      <c r="P10" s="2">
        <v>1.58345386076755</v>
      </c>
      <c r="Q10" s="2">
        <v>0.01</v>
      </c>
    </row>
    <row r="11" ht="15.75" customHeight="1">
      <c r="A11" s="2">
        <v>2030.0</v>
      </c>
      <c r="B11" s="2">
        <v>1000000.0</v>
      </c>
      <c r="C11" s="2">
        <v>5.38033969775429E8</v>
      </c>
      <c r="D11" s="2">
        <v>0.132917175231385</v>
      </c>
      <c r="E11" s="2">
        <v>0.02</v>
      </c>
      <c r="G11" s="34">
        <v>2030.0</v>
      </c>
      <c r="H11" s="2">
        <v>1000000.0</v>
      </c>
      <c r="I11" s="2">
        <v>1.20382967695322E9</v>
      </c>
      <c r="J11" s="2">
        <v>1.29184257219908</v>
      </c>
      <c r="K11" s="2">
        <v>0.01</v>
      </c>
      <c r="N11" s="2">
        <v>1000000.0</v>
      </c>
      <c r="O11" s="2">
        <v>2.1039177654302E9</v>
      </c>
      <c r="P11" s="2">
        <v>1.57553659146371</v>
      </c>
      <c r="Q11" s="2">
        <v>0.01</v>
      </c>
    </row>
    <row r="12" ht="15.75" customHeight="1">
      <c r="A12" s="2">
        <v>2031.0</v>
      </c>
      <c r="B12" s="2">
        <v>1000000.0</v>
      </c>
      <c r="C12" s="2">
        <v>5.11132271286658E8</v>
      </c>
      <c r="D12" s="2">
        <v>0.130923417602915</v>
      </c>
      <c r="E12" s="2">
        <v>0.02</v>
      </c>
      <c r="G12" s="34">
        <v>2031.0</v>
      </c>
      <c r="H12" s="2">
        <v>1000000.0</v>
      </c>
      <c r="I12" s="2">
        <v>1.17975308341416E9</v>
      </c>
      <c r="J12" s="2">
        <v>1.27892414647709</v>
      </c>
      <c r="K12" s="2">
        <v>0.01</v>
      </c>
      <c r="N12" s="2">
        <v>1000000.0</v>
      </c>
      <c r="O12" s="2">
        <v>2.09339817660305E9</v>
      </c>
      <c r="P12" s="2">
        <v>1.56765890850639</v>
      </c>
      <c r="Q12" s="2">
        <v>0.01</v>
      </c>
    </row>
    <row r="13" ht="15.75" customHeight="1">
      <c r="A13" s="2">
        <v>2032.0</v>
      </c>
      <c r="B13" s="2">
        <v>1000000.0</v>
      </c>
      <c r="C13" s="2">
        <v>4.85575657722325E8</v>
      </c>
      <c r="D13" s="2">
        <v>0.128959566338871</v>
      </c>
      <c r="E13" s="2">
        <v>0.02</v>
      </c>
      <c r="G13" s="34">
        <v>2032.0</v>
      </c>
      <c r="H13" s="2">
        <v>1000000.0</v>
      </c>
      <c r="I13" s="2">
        <v>1.15615802174587E9</v>
      </c>
      <c r="J13" s="2">
        <v>1.26613490501232</v>
      </c>
      <c r="K13" s="2">
        <v>0.01</v>
      </c>
      <c r="N13" s="2">
        <v>1000000.0</v>
      </c>
      <c r="O13" s="2">
        <v>2.08293118572004E9</v>
      </c>
      <c r="P13" s="2">
        <v>1.55982061396386</v>
      </c>
      <c r="Q13" s="2">
        <v>0.01</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2024-10-02T17:05:40Z</dcterms:created>
  <dc:creator>Andy Navarrete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db26152-23a6-4a6e-8fcb-d99d6e3b8e71_Enabled">
    <vt:lpwstr>true</vt:lpwstr>
  </property>
  <property fmtid="{D5CDD505-2E9C-101B-9397-08002B2CF9AE}" pid="3" name="MSIP_Label_edb26152-23a6-4a6e-8fcb-d99d6e3b8e71_SetDate">
    <vt:lpwstr>2024-10-02T18:24:42Z</vt:lpwstr>
  </property>
  <property fmtid="{D5CDD505-2E9C-101B-9397-08002B2CF9AE}" pid="4" name="MSIP_Label_edb26152-23a6-4a6e-8fcb-d99d6e3b8e71_Method">
    <vt:lpwstr>Standard</vt:lpwstr>
  </property>
  <property fmtid="{D5CDD505-2E9C-101B-9397-08002B2CF9AE}" pid="5" name="MSIP_Label_edb26152-23a6-4a6e-8fcb-d99d6e3b8e71_Name">
    <vt:lpwstr>defa4170-0d19-0005-0004-bc88714345d2</vt:lpwstr>
  </property>
  <property fmtid="{D5CDD505-2E9C-101B-9397-08002B2CF9AE}" pid="6" name="MSIP_Label_edb26152-23a6-4a6e-8fcb-d99d6e3b8e71_SiteId">
    <vt:lpwstr>7fbdd19f-c389-4ced-8a04-0b5090b80cfe</vt:lpwstr>
  </property>
  <property fmtid="{D5CDD505-2E9C-101B-9397-08002B2CF9AE}" pid="7" name="MSIP_Label_edb26152-23a6-4a6e-8fcb-d99d6e3b8e71_ActionId">
    <vt:lpwstr>5b91486b-a7f6-43a6-b466-376e1866b77b</vt:lpwstr>
  </property>
  <property fmtid="{D5CDD505-2E9C-101B-9397-08002B2CF9AE}" pid="8" name="MSIP_Label_edb26152-23a6-4a6e-8fcb-d99d6e3b8e71_ContentBits">
    <vt:lpwstr>0</vt:lpwstr>
  </property>
  <property fmtid="{D5CDD505-2E9C-101B-9397-08002B2CF9AE}" pid="9" name="ContentTypeId">
    <vt:lpwstr>0x0101001F4C8ED5D9DD33418B12AEB09345B8E3</vt:lpwstr>
  </property>
</Properties>
</file>