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2B3011D5-F212-48B9-8CB9-D44B3D397467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A10" i="48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G23" i="45" l="1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X61" i="47" l="1"/>
  <c r="X9" i="47"/>
  <c r="Y57" i="47"/>
  <c r="X45" i="47"/>
  <c r="Y33" i="47"/>
  <c r="Y49" i="47"/>
  <c r="X25" i="47"/>
  <c r="Y9" i="47"/>
  <c r="X57" i="47"/>
  <c r="X29" i="47"/>
  <c r="X49" i="47"/>
  <c r="Y45" i="47"/>
  <c r="Y25" i="47"/>
  <c r="Y29" i="47"/>
  <c r="X41" i="47"/>
  <c r="X33" i="47"/>
  <c r="G21" i="25"/>
  <c r="G21" i="27"/>
  <c r="G21" i="34"/>
  <c r="G21" i="35"/>
  <c r="G21" i="37"/>
  <c r="G21" i="42"/>
  <c r="G21" i="38"/>
  <c r="G21" i="40"/>
  <c r="G21" i="39"/>
  <c r="G21" i="36"/>
  <c r="C13" i="30" s="1"/>
  <c r="C8" i="30" l="1"/>
  <c r="D8" i="30" s="1"/>
  <c r="G23" i="40"/>
  <c r="C2" i="30"/>
  <c r="D2" i="30" s="1"/>
  <c r="G23" i="39"/>
  <c r="C10" i="30"/>
  <c r="D10" i="30" s="1"/>
  <c r="G23" i="38"/>
  <c r="C12" i="30"/>
  <c r="G23" i="37"/>
  <c r="C11" i="30"/>
  <c r="D11" i="30" s="1"/>
  <c r="G23" i="35"/>
  <c r="C14" i="30"/>
  <c r="D14" i="30" s="1"/>
  <c r="G23" i="34"/>
  <c r="C15" i="30"/>
  <c r="D15" i="30" s="1"/>
  <c r="G23" i="25"/>
  <c r="C6" i="30"/>
  <c r="D6" i="30" s="1"/>
  <c r="G23" i="27"/>
  <c r="C7" i="30"/>
  <c r="X53" i="47"/>
  <c r="Y53" i="47"/>
  <c r="G23" i="36"/>
  <c r="D7" i="30"/>
  <c r="G23" i="42"/>
  <c r="D12" i="30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<sst xmlns="http://schemas.openxmlformats.org/spreadsheetml/2006/main" count="1115" uniqueCount="132">
  <si>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</si>
  <si>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</si>
  <si>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</si>
  <si>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</si>
  <si>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</si>
  <si>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</si>
  <si>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</si>
  <si>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</si>
  <si>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</si>
  <si>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</si>
  <si>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</si>
  <si>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</si>
  <si>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</si>
  <si>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</si>
  <si>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</si>
  <si>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</si>
  <si>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</si>
  <si>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</si>
  <si>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</si>
  <si>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</si>
  <si>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</si>
  <si>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</si>
  <si>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</si>
  <si>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</si>
  <si>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</si>
  <si>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</si>
  <si>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</si>
  <si>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</si>
  <si>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</si>
  <si>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</si>
  <si>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</si>
  <si>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</si>
  <si>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</si>
  <si>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</si>
  <si>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</si>
  <si>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</si>
  <si>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</si>
  <si>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</si>
  <si>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</si>
  <si>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</si>
  <si>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</si>
  <si>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</si>
  <si>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</si>
  <si>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</si>
  <si>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</si>
  <si>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</si>
  <si>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</si>
  <si>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</si>
  <si>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</si>
  <si>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</si>
  <si>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</si>
  <si>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</si>
  <si>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</si>
  <si>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</si>
  <si>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</si>
  <si>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</si>
  <si>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</si>
  <si>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</si>
  <si>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</si>
  <si>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</si>
  <si>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</si>
  <si>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</si>
  <si>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</si>
  <si>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</si>
  <si>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</si>
  <si>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</si>
  <si>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</si>
  <si>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</si>
  <si>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</si>
  <si>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</si>
  <si>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</si>
  <si>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</si>
  <si>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</si>
  <si>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</si>
  <si>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</si>
  <si>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</si>
  <si>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</si>
  <si>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</si>
  <si>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</si>
  <si>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</si>
  <si>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</si>
  <si>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</si>
  <si>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</si>
  <si>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</si>
  <si>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</si>
  <si>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</si>
  <si>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</si>
  <si>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</si>
  <si>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</si>
  <si>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</si>
  <si>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</si>
  <si>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</si>
  <si>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</si>
  <si>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</si>
  <si>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</si>
  <si>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</si>
  <si>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</si>
  <si>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</si>
  <si>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</si>
  <si>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</si>
  <si>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</si>
  <si>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</si>
  <si>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</si>
  <si>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</si>
  <si>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</si>
  <si>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</si>
  <si>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</si>
  <si>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</si>
  <si>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</si>
  <si>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</si>
  <si>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</si>
  <si>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</si>
  <si>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</si>
  <si>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</si>
  <si>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</si>
  <si>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</si>
  <si>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</si>
  <si>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</si>
  <si>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</si>
  <si>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</si>
  <si>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</si>
  <si>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</si>
  <si>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</si>
  <si>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</si>
  <si>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</si>
  <si>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</si>
  <si>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</si>
  <si>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</si>
  <si>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</si>
  <si>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 xml:space="preserve">Se participa en corversatorio de seguridad </t>
  </si>
  <si>
    <t xml:space="preserve">Se participa en corversatorio de seguridad / demora en traslado de mina Sub 6 a la junta </t>
  </si>
  <si>
    <t xml:space="preserve">Se participa en corversatorio de seguridad ademas demora traslado de mina a colon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</si>
</sst>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16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5" borderId="25" xfId="0" applyNumberFormat="1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0.33888888888888885</c:v>
                </c:pt>
                <c:pt idx="2">
                  <c:v>0.33680555555555558</c:v>
                </c:pt>
                <c:pt idx="3">
                  <c:v>0.39444444444444443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2.5694444444444464E-2</c:v>
                </c:pt>
                <c:pt idx="2">
                  <c:v>2.2222222222222199E-2</c:v>
                </c:pt>
                <c:pt idx="3">
                  <c:v>9.7222222222221877E-3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1.3194444444444453E-2</c:v>
                </c:pt>
                <c:pt idx="1">
                  <c:v>1.2500000000000067E-2</c:v>
                </c:pt>
                <c:pt idx="2">
                  <c:v>1.5972222222222221E-2</c:v>
                </c:pt>
                <c:pt idx="3">
                  <c:v>9.0277777777778012E-3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0.23333333333333328</c:v>
                </c:pt>
                <c:pt idx="1">
                  <c:v>0.23402777777777767</c:v>
                </c:pt>
                <c:pt idx="2">
                  <c:v>0.24097222222222225</c:v>
                </c:pt>
                <c:pt idx="3">
                  <c:v>0.20138888888888895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6.9444444444445308E-3</c:v>
                </c:pt>
                <c:pt idx="2">
                  <c:v>5.5555555555555358E-3</c:v>
                </c:pt>
                <c:pt idx="3">
                  <c:v>3.4722222222222099E-3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2.5694444444444353E-2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3.125E-2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1.5972222222222054E-2</c:v>
                </c:pt>
                <c:pt idx="1">
                  <c:v>1.3888888888888618E-2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0.3888888888888889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2.7777777777777735E-2</c:v>
                </c:pt>
                <c:pt idx="2">
                  <c:v>2.7777777777777735E-2</c:v>
                </c:pt>
                <c:pt idx="3">
                  <c:v>5.5555555555555358E-3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3.125E-2</c:v>
                </c:pt>
                <c:pt idx="1">
                  <c:v>2.7777777777777846E-2</c:v>
                </c:pt>
                <c:pt idx="2">
                  <c:v>3.125E-2</c:v>
                </c:pt>
                <c:pt idx="3">
                  <c:v>1.1805555555555569E-2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0.17708333333333331</c:v>
                </c:pt>
                <c:pt idx="1">
                  <c:v>0.17361111111111105</c:v>
                </c:pt>
                <c:pt idx="2">
                  <c:v>0.1701388888888889</c:v>
                </c:pt>
                <c:pt idx="3">
                  <c:v>9.375E-2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8.3333333333333037E-3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2.6388888888889017E-2</c:v>
                </c:pt>
                <c:pt idx="2">
                  <c:v>2.083333333333337E-2</c:v>
                </c:pt>
                <c:pt idx="3">
                  <c:v>2.5694444444444464E-2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8.680555555555558E-2</c:v>
                </c:pt>
                <c:pt idx="1">
                  <c:v>7.9861111111111049E-2</c:v>
                </c:pt>
                <c:pt idx="2">
                  <c:v>8.680555555555558E-2</c:v>
                </c:pt>
                <c:pt idx="3">
                  <c:v>0.12708333333333333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0.71875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1.041666666666663E-2</c:v>
                </c:pt>
                <c:pt idx="2">
                  <c:v>1.388888888888884E-2</c:v>
                </c:pt>
                <c:pt idx="3">
                  <c:v>6.9444444444445308E-3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2.9166666666666674E-2</c:v>
                </c:pt>
                <c:pt idx="1">
                  <c:v>2.3611111111111138E-2</c:v>
                </c:pt>
                <c:pt idx="2">
                  <c:v>1.736111111111116E-2</c:v>
                </c:pt>
                <c:pt idx="3">
                  <c:v>6.9444444444443088E-3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9.9305555555555536E-2</c:v>
                </c:pt>
                <c:pt idx="1">
                  <c:v>0.12569444444444433</c:v>
                </c:pt>
                <c:pt idx="2">
                  <c:v>0.11944444444444446</c:v>
                </c:pt>
                <c:pt idx="3">
                  <c:v>7.8472222222222165E-2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6.9444444444445308E-3</c:v>
                </c:pt>
                <c:pt idx="2">
                  <c:v>9.0277777777776347E-3</c:v>
                </c:pt>
                <c:pt idx="3">
                  <c:v>8.3333333333335258E-3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3.472222222222221E-2</c:v>
                </c:pt>
                <c:pt idx="1">
                  <c:v>3.125E-2</c:v>
                </c:pt>
                <c:pt idx="2">
                  <c:v>3.125E-2</c:v>
                </c:pt>
                <c:pt idx="3">
                  <c:v>2.7777777777777679E-2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0.13541666666666663</c:v>
                </c:pt>
                <c:pt idx="1">
                  <c:v>0.13541666666666663</c:v>
                </c:pt>
                <c:pt idx="2">
                  <c:v>0.14930555555555569</c:v>
                </c:pt>
                <c:pt idx="3">
                  <c:v>0.14236111111111116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0.3263888888888889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0.42222222222222222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1.0416666666666685E-2</c:v>
                </c:pt>
                <c:pt idx="2">
                  <c:v>6.9444444444444198E-3</c:v>
                </c:pt>
                <c:pt idx="3">
                  <c:v>6.9444444444444753E-3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3.4722222222222654E-3</c:v>
                </c:pt>
                <c:pt idx="2">
                  <c:v>6.9444444444445308E-3</c:v>
                </c:pt>
                <c:pt idx="3">
                  <c:v>4.8611111111110383E-3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0.17152777777777783</c:v>
                </c:pt>
                <c:pt idx="1">
                  <c:v>0.15972222222222215</c:v>
                </c:pt>
                <c:pt idx="2">
                  <c:v>0.19097222222222215</c:v>
                </c:pt>
                <c:pt idx="3">
                  <c:v>9.7222222222222265E-2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3.4722222222222099E-3</c:v>
                </c:pt>
                <c:pt idx="2">
                  <c:v>6.9444444444445308E-3</c:v>
                </c:pt>
                <c:pt idx="3">
                  <c:v>6.9444444444444198E-3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2.083333333333337E-2</c:v>
                </c:pt>
                <c:pt idx="2">
                  <c:v>2.4305555555555469E-2</c:v>
                </c:pt>
                <c:pt idx="3">
                  <c:v>2.777777777777779E-2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0.11111111111111116</c:v>
                </c:pt>
                <c:pt idx="1">
                  <c:v>0.13194444444444442</c:v>
                </c:pt>
                <c:pt idx="2">
                  <c:v>9.0277777777777568E-2</c:v>
                </c:pt>
                <c:pt idx="3">
                  <c:v>9.3749999999999778E-2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0.38541666666666669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1.3888888888888951E-2</c:v>
                </c:pt>
                <c:pt idx="2">
                  <c:v>1.0416666666666685E-2</c:v>
                </c:pt>
                <c:pt idx="3">
                  <c:v>6.9444444444444198E-3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1.7361111111111049E-2</c:v>
                </c:pt>
                <c:pt idx="2">
                  <c:v>2.2222222222222199E-2</c:v>
                </c:pt>
                <c:pt idx="3">
                  <c:v>6.9444444444444753E-3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0.23958333333333337</c:v>
                </c:pt>
                <c:pt idx="1">
                  <c:v>0.22916666666666669</c:v>
                </c:pt>
                <c:pt idx="2">
                  <c:v>0.24861111111111117</c:v>
                </c:pt>
                <c:pt idx="3">
                  <c:v>0.20833333333333337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1.041666666666663E-2</c:v>
                </c:pt>
                <c:pt idx="2">
                  <c:v>1.041666666666663E-2</c:v>
                </c:pt>
                <c:pt idx="3">
                  <c:v>6.9444444444444198E-3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2.430555555555558E-2</c:v>
                </c:pt>
                <c:pt idx="3">
                  <c:v>2.0833333333333259E-2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2.430555555555558E-2</c:v>
                </c:pt>
                <c:pt idx="2">
                  <c:v>1.041666666666663E-2</c:v>
                </c:pt>
                <c:pt idx="3">
                  <c:v>2.4305555555555358E-2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0.30694444444444441</c:v>
                </c:pt>
                <c:pt idx="2">
                  <c:v>0.31180555555555556</c:v>
                </c:pt>
                <c:pt idx="3">
                  <c:v>0.44097222222222227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1.1805555555555625E-2</c:v>
                </c:pt>
                <c:pt idx="2">
                  <c:v>1.3194444444444453E-2</c:v>
                </c:pt>
                <c:pt idx="3">
                  <c:v>6.9444444444444198E-3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3.5416666666666652E-2</c:v>
                </c:pt>
                <c:pt idx="2">
                  <c:v>1.1805555555555569E-2</c:v>
                </c:pt>
                <c:pt idx="3">
                  <c:v>6.9444444444444198E-3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0.13611111111111113</c:v>
                </c:pt>
                <c:pt idx="1">
                  <c:v>0.14236111111111105</c:v>
                </c:pt>
                <c:pt idx="2">
                  <c:v>0.16597222222222219</c:v>
                </c:pt>
                <c:pt idx="3">
                  <c:v>5.2083333333333315E-2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6.2499999999999778E-3</c:v>
                </c:pt>
                <c:pt idx="1">
                  <c:v>3.4722222222222654E-3</c:v>
                </c:pt>
                <c:pt idx="2">
                  <c:v>7.6388888888888618E-3</c:v>
                </c:pt>
                <c:pt idx="3">
                  <c:v>6.9444444444445308E-3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3.6111111111111094E-2</c:v>
                </c:pt>
                <c:pt idx="2">
                  <c:v>3.4722222222222321E-2</c:v>
                </c:pt>
                <c:pt idx="3">
                  <c:v>3.125E-2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0.125</c:v>
                </c:pt>
                <c:pt idx="1">
                  <c:v>0.1166666666666667</c:v>
                </c:pt>
                <c:pt idx="2">
                  <c:v>0.10763888888888884</c:v>
                </c:pt>
                <c:pt idx="3">
                  <c:v>0.10416666666666663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0.34375</c:v>
                </c:pt>
                <c:pt idx="1">
                  <c:v>0.34722222222222227</c:v>
                </c:pt>
                <c:pt idx="2">
                  <c:v>0.34722222222222227</c:v>
                </c:pt>
                <c:pt idx="3">
                  <c:v>0.38541666666666669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1.7361111111111049E-2</c:v>
                </c:pt>
                <c:pt idx="2">
                  <c:v>1.7361111111111049E-2</c:v>
                </c:pt>
                <c:pt idx="3">
                  <c:v>1.3888888888888895E-2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1.1805555555555569E-2</c:v>
                </c:pt>
                <c:pt idx="2">
                  <c:v>1.5972222222222221E-2</c:v>
                </c:pt>
                <c:pt idx="3">
                  <c:v>1.0416666666666685E-2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0.22916666666666669</c:v>
                </c:pt>
                <c:pt idx="1">
                  <c:v>0.22083333333333333</c:v>
                </c:pt>
                <c:pt idx="2">
                  <c:v>0.23055555555555551</c:v>
                </c:pt>
                <c:pt idx="3">
                  <c:v>0.20138888888888878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6.9444444444445308E-3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2.777777777777779E-2</c:v>
                </c:pt>
                <c:pt idx="3">
                  <c:v>2.777777777777779E-2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3.125E-2</c:v>
                </c:pt>
                <c:pt idx="2">
                  <c:v>1.388888888888884E-2</c:v>
                </c:pt>
                <c:pt idx="3">
                  <c:v>1.388888888888884E-2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0.72361111111111109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9.0277777777777457E-3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1.5277777777777835E-2</c:v>
                </c:pt>
                <c:pt idx="1">
                  <c:v>1.9444444444444375E-2</c:v>
                </c:pt>
                <c:pt idx="2">
                  <c:v>2.083333333333337E-2</c:v>
                </c:pt>
                <c:pt idx="3">
                  <c:v>6.9444444444445308E-3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0.23541666666666661</c:v>
                </c:pt>
                <c:pt idx="1">
                  <c:v>0.22777777777777786</c:v>
                </c:pt>
                <c:pt idx="2">
                  <c:v>0.22569444444444453</c:v>
                </c:pt>
                <c:pt idx="3">
                  <c:v>0.20138888888888884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6.2500000000000888E-3</c:v>
                </c:pt>
                <c:pt idx="1">
                  <c:v>9.7222222222222987E-3</c:v>
                </c:pt>
                <c:pt idx="2">
                  <c:v>1.041666666666663E-2</c:v>
                </c:pt>
                <c:pt idx="3">
                  <c:v>1.041666666666663E-2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1.7361111111110938E-2</c:v>
                </c:pt>
                <c:pt idx="2">
                  <c:v>1.7361111111110938E-2</c:v>
                </c:pt>
                <c:pt idx="3">
                  <c:v>2.0833333333333259E-2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0.34375</c:v>
                </c:pt>
                <c:pt idx="2">
                  <c:v>0.33680555555555558</c:v>
                </c:pt>
                <c:pt idx="3">
                  <c:v>0.3923611111111111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3.4722222222222265E-2</c:v>
                </c:pt>
                <c:pt idx="1">
                  <c:v>2.9166666666666619E-2</c:v>
                </c:pt>
                <c:pt idx="2">
                  <c:v>3.4722222222222154E-2</c:v>
                </c:pt>
                <c:pt idx="3">
                  <c:v>6.9444444444444753E-3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9.0277777777778012E-3</c:v>
                </c:pt>
                <c:pt idx="2">
                  <c:v>1.3888888888888951E-2</c:v>
                </c:pt>
                <c:pt idx="3">
                  <c:v>6.9444444444444198E-3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0.22986111111111118</c:v>
                </c:pt>
                <c:pt idx="1">
                  <c:v>0.22638888888888886</c:v>
                </c:pt>
                <c:pt idx="2">
                  <c:v>0.22222222222222227</c:v>
                </c:pt>
                <c:pt idx="3">
                  <c:v>0.19861111111111118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4.1666666666666519E-3</c:v>
                </c:pt>
                <c:pt idx="1">
                  <c:v>6.2500000000000888E-3</c:v>
                </c:pt>
                <c:pt idx="2">
                  <c:v>6.9444444444444198E-3</c:v>
                </c:pt>
                <c:pt idx="3">
                  <c:v>6.2499999999998668E-3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2.5694444444444464E-2</c:v>
                </c:pt>
                <c:pt idx="2">
                  <c:v>2.430555555555558E-2</c:v>
                </c:pt>
                <c:pt idx="3">
                  <c:v>2.083333333333337E-2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2.0833333333333259E-2</c:v>
                </c:pt>
                <c:pt idx="3">
                  <c:v>2.777777777777779E-2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0.72569444444444453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1.7361111111111049E-2</c:v>
                </c:pt>
                <c:pt idx="3">
                  <c:v>8.3333333333333037E-3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1.9444444444444375E-2</c:v>
                </c:pt>
                <c:pt idx="1">
                  <c:v>2.0833333333333259E-2</c:v>
                </c:pt>
                <c:pt idx="2">
                  <c:v>2.5000000000000022E-2</c:v>
                </c:pt>
                <c:pt idx="3">
                  <c:v>6.2499999999998668E-3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0.21666666666666656</c:v>
                </c:pt>
                <c:pt idx="1">
                  <c:v>0.22916666666666674</c:v>
                </c:pt>
                <c:pt idx="2">
                  <c:v>0.23749999999999993</c:v>
                </c:pt>
                <c:pt idx="3">
                  <c:v>0.18333333333333346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1.041666666666663E-2</c:v>
                </c:pt>
                <c:pt idx="2">
                  <c:v>2.7777777777777679E-3</c:v>
                </c:pt>
                <c:pt idx="3">
                  <c:v>1.041666666666663E-2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2.4305555555555469E-2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1.388888888888884E-2</c:v>
                </c:pt>
                <c:pt idx="2">
                  <c:v>1.388888888888884E-2</c:v>
                </c:pt>
                <c:pt idx="3">
                  <c:v>3.4722222222222099E-2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0.33680555555555558</c:v>
                </c:pt>
                <c:pt idx="3">
                  <c:v>0.3888888888888889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4.8611111111110938E-3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3.4722222222222654E-3</c:v>
                </c:pt>
                <c:pt idx="1">
                  <c:v>3.4722222222222654E-3</c:v>
                </c:pt>
                <c:pt idx="2">
                  <c:v>3.4722222222221544E-3</c:v>
                </c:pt>
                <c:pt idx="3">
                  <c:v>7.6388888888888618E-3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0.19097222222222215</c:v>
                </c:pt>
                <c:pt idx="1">
                  <c:v>0.18055555555555552</c:v>
                </c:pt>
                <c:pt idx="2">
                  <c:v>0.19097222222222221</c:v>
                </c:pt>
                <c:pt idx="3">
                  <c:v>0.12777777777777782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9.0277777777777457E-3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3.8194444444444531E-2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0.26041666666666674</c:v>
                </c:pt>
                <c:pt idx="1">
                  <c:v>0.26736111111111116</c:v>
                </c:pt>
                <c:pt idx="2">
                  <c:v>0.25347222222222199</c:v>
                </c:pt>
                <c:pt idx="3">
                  <c:v>0.25694444444444409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0.33888888888888885</c:v>
                </c:pt>
                <c:pt idx="2">
                  <c:v>0.33680555555555558</c:v>
                </c:pt>
                <c:pt idx="3">
                  <c:v>0.39444444444444443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2.0833333333333315E-2</c:v>
                </c:pt>
                <c:pt idx="2">
                  <c:v>2.0833333333333315E-2</c:v>
                </c:pt>
                <c:pt idx="3">
                  <c:v>6.9444444444444753E-3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1.1805555555555514E-2</c:v>
                </c:pt>
                <c:pt idx="1">
                  <c:v>1.7361111111111105E-2</c:v>
                </c:pt>
                <c:pt idx="2">
                  <c:v>1.5972222222222221E-2</c:v>
                </c:pt>
                <c:pt idx="3">
                  <c:v>3.4722222222221544E-3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0.2277777777777778</c:v>
                </c:pt>
                <c:pt idx="1">
                  <c:v>0.22916666666666663</c:v>
                </c:pt>
                <c:pt idx="2">
                  <c:v>0.23055555555555551</c:v>
                </c:pt>
                <c:pt idx="3">
                  <c:v>0.20833333333333331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1.1805555555555514E-2</c:v>
                </c:pt>
                <c:pt idx="1">
                  <c:v>6.9444444444445308E-3</c:v>
                </c:pt>
                <c:pt idx="2">
                  <c:v>6.9444444444445308E-3</c:v>
                </c:pt>
                <c:pt idx="3">
                  <c:v>6.9444444444445308E-3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2.777777777777779E-2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1.736111111111116E-2</c:v>
                </c:pt>
                <c:pt idx="2">
                  <c:v>1.388888888888884E-2</c:v>
                </c:pt>
                <c:pt idx="3">
                  <c:v>1.388888888888884E-2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0.71180555555555547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4.166666666666663E-2</c:v>
                </c:pt>
                <c:pt idx="2">
                  <c:v>3.4722222222222099E-2</c:v>
                </c:pt>
                <c:pt idx="3">
                  <c:v>6.9444444444445308E-3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6.9444444444445308E-3</c:v>
                </c:pt>
                <c:pt idx="2">
                  <c:v>6.9444444444445308E-3</c:v>
                </c:pt>
                <c:pt idx="3">
                  <c:v>3.4722222222222099E-3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0.19791666666666663</c:v>
                </c:pt>
                <c:pt idx="1">
                  <c:v>0.1875</c:v>
                </c:pt>
                <c:pt idx="2">
                  <c:v>0.21527777777777779</c:v>
                </c:pt>
                <c:pt idx="3">
                  <c:v>0.13888888888888895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1.2499999999999845E-2</c:v>
                </c:pt>
                <c:pt idx="2">
                  <c:v>1.0416666666666741E-2</c:v>
                </c:pt>
                <c:pt idx="3">
                  <c:v>1.041666666666663E-2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2.2222222222222254E-2</c:v>
                </c:pt>
                <c:pt idx="2">
                  <c:v>3.125E-2</c:v>
                </c:pt>
                <c:pt idx="3">
                  <c:v>3.125E-2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5.5555555555555691E-2</c:v>
                </c:pt>
                <c:pt idx="1">
                  <c:v>6.9444444444444531E-2</c:v>
                </c:pt>
                <c:pt idx="2">
                  <c:v>4.1666666666666519E-2</c:v>
                </c:pt>
                <c:pt idx="3">
                  <c:v>8.3333333333333259E-2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0.3888888888888889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2.0833333333333315E-2</c:v>
                </c:pt>
                <c:pt idx="2">
                  <c:v>2.0833333333333315E-2</c:v>
                </c:pt>
                <c:pt idx="3">
                  <c:v>1.0416666666666685E-2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3.4722222222221544E-3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0.15069444444444441</c:v>
                </c:pt>
                <c:pt idx="1">
                  <c:v>0.24652777777777773</c:v>
                </c:pt>
                <c:pt idx="2">
                  <c:v>0.1423611111111111</c:v>
                </c:pt>
                <c:pt idx="3">
                  <c:v>0.12152777777777785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9.0277777777778567E-3</c:v>
                </c:pt>
                <c:pt idx="1">
                  <c:v>6.9444444444444198E-3</c:v>
                </c:pt>
                <c:pt idx="2">
                  <c:v>1.041666666666663E-2</c:v>
                </c:pt>
                <c:pt idx="3">
                  <c:v>6.9444444444444198E-3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2.2222222222222143E-2</c:v>
                </c:pt>
                <c:pt idx="1">
                  <c:v>2.430555555555558E-2</c:v>
                </c:pt>
                <c:pt idx="2">
                  <c:v>3.4722222222222321E-2</c:v>
                </c:pt>
                <c:pt idx="3">
                  <c:v>2.777777777777779E-2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0.11111111111111116</c:v>
                </c:pt>
                <c:pt idx="1">
                  <c:v>1.736111111111116E-2</c:v>
                </c:pt>
                <c:pt idx="2">
                  <c:v>0.10763888888888884</c:v>
                </c:pt>
                <c:pt idx="3">
                  <c:v>9.027777777777779E-2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326116</xdr:colOff>
      <xdr:row>50</xdr:row>
      <xdr:rowOff>190500</xdr:rowOff>
    </xdr:from>
    <xdr:to>
      <xdr:col>11</xdr:col>
      <xdr:colOff>889000</xdr:colOff>
      <xdr:row>52</xdr:row>
      <xdr:rowOff>67130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635716" y="10795000"/>
          <a:ext cx="5628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743857</xdr:colOff>
      <xdr:row>50</xdr:row>
      <xdr:rowOff>184152</xdr:rowOff>
    </xdr:from>
    <xdr:to>
      <xdr:col>10</xdr:col>
      <xdr:colOff>1149350</xdr:colOff>
      <xdr:row>52</xdr:row>
      <xdr:rowOff>67675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488057" y="10788652"/>
          <a:ext cx="405493" cy="289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10</xdr:col>
      <xdr:colOff>1835829</xdr:colOff>
      <xdr:row>50</xdr:row>
      <xdr:rowOff>198666</xdr:rowOff>
    </xdr:from>
    <xdr:to>
      <xdr:col>10</xdr:col>
      <xdr:colOff>2393722</xdr:colOff>
      <xdr:row>52</xdr:row>
      <xdr:rowOff>90716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80029" y="108031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  <xdr:twoCellAnchor>
    <xdr:from>
      <xdr:col>12</xdr:col>
      <xdr:colOff>186191</xdr:colOff>
      <xdr:row>51</xdr:row>
      <xdr:rowOff>30479</xdr:rowOff>
    </xdr:from>
    <xdr:to>
      <xdr:col>12</xdr:col>
      <xdr:colOff>723900</xdr:colOff>
      <xdr:row>52</xdr:row>
      <xdr:rowOff>128816</xdr:rowOff>
    </xdr:to>
    <xdr:sp macro="" textlink="G19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 flipH="1">
          <a:off x="14664191" y="10838179"/>
          <a:ext cx="537709" cy="3015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5:05</a:t>
          </a:fld>
          <a:endParaRPr lang="es-CL" sz="1050"/>
        </a:p>
      </xdr:txBody>
    </xdr:sp>
    <xdr:clientData/>
  </xdr:twoCellAnchor>
  <xdr:twoCellAnchor>
    <xdr:from>
      <xdr:col>13</xdr:col>
      <xdr:colOff>645159</xdr:colOff>
      <xdr:row>51</xdr:row>
      <xdr:rowOff>38100</xdr:rowOff>
    </xdr:from>
    <xdr:to>
      <xdr:col>14</xdr:col>
      <xdr:colOff>304800</xdr:colOff>
      <xdr:row>52</xdr:row>
      <xdr:rowOff>103416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 flipH="1">
          <a:off x="15974059" y="108458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14</xdr:col>
      <xdr:colOff>1163865</xdr:colOff>
      <xdr:row>40</xdr:row>
      <xdr:rowOff>144238</xdr:rowOff>
    </xdr:from>
    <xdr:to>
      <xdr:col>16</xdr:col>
      <xdr:colOff>876300</xdr:colOff>
      <xdr:row>41</xdr:row>
      <xdr:rowOff>198664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7343665" y="87167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16</xdr:col>
      <xdr:colOff>166912</xdr:colOff>
      <xdr:row>43</xdr:row>
      <xdr:rowOff>83458</xdr:rowOff>
    </xdr:from>
    <xdr:to>
      <xdr:col>16</xdr:col>
      <xdr:colOff>724805</xdr:colOff>
      <xdr:row>44</xdr:row>
      <xdr:rowOff>178708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10512" y="92655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16</xdr:col>
      <xdr:colOff>166912</xdr:colOff>
      <xdr:row>45</xdr:row>
      <xdr:rowOff>185966</xdr:rowOff>
    </xdr:from>
    <xdr:to>
      <xdr:col>16</xdr:col>
      <xdr:colOff>724805</xdr:colOff>
      <xdr:row>47</xdr:row>
      <xdr:rowOff>77109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810512" y="97744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153305</xdr:colOff>
      <xdr:row>48</xdr:row>
      <xdr:rowOff>93074</xdr:rowOff>
    </xdr:from>
    <xdr:to>
      <xdr:col>16</xdr:col>
      <xdr:colOff>711198</xdr:colOff>
      <xdr:row>49</xdr:row>
      <xdr:rowOff>195944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6905" y="10291174"/>
          <a:ext cx="557893" cy="306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s-CL" sz="1050"/>
        </a:p>
      </xdr:txBody>
    </xdr:sp>
    <xdr:clientData/>
  </xdr:twoCellAnchor>
  <xdr:twoCellAnchor>
    <xdr:from>
      <xdr:col>15</xdr:col>
      <xdr:colOff>89806</xdr:colOff>
      <xdr:row>43</xdr:row>
      <xdr:rowOff>92530</xdr:rowOff>
    </xdr:from>
    <xdr:to>
      <xdr:col>16</xdr:col>
      <xdr:colOff>79828</xdr:colOff>
      <xdr:row>44</xdr:row>
      <xdr:rowOff>198665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7577706" y="92746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119742</xdr:colOff>
      <xdr:row>45</xdr:row>
      <xdr:rowOff>122465</xdr:rowOff>
    </xdr:from>
    <xdr:to>
      <xdr:col>16</xdr:col>
      <xdr:colOff>109764</xdr:colOff>
      <xdr:row>47</xdr:row>
      <xdr:rowOff>25401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7607642" y="97109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95249</xdr:colOff>
      <xdr:row>48</xdr:row>
      <xdr:rowOff>71668</xdr:rowOff>
    </xdr:from>
    <xdr:to>
      <xdr:col>16</xdr:col>
      <xdr:colOff>85271</xdr:colOff>
      <xdr:row>49</xdr:row>
      <xdr:rowOff>169275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7583149" y="10269768"/>
          <a:ext cx="1145722" cy="300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5:18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5:18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6:27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5:38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6:16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4:35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6:45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6:16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90%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6:47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3:45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6:34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95%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6:16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1497330</xdr:colOff>
      <xdr:row>9</xdr:row>
      <xdr:rowOff>167640</xdr:rowOff>
    </xdr:from>
    <xdr:to>
      <xdr:col>3</xdr:col>
      <xdr:colOff>228600</xdr:colOff>
      <xdr:row>15</xdr:row>
      <xdr:rowOff>137160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5400000">
          <a:off x="1590675" y="212407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</xdr:colOff>
      <xdr:row>0</xdr:row>
      <xdr:rowOff>167640</xdr:rowOff>
    </xdr:from>
    <xdr:to>
      <xdr:col>26</xdr:col>
      <xdr:colOff>381000</xdr:colOff>
      <xdr:row>2</xdr:row>
      <xdr:rowOff>175260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6134100" y="16764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Miercoles</a:t>
          </a:r>
          <a:r>
            <a:rPr lang="es-CL" sz="1100" baseline="0"/>
            <a:t> y jueves se da prioridad a reparación red de agua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15</xdr:col>
      <xdr:colOff>198120</xdr:colOff>
      <xdr:row>1</xdr:row>
      <xdr:rowOff>171450</xdr:rowOff>
    </xdr:from>
    <xdr:to>
      <xdr:col>16</xdr:col>
      <xdr:colOff>68580</xdr:colOff>
      <xdr:row>9</xdr:row>
      <xdr:rowOff>60960</xdr:rowOff>
    </xdr:to>
    <xdr:cxnSp macro="">
      <xdr:nvCxnSpPr>
        <xdr:cNvPr id="15" name="Conector angula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>
          <a:endCxn id="13" idx="1"/>
        </xdr:cNvCxnSpPr>
      </xdr:nvCxnSpPr>
      <xdr:spPr>
        <a:xfrm rot="5400000" flipH="1" flipV="1">
          <a:off x="5316855" y="1057275"/>
          <a:ext cx="150495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14</xdr:row>
      <xdr:rowOff>68580</xdr:rowOff>
    </xdr:from>
    <xdr:to>
      <xdr:col>5</xdr:col>
      <xdr:colOff>60960</xdr:colOff>
      <xdr:row>16</xdr:row>
      <xdr:rowOff>76200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312420" y="319278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5:10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5:20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5:26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5:14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9:14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5:20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5:20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E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F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0000000}" name="Tabla5383940414243" displayName="Tabla5383940414243" ref="A2:J23" totalsRowShown="0" headerRowDxfId="32" dataDxfId="31" tableBorderDxfId="30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F6" sqref="F6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49</v>
      </c>
      <c r="B3" s="12" t="s">
        <v>37</v>
      </c>
      <c r="C3" s="4">
        <v>44816</v>
      </c>
      <c r="D3" s="37">
        <v>0.33680555555555558</v>
      </c>
      <c r="E3" s="37">
        <v>0.36458333333333331</v>
      </c>
      <c r="F3" s="37">
        <v>0.37777777777777777</v>
      </c>
      <c r="G3" s="37">
        <v>0.61111111111111105</v>
      </c>
      <c r="H3" s="37">
        <v>0.61805555555555558</v>
      </c>
      <c r="I3" s="37">
        <v>0.64374999999999993</v>
      </c>
      <c r="J3" s="46">
        <v>0.65972222222222199</v>
      </c>
      <c r="K3" s="47"/>
      <c r="L3" s="48"/>
      <c r="M3" s="48"/>
      <c r="N3" s="49" t="s">
        <v>15</v>
      </c>
      <c r="O3" s="4">
        <f>Tabla5[[#This Row],[FECHA]]</f>
        <v>44816</v>
      </c>
      <c r="P3" s="7">
        <f>D3</f>
        <v>0.33680555555555558</v>
      </c>
      <c r="Q3" s="7">
        <f>E3-D3</f>
        <v>2.7777777777777735E-2</v>
      </c>
      <c r="R3" s="7">
        <f>F3-E3</f>
        <v>1.3194444444444453E-2</v>
      </c>
      <c r="S3" s="7">
        <f>G3-F3</f>
        <v>0.23333333333333328</v>
      </c>
      <c r="T3" s="7">
        <f>+Tabla5[[#This Row],[ALMUERZO]]-Tabla5[[#This Row],[TERMINO ACT. AM]]</f>
        <v>6.9444444444445308E-3</v>
      </c>
      <c r="U3" s="7">
        <f>+Tabla5[[#This Row],[INICIO ACTIVIDADES PM]]-Tabla5[[#This Row],[ALMUERZO]]</f>
        <v>2.5694444444444353E-2</v>
      </c>
      <c r="V3" s="7">
        <f>+Tabla5[[#This Row],[TERMINO ACTIVIDADES PM]]-Tabla5[[#This Row],[INICIO ACTIVIDADES PM]]</f>
        <v>1.5972222222222054E-2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49</v>
      </c>
      <c r="B4" s="12" t="s">
        <v>26</v>
      </c>
      <c r="C4" s="4">
        <v>44817</v>
      </c>
      <c r="D4" s="37">
        <v>0.33888888888888885</v>
      </c>
      <c r="E4" s="37">
        <v>0.36458333333333331</v>
      </c>
      <c r="F4" s="37">
        <v>0.37708333333333338</v>
      </c>
      <c r="G4" s="37">
        <v>0.61111111111111105</v>
      </c>
      <c r="H4" s="37">
        <v>0.61805555555555558</v>
      </c>
      <c r="I4" s="37">
        <v>0.64583333333333337</v>
      </c>
      <c r="J4" s="46">
        <v>0.65972222222222199</v>
      </c>
      <c r="K4" s="47"/>
      <c r="M4" s="5"/>
      <c r="N4" s="5" t="s">
        <v>16</v>
      </c>
      <c r="O4" s="4">
        <f>Tabla5[[#This Row],[FECHA]]</f>
        <v>44817</v>
      </c>
      <c r="P4" s="7">
        <f>D4</f>
        <v>0.33888888888888885</v>
      </c>
      <c r="Q4" s="7">
        <f t="shared" ref="Q4:Q7" si="0">E4-D4</f>
        <v>2.5694444444444464E-2</v>
      </c>
      <c r="R4" s="7">
        <f t="shared" ref="R4:R7" si="1">F4-E4</f>
        <v>1.2500000000000067E-2</v>
      </c>
      <c r="S4" s="7">
        <f t="shared" ref="S4:S7" si="2">G4-F4</f>
        <v>0.23402777777777767</v>
      </c>
      <c r="T4" s="7">
        <f>+Tabla5[[#This Row],[ALMUERZO]]-Tabla5[[#This Row],[TERMINO ACT. AM]]</f>
        <v>6.9444444444445308E-3</v>
      </c>
      <c r="U4" s="7">
        <f>+Tabla5[[#This Row],[INICIO ACTIVIDADES PM]]-Tabla5[[#This Row],[ALMUERZO]]</f>
        <v>2.777777777777779E-2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25">
      <c r="A5" s="12" t="s">
        <v>49</v>
      </c>
      <c r="B5" s="12" t="s">
        <v>27</v>
      </c>
      <c r="C5" s="4">
        <v>44818</v>
      </c>
      <c r="D5" s="37">
        <v>0.33680555555555558</v>
      </c>
      <c r="E5" s="37">
        <v>0.35902777777777778</v>
      </c>
      <c r="F5" s="37">
        <v>0.375</v>
      </c>
      <c r="G5" s="37">
        <v>0.61597222222222225</v>
      </c>
      <c r="H5" s="37">
        <v>0.62152777777777779</v>
      </c>
      <c r="I5" s="37">
        <v>0.64930555555555558</v>
      </c>
      <c r="J5" s="46">
        <v>0.65972222222222199</v>
      </c>
      <c r="K5" s="47"/>
      <c r="M5" s="5"/>
      <c r="N5" s="5" t="s">
        <v>16</v>
      </c>
      <c r="O5" s="4">
        <f>Tabla5[[#This Row],[FECHA]]</f>
        <v>44818</v>
      </c>
      <c r="P5" s="7">
        <f>D5</f>
        <v>0.33680555555555558</v>
      </c>
      <c r="Q5" s="7">
        <f t="shared" si="0"/>
        <v>2.2222222222222199E-2</v>
      </c>
      <c r="R5" s="7">
        <f t="shared" si="1"/>
        <v>1.5972222222222221E-2</v>
      </c>
      <c r="S5" s="7">
        <f t="shared" si="2"/>
        <v>0.24097222222222225</v>
      </c>
      <c r="T5" s="7">
        <f>+Tabla5[[#This Row],[ALMUERZO]]-Tabla5[[#This Row],[TERMINO ACT. AM]]</f>
        <v>5.5555555555555358E-3</v>
      </c>
      <c r="U5" s="7">
        <f>+Tabla5[[#This Row],[INICIO ACTIVIDADES PM]]-Tabla5[[#This Row],[ALMUERZO]]</f>
        <v>2.777777777777779E-2</v>
      </c>
      <c r="V5" s="7">
        <f>+Tabla5[[#This Row],[TERMINO ACTIVIDADES PM]]-Tabla5[[#This Row],[INICIO ACTIVIDADES PM]]</f>
        <v>1.0416666666666408E-2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25">
      <c r="A6" s="12" t="s">
        <v>49</v>
      </c>
      <c r="B6" s="12" t="s">
        <v>28</v>
      </c>
      <c r="C6" s="4">
        <v>44819</v>
      </c>
      <c r="D6" s="37">
        <v>0.39444444444444443</v>
      </c>
      <c r="E6" s="37">
        <v>0.40416666666666662</v>
      </c>
      <c r="F6" s="37">
        <v>0.41319444444444442</v>
      </c>
      <c r="G6" s="37">
        <v>0.61458333333333337</v>
      </c>
      <c r="H6" s="37">
        <v>0.61805555555555558</v>
      </c>
      <c r="I6" s="37">
        <v>0.64930555555555558</v>
      </c>
      <c r="J6" s="46">
        <v>0.65972222222222199</v>
      </c>
      <c r="K6" s="47" t="s">
        <v>129</v>
      </c>
      <c r="M6" s="5"/>
      <c r="N6" s="5" t="s">
        <v>17</v>
      </c>
      <c r="O6" s="4">
        <f>Tabla5[[#This Row],[FECHA]]</f>
        <v>44819</v>
      </c>
      <c r="P6" s="7">
        <f>D6</f>
        <v>0.39444444444444443</v>
      </c>
      <c r="Q6" s="7">
        <f t="shared" si="0"/>
        <v>9.7222222222221877E-3</v>
      </c>
      <c r="R6" s="7">
        <f t="shared" si="1"/>
        <v>9.0277777777778012E-3</v>
      </c>
      <c r="S6" s="7">
        <f t="shared" si="2"/>
        <v>0.20138888888888895</v>
      </c>
      <c r="T6" s="7">
        <f>+Tabla5[[#This Row],[ALMUERZO]]-Tabla5[[#This Row],[TERMINO ACT. AM]]</f>
        <v>3.4722222222222099E-3</v>
      </c>
      <c r="U6" s="7">
        <f>+Tabla5[[#This Row],[INICIO ACTIVIDADES PM]]-Tabla5[[#This Row],[ALMUERZO]]</f>
        <v>3.125E-2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25">
      <c r="A7" s="12" t="s">
        <v>49</v>
      </c>
      <c r="B7" s="12" t="s">
        <v>38</v>
      </c>
      <c r="C7" s="4">
        <v>44820</v>
      </c>
      <c r="D7" s="37"/>
      <c r="E7" s="37"/>
      <c r="F7" s="37"/>
      <c r="G7" s="37"/>
      <c r="H7" s="37"/>
      <c r="I7" s="37"/>
      <c r="J7" s="46"/>
      <c r="K7" s="47"/>
      <c r="M7" s="5"/>
      <c r="N7" s="5" t="s">
        <v>18</v>
      </c>
      <c r="O7" s="4">
        <f>Tabla5[[#This Row],[FECHA]]</f>
        <v>44820</v>
      </c>
      <c r="P7" s="7">
        <f>D7</f>
        <v>0</v>
      </c>
      <c r="Q7" s="7">
        <f t="shared" si="0"/>
        <v>0</v>
      </c>
      <c r="R7" s="7">
        <f t="shared" si="1"/>
        <v>0</v>
      </c>
      <c r="S7" s="7">
        <f t="shared" si="2"/>
        <v>0</v>
      </c>
      <c r="T7" s="7">
        <f>+Tabla5[[#This Row],[ALMUERZO]]-Tabla5[[#This Row],[TERMINO ACT. AM]]</f>
        <v>0</v>
      </c>
      <c r="U7" s="7">
        <f>+Tabla5[[#This Row],[INICIO ACTIVIDADES PM]]-Tabla5[[#This Row],[ALMUERZO]]</f>
        <v>0</v>
      </c>
      <c r="V7" s="7">
        <f>+Tabla5[[#This Row],[TERMINO ACTIVIDADES PM]]-Tabla5[[#This Row],[INICIO ACTIVIDADES PM]]</f>
        <v>0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25">
      <c r="A8" s="11"/>
      <c r="B8" s="11"/>
      <c r="C8" s="4">
        <v>44821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4">
        <v>44822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0.24930555555555534</v>
      </c>
      <c r="H16" s="23"/>
      <c r="I16" s="28"/>
      <c r="J16" s="28"/>
      <c r="K16" s="33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0.24791666666666629</v>
      </c>
      <c r="H17" s="23"/>
      <c r="I17" s="28"/>
      <c r="J17" s="28"/>
      <c r="K17" s="33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0.25138888888888866</v>
      </c>
      <c r="H18" s="23"/>
      <c r="I18" s="28"/>
      <c r="J18" s="28"/>
      <c r="K18" s="33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0.21180555555555536</v>
      </c>
      <c r="H19" s="23"/>
      <c r="I19" s="28"/>
      <c r="J19" s="28"/>
      <c r="K19" s="33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33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0.2401041666666664</v>
      </c>
      <c r="H21" s="30"/>
      <c r="I21" s="28"/>
      <c r="J21" s="28"/>
      <c r="K21" s="33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0.96041666666666559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7" t="s">
        <v>105</v>
      </c>
      <c r="I29" s="178" t="s">
        <v>103</v>
      </c>
      <c r="T29" s="3"/>
    </row>
    <row r="30" spans="1:20" ht="15.6" customHeight="1" x14ac:dyDescent="0.25">
      <c r="H30" s="177"/>
      <c r="I30" s="179"/>
      <c r="T30" s="3"/>
    </row>
    <row r="31" spans="1:20" ht="15.6" customHeight="1" x14ac:dyDescent="0.25">
      <c r="H31" s="177"/>
      <c r="I31" s="179"/>
      <c r="T31" s="3"/>
    </row>
    <row r="32" spans="1:20" ht="15.6" customHeight="1" x14ac:dyDescent="0.25">
      <c r="H32" s="177"/>
      <c r="I32" s="180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F10" sqref="F10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ht="24.75" x14ac:dyDescent="0.25">
      <c r="A3" s="12" t="s">
        <v>99</v>
      </c>
      <c r="B3" s="12" t="s">
        <v>37</v>
      </c>
      <c r="C3" s="4">
        <f>+Tabla5[[#This Row],[FECHA]]</f>
        <v>44816</v>
      </c>
      <c r="D3" s="37">
        <v>0.3125</v>
      </c>
      <c r="E3" s="37">
        <v>0.33333333333333331</v>
      </c>
      <c r="F3" s="37">
        <v>0.36458333333333331</v>
      </c>
      <c r="G3" s="37">
        <v>0.54166666666666663</v>
      </c>
      <c r="H3" s="37">
        <v>0.54861111111111105</v>
      </c>
      <c r="I3" s="37">
        <v>0.57291666666666663</v>
      </c>
      <c r="J3" s="46">
        <v>0.65972222222222221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0.3125</v>
      </c>
      <c r="Q3" s="7">
        <f>E3-D3</f>
        <v>2.0833333333333315E-2</v>
      </c>
      <c r="R3" s="7">
        <f>F3-E3</f>
        <v>3.125E-2</v>
      </c>
      <c r="S3" s="7">
        <f>G3-F3</f>
        <v>0.17708333333333331</v>
      </c>
      <c r="T3" s="7">
        <f>+Tabla538394041[[#This Row],[ALMUERZO]]-Tabla538394041[[#This Row],[TERMINO ACT. AM]]</f>
        <v>6.9444444444444198E-3</v>
      </c>
      <c r="U3" s="7">
        <f>+Tabla538394041[[#This Row],[INICIO ACTIVIDADES PM]]-Tabla538394041[[#This Row],[ALMUERZO]]</f>
        <v>2.430555555555558E-2</v>
      </c>
      <c r="V3" s="7">
        <f>+Tabla538394041[[#This Row],[TERMINO ACTIVIDADES PM]]-Tabla538394041[[#This Row],[INICIO ACTIVIDADES PM]]</f>
        <v>8.680555555555558E-2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ht="24.75" x14ac:dyDescent="0.25">
      <c r="A4" s="12" t="s">
        <v>99</v>
      </c>
      <c r="B4" s="12" t="s">
        <v>26</v>
      </c>
      <c r="C4" s="4">
        <f>+Tabla5[[#This Row],[FECHA]]</f>
        <v>44817</v>
      </c>
      <c r="D4" s="37">
        <v>0.3125</v>
      </c>
      <c r="E4" s="37">
        <v>0.34027777777777773</v>
      </c>
      <c r="F4" s="37">
        <v>0.36805555555555558</v>
      </c>
      <c r="G4" s="37">
        <v>0.54166666666666663</v>
      </c>
      <c r="H4" s="37">
        <v>0.54999999999999993</v>
      </c>
      <c r="I4" s="37">
        <v>0.57638888888888895</v>
      </c>
      <c r="J4" s="46">
        <v>0.65625</v>
      </c>
      <c r="K4" s="47" t="s">
        <v>91</v>
      </c>
      <c r="M4" s="5"/>
      <c r="N4" s="5" t="s">
        <v>16</v>
      </c>
      <c r="O4" s="4">
        <v>44411</v>
      </c>
      <c r="P4" s="7">
        <f>D4</f>
        <v>0.3125</v>
      </c>
      <c r="Q4" s="7">
        <f t="shared" ref="Q4:Q7" si="0">E4-D4</f>
        <v>2.7777777777777735E-2</v>
      </c>
      <c r="R4" s="7">
        <f t="shared" ref="R4:S7" si="1">F4-E4</f>
        <v>2.7777777777777846E-2</v>
      </c>
      <c r="S4" s="7">
        <f t="shared" si="1"/>
        <v>0.17361111111111105</v>
      </c>
      <c r="T4" s="7">
        <f>+Tabla538394041[[#This Row],[ALMUERZO]]-Tabla538394041[[#This Row],[TERMINO ACT. AM]]</f>
        <v>8.3333333333333037E-3</v>
      </c>
      <c r="U4" s="7">
        <f>+Tabla538394041[[#This Row],[INICIO ACTIVIDADES PM]]-Tabla538394041[[#This Row],[ALMUERZO]]</f>
        <v>2.6388888888889017E-2</v>
      </c>
      <c r="V4" s="7">
        <f>+Tabla538394041[[#This Row],[TERMINO ACTIVIDADES PM]]-Tabla538394041[[#This Row],[INICIO ACTIVIDADES PM]]</f>
        <v>7.9861111111111049E-2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ht="24.75" x14ac:dyDescent="0.25">
      <c r="A5" s="12" t="s">
        <v>99</v>
      </c>
      <c r="B5" s="12" t="s">
        <v>27</v>
      </c>
      <c r="C5" s="4">
        <f>+Tabla5[[#This Row],[FECHA]]</f>
        <v>44818</v>
      </c>
      <c r="D5" s="37">
        <v>0.3125</v>
      </c>
      <c r="E5" s="37">
        <v>0.34027777777777773</v>
      </c>
      <c r="F5" s="37">
        <v>0.37152777777777773</v>
      </c>
      <c r="G5" s="37">
        <v>0.54166666666666663</v>
      </c>
      <c r="H5" s="37">
        <v>0.54861111111111105</v>
      </c>
      <c r="I5" s="37">
        <v>0.56944444444444442</v>
      </c>
      <c r="J5" s="46">
        <v>0.65625</v>
      </c>
      <c r="K5" s="47" t="s">
        <v>91</v>
      </c>
      <c r="M5" s="5"/>
      <c r="N5" s="5" t="s">
        <v>16</v>
      </c>
      <c r="O5" s="4">
        <v>44412</v>
      </c>
      <c r="P5" s="7">
        <f>D5</f>
        <v>0.3125</v>
      </c>
      <c r="Q5" s="7">
        <f t="shared" si="0"/>
        <v>2.7777777777777735E-2</v>
      </c>
      <c r="R5" s="7">
        <f t="shared" si="1"/>
        <v>3.125E-2</v>
      </c>
      <c r="S5" s="7">
        <f t="shared" si="1"/>
        <v>0.1701388888888889</v>
      </c>
      <c r="T5" s="7">
        <f>+Tabla538394041[[#This Row],[ALMUERZO]]-Tabla538394041[[#This Row],[TERMINO ACT. AM]]</f>
        <v>6.9444444444444198E-3</v>
      </c>
      <c r="U5" s="7">
        <f>+Tabla538394041[[#This Row],[INICIO ACTIVIDADES PM]]-Tabla538394041[[#This Row],[ALMUERZO]]</f>
        <v>2.083333333333337E-2</v>
      </c>
      <c r="V5" s="7">
        <f>+Tabla538394041[[#This Row],[TERMINO ACTIVIDADES PM]]-Tabla538394041[[#This Row],[INICIO ACTIVIDADES PM]]</f>
        <v>8.680555555555558E-2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ht="36.75" x14ac:dyDescent="0.25">
      <c r="A6" s="12" t="s">
        <v>99</v>
      </c>
      <c r="B6" s="12" t="s">
        <v>28</v>
      </c>
      <c r="C6" s="4">
        <f>+Tabla5[[#This Row],[FECHA]]</f>
        <v>44819</v>
      </c>
      <c r="D6" s="37">
        <v>0.3888888888888889</v>
      </c>
      <c r="E6" s="37">
        <v>0.39444444444444443</v>
      </c>
      <c r="F6" s="37">
        <v>0.40625</v>
      </c>
      <c r="G6" s="37">
        <v>0.5</v>
      </c>
      <c r="H6" s="37">
        <v>0.50347222222222221</v>
      </c>
      <c r="I6" s="37">
        <v>0.52916666666666667</v>
      </c>
      <c r="J6" s="46">
        <v>0.65625</v>
      </c>
      <c r="K6" s="47" t="s">
        <v>129</v>
      </c>
      <c r="M6" s="5"/>
      <c r="N6" s="5" t="s">
        <v>17</v>
      </c>
      <c r="O6" s="4">
        <v>44413</v>
      </c>
      <c r="P6" s="7">
        <f>D6</f>
        <v>0.3888888888888889</v>
      </c>
      <c r="Q6" s="7">
        <f t="shared" si="0"/>
        <v>5.5555555555555358E-3</v>
      </c>
      <c r="R6" s="7">
        <f t="shared" si="1"/>
        <v>1.1805555555555569E-2</v>
      </c>
      <c r="S6" s="7">
        <f t="shared" si="1"/>
        <v>9.375E-2</v>
      </c>
      <c r="T6" s="7">
        <f>+Tabla538394041[[#This Row],[ALMUERZO]]-Tabla538394041[[#This Row],[TERMINO ACT. AM]]</f>
        <v>3.4722222222222099E-3</v>
      </c>
      <c r="U6" s="7">
        <f>+Tabla538394041[[#This Row],[INICIO ACTIVIDADES PM]]-Tabla538394041[[#This Row],[ALMUERZO]]</f>
        <v>2.5694444444444464E-2</v>
      </c>
      <c r="V6" s="7">
        <f>+Tabla538394041[[#This Row],[TERMINO ACTIVIDADES PM]]-Tabla538394041[[#This Row],[INICIO ACTIVIDADES PM]]</f>
        <v>0.12708333333333333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44820</v>
      </c>
      <c r="D7" s="37"/>
      <c r="E7" s="37"/>
      <c r="F7" s="37"/>
      <c r="G7" s="37"/>
      <c r="H7" s="37"/>
      <c r="I7" s="37"/>
      <c r="J7" s="46"/>
      <c r="K7" s="47"/>
      <c r="M7" s="5"/>
      <c r="N7" s="5" t="s">
        <v>18</v>
      </c>
      <c r="O7" s="4">
        <v>44414</v>
      </c>
      <c r="P7" s="7">
        <f>D7</f>
        <v>0</v>
      </c>
      <c r="Q7" s="7">
        <f t="shared" si="0"/>
        <v>0</v>
      </c>
      <c r="R7" s="7">
        <f t="shared" si="1"/>
        <v>0</v>
      </c>
      <c r="S7" s="7">
        <f t="shared" si="1"/>
        <v>0</v>
      </c>
      <c r="T7" s="7">
        <f>+Tabla538394041[[#This Row],[ALMUERZO]]-Tabla538394041[[#This Row],[TERMINO ACT. AM]]</f>
        <v>0</v>
      </c>
      <c r="U7" s="7">
        <f>+Tabla538394041[[#This Row],[INICIO ACTIVIDADES PM]]-Tabla538394041[[#This Row],[ALMUERZO]]</f>
        <v>0</v>
      </c>
      <c r="V7" s="7">
        <f>+Tabla538394041[[#This Row],[TERMINO ACTIVIDADES PM]]-Tabla538394041[[#This Row],[INICIO ACTIVIDADES PM]]</f>
        <v>0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0.2638888888888889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0.2534722222222221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0.25694444444444448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0.22083333333333333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0.24878472222222217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0.99513888888888868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I28" s="177" t="s">
        <v>105</v>
      </c>
      <c r="J28" s="178" t="s">
        <v>103</v>
      </c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79"/>
      <c r="T30" s="3"/>
    </row>
    <row r="31" spans="1:20" ht="15.6" customHeight="1" x14ac:dyDescent="0.25">
      <c r="I31" s="177"/>
      <c r="J31" s="180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G10" sqref="G10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44816</v>
      </c>
      <c r="D3" s="37">
        <v>0.64583333333333337</v>
      </c>
      <c r="E3" s="37">
        <v>0.66666666666666663</v>
      </c>
      <c r="F3" s="37">
        <v>0.6958333333333333</v>
      </c>
      <c r="G3" s="56">
        <v>0.79513888888888884</v>
      </c>
      <c r="H3" s="37">
        <v>0.8125</v>
      </c>
      <c r="I3" s="37">
        <v>0.84722222222222221</v>
      </c>
      <c r="J3" s="46">
        <v>0.98263888888888884</v>
      </c>
      <c r="K3" s="47"/>
      <c r="L3" s="53"/>
      <c r="M3" s="53"/>
      <c r="N3" s="57" t="s">
        <v>15</v>
      </c>
      <c r="O3" s="4">
        <f>Tabla53839404142[[#This Row],[FECHA]]</f>
        <v>44816</v>
      </c>
      <c r="P3" s="7">
        <f>D3</f>
        <v>0.64583333333333337</v>
      </c>
      <c r="Q3" s="7">
        <f>E3-D3</f>
        <v>2.0833333333333259E-2</v>
      </c>
      <c r="R3" s="7">
        <f>F3-E3</f>
        <v>2.9166666666666674E-2</v>
      </c>
      <c r="S3" s="7">
        <f>G3-F3</f>
        <v>9.9305555555555536E-2</v>
      </c>
      <c r="T3" s="7">
        <f>+Tabla53839404142[[#This Row],[ALMUERZO]]-Tabla53839404142[[#This Row],[TERMINO ACT. AM]]</f>
        <v>1.736111111111116E-2</v>
      </c>
      <c r="U3" s="7">
        <f>+Tabla53839404142[[#This Row],[INICIO ACTIVIDADES PM]]-Tabla53839404142[[#This Row],[ALMUERZO]]</f>
        <v>3.472222222222221E-2</v>
      </c>
      <c r="V3" s="7">
        <f>+Tabla53839404142[[#This Row],[TERMINO ACTIVIDADES PM]]-Tabla53839404142[[#This Row],[INICIO ACTIVIDADES PM]]</f>
        <v>0.13541666666666663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44817</v>
      </c>
      <c r="D4" s="37">
        <v>0.64583333333333337</v>
      </c>
      <c r="E4" s="37">
        <v>0.65625</v>
      </c>
      <c r="F4" s="37">
        <v>0.67986111111111114</v>
      </c>
      <c r="G4" s="56">
        <v>0.80555555555555547</v>
      </c>
      <c r="H4" s="37">
        <v>0.8125</v>
      </c>
      <c r="I4" s="37">
        <v>0.84375</v>
      </c>
      <c r="J4" s="46">
        <v>0.97916666666666663</v>
      </c>
      <c r="K4" s="47"/>
      <c r="M4" s="5"/>
      <c r="N4" s="5" t="s">
        <v>16</v>
      </c>
      <c r="O4" s="4">
        <f>Tabla53839404142[[#This Row],[FECHA]]</f>
        <v>44817</v>
      </c>
      <c r="P4" s="7">
        <f>D4</f>
        <v>0.64583333333333337</v>
      </c>
      <c r="Q4" s="7">
        <f t="shared" ref="Q4:S7" si="0">E4-D4</f>
        <v>1.041666666666663E-2</v>
      </c>
      <c r="R4" s="7">
        <f t="shared" si="0"/>
        <v>2.3611111111111138E-2</v>
      </c>
      <c r="S4" s="7">
        <f t="shared" si="0"/>
        <v>0.12569444444444433</v>
      </c>
      <c r="T4" s="7">
        <f>+Tabla53839404142[[#This Row],[ALMUERZO]]-Tabla53839404142[[#This Row],[TERMINO ACT. AM]]</f>
        <v>6.9444444444445308E-3</v>
      </c>
      <c r="U4" s="7">
        <f>+Tabla53839404142[[#This Row],[INICIO ACTIVIDADES PM]]-Tabla53839404142[[#This Row],[ALMUERZO]]</f>
        <v>3.125E-2</v>
      </c>
      <c r="V4" s="7">
        <f>+Tabla53839404142[[#This Row],[TERMINO ACTIVIDADES PM]]-Tabla53839404142[[#This Row],[INICIO ACTIVIDADES PM]]</f>
        <v>0.13541666666666663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44818</v>
      </c>
      <c r="D5" s="37">
        <v>0.64583333333333337</v>
      </c>
      <c r="E5" s="37">
        <v>0.65972222222222221</v>
      </c>
      <c r="F5" s="37">
        <v>0.67708333333333337</v>
      </c>
      <c r="G5" s="56">
        <v>0.79652777777777783</v>
      </c>
      <c r="H5" s="37">
        <v>0.80555555555555547</v>
      </c>
      <c r="I5" s="37">
        <v>0.83680555555555547</v>
      </c>
      <c r="J5" s="46">
        <v>0.98611111111111116</v>
      </c>
      <c r="K5" s="47"/>
      <c r="M5" s="5"/>
      <c r="N5" s="5" t="s">
        <v>16</v>
      </c>
      <c r="O5" s="4">
        <f>Tabla53839404142[[#This Row],[FECHA]]</f>
        <v>44818</v>
      </c>
      <c r="P5" s="7">
        <f>D5</f>
        <v>0.64583333333333337</v>
      </c>
      <c r="Q5" s="7">
        <f t="shared" si="0"/>
        <v>1.388888888888884E-2</v>
      </c>
      <c r="R5" s="7">
        <f t="shared" si="0"/>
        <v>1.736111111111116E-2</v>
      </c>
      <c r="S5" s="7">
        <f t="shared" si="0"/>
        <v>0.11944444444444446</v>
      </c>
      <c r="T5" s="7">
        <f>+Tabla53839404142[[#This Row],[ALMUERZO]]-Tabla53839404142[[#This Row],[TERMINO ACT. AM]]</f>
        <v>9.0277777777776347E-3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0.14930555555555569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48.75" x14ac:dyDescent="0.25">
      <c r="A6" s="12" t="s">
        <v>99</v>
      </c>
      <c r="B6" s="12" t="s">
        <v>28</v>
      </c>
      <c r="C6" s="4">
        <f>+Tabla5[[#This Row],[FECHA]]</f>
        <v>44819</v>
      </c>
      <c r="D6" s="37">
        <v>0.71875</v>
      </c>
      <c r="E6" s="37">
        <v>0.72569444444444453</v>
      </c>
      <c r="F6" s="37">
        <v>0.73263888888888884</v>
      </c>
      <c r="G6" s="37">
        <v>0.81111111111111101</v>
      </c>
      <c r="H6" s="37">
        <v>0.81944444444444453</v>
      </c>
      <c r="I6" s="37">
        <v>0.84722222222222221</v>
      </c>
      <c r="J6" s="46">
        <v>0.98958333333333337</v>
      </c>
      <c r="K6" s="47" t="s">
        <v>129</v>
      </c>
      <c r="M6" s="5"/>
      <c r="N6" s="5" t="s">
        <v>17</v>
      </c>
      <c r="O6" s="4">
        <f>Tabla53839404142[[#This Row],[FECHA]]</f>
        <v>44819</v>
      </c>
      <c r="P6" s="7">
        <f>D6</f>
        <v>0.71875</v>
      </c>
      <c r="Q6" s="7">
        <f t="shared" si="0"/>
        <v>6.9444444444445308E-3</v>
      </c>
      <c r="R6" s="7">
        <f t="shared" si="0"/>
        <v>6.9444444444443088E-3</v>
      </c>
      <c r="S6" s="7">
        <f t="shared" si="0"/>
        <v>7.8472222222222165E-2</v>
      </c>
      <c r="T6" s="7">
        <f>+Tabla53839404142[[#This Row],[ALMUERZO]]-Tabla53839404142[[#This Row],[TERMINO ACT. AM]]</f>
        <v>8.3333333333335258E-3</v>
      </c>
      <c r="U6" s="7">
        <f>+Tabla53839404142[[#This Row],[INICIO ACTIVIDADES PM]]-Tabla53839404142[[#This Row],[ALMUERZO]]</f>
        <v>2.7777777777777679E-2</v>
      </c>
      <c r="V6" s="7">
        <f>+Tabla53839404142[[#This Row],[TERMINO ACTIVIDADES PM]]-Tabla53839404142[[#This Row],[INICIO ACTIVIDADES PM]]</f>
        <v>0.14236111111111116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44820</v>
      </c>
      <c r="D7" s="37"/>
      <c r="E7" s="37"/>
      <c r="F7" s="37"/>
      <c r="G7" s="56"/>
      <c r="H7" s="37"/>
      <c r="I7" s="37"/>
      <c r="J7" s="46"/>
      <c r="K7" s="47"/>
      <c r="M7" s="5"/>
      <c r="N7" s="5" t="s">
        <v>18</v>
      </c>
      <c r="O7" s="4">
        <f>Tabla53839404142[[#This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+Tabla53839404142[[#This Row],[ALMUERZO]]-Tabla53839404142[[#This Row],[TERMINO ACT. AM]]</f>
        <v>0</v>
      </c>
      <c r="U7" s="7">
        <f>+Tabla53839404142[[#This Row],[INICIO ACTIVIDADES PM]]-Tabla53839404142[[#This Row],[ALMUERZO]]</f>
        <v>0</v>
      </c>
      <c r="V7" s="7">
        <f>+Tabla53839404142[[#This Row],[TERMINO ACTIVIDADES PM]]-Tabla53839404142[[#This Row],[INICIO ACTIVIDADES PM]]</f>
        <v>0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5" thickBot="1" x14ac:dyDescent="0.3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0.23472222222222217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0.26111111111111096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0.26875000000000016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0.22083333333333333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0.24635416666666665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0.98541666666666661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7" t="s">
        <v>105</v>
      </c>
      <c r="J27" s="178" t="s">
        <v>104</v>
      </c>
      <c r="T27" s="3"/>
    </row>
    <row r="28" spans="1:20" ht="15.6" customHeight="1" x14ac:dyDescent="0.25">
      <c r="I28" s="177"/>
      <c r="J28" s="179"/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E9" sqref="E8:E9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100</v>
      </c>
      <c r="B3" s="12" t="s">
        <v>37</v>
      </c>
      <c r="C3" s="4">
        <f>+Tabla5[[#This Row],[FECHA]]</f>
        <v>44816</v>
      </c>
      <c r="D3" s="37">
        <v>0.3263888888888889</v>
      </c>
      <c r="E3" s="37">
        <v>0.34027777777777773</v>
      </c>
      <c r="F3" s="37">
        <v>0.34930555555555554</v>
      </c>
      <c r="G3" s="37">
        <v>0.52083333333333337</v>
      </c>
      <c r="H3" s="37">
        <v>0.52430555555555558</v>
      </c>
      <c r="I3" s="37">
        <v>0.54861111111111105</v>
      </c>
      <c r="J3" s="46">
        <v>0.65972222222222221</v>
      </c>
      <c r="K3" s="47"/>
      <c r="L3" s="53"/>
      <c r="M3" s="53"/>
      <c r="N3" s="57" t="s">
        <v>15</v>
      </c>
      <c r="O3" s="4">
        <f>Tabla5383940414243[[#This Row],[FECHA]]</f>
        <v>44816</v>
      </c>
      <c r="P3" s="7">
        <f>D3</f>
        <v>0.3263888888888889</v>
      </c>
      <c r="Q3" s="7">
        <f>E3-D3</f>
        <v>1.388888888888884E-2</v>
      </c>
      <c r="R3" s="7">
        <f>F3-E3</f>
        <v>9.0277777777778012E-3</v>
      </c>
      <c r="S3" s="7">
        <f>G3-F3</f>
        <v>0.17152777777777783</v>
      </c>
      <c r="T3" s="7">
        <f>+Tabla5383940414243[[#This Row],[ALMUERZO]]-Tabla5383940414243[[#This Row],[TERMINO ACT. AM]]</f>
        <v>3.4722222222222099E-3</v>
      </c>
      <c r="U3" s="7">
        <f>+Tabla5383940414243[[#This Row],[INICIO ACTIVIDADES PM]]-Tabla5383940414243[[#This Row],[ALMUERZO]]</f>
        <v>2.4305555555555469E-2</v>
      </c>
      <c r="V3" s="7">
        <f>+Tabla5383940414243[[#This Row],[TERMINO ACTIVIDADES PM]]-Tabla5383940414243[[#This Row],[INICIO ACTIVIDADES PM]]</f>
        <v>0.11111111111111116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100</v>
      </c>
      <c r="B4" s="12" t="s">
        <v>26</v>
      </c>
      <c r="C4" s="4">
        <f>+Tabla5[[#This Row],[FECHA]]</f>
        <v>44817</v>
      </c>
      <c r="D4" s="37">
        <v>0.33333333333333331</v>
      </c>
      <c r="E4" s="37">
        <v>0.34375</v>
      </c>
      <c r="F4" s="37">
        <v>0.34722222222222227</v>
      </c>
      <c r="G4" s="37">
        <v>0.50694444444444442</v>
      </c>
      <c r="H4" s="37">
        <v>0.51041666666666663</v>
      </c>
      <c r="I4" s="37">
        <v>0.53125</v>
      </c>
      <c r="J4" s="46">
        <v>0.66319444444444442</v>
      </c>
      <c r="K4" s="47"/>
      <c r="M4" s="5"/>
      <c r="N4" s="5" t="s">
        <v>16</v>
      </c>
      <c r="O4" s="4">
        <f>Tabla5383940414243[[#This Row],[FECHA]]</f>
        <v>44817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3.4722222222222654E-3</v>
      </c>
      <c r="S4" s="7">
        <f t="shared" si="0"/>
        <v>0.15972222222222215</v>
      </c>
      <c r="T4" s="7">
        <f>+Tabla5383940414243[[#This Row],[ALMUERZO]]-Tabla5383940414243[[#This Row],[TERMINO ACT. AM]]</f>
        <v>3.4722222222222099E-3</v>
      </c>
      <c r="U4" s="7">
        <f>+Tabla5383940414243[[#This Row],[INICIO ACTIVIDADES PM]]-Tabla5383940414243[[#This Row],[ALMUERZO]]</f>
        <v>2.083333333333337E-2</v>
      </c>
      <c r="V4" s="7">
        <f>+Tabla5383940414243[[#This Row],[TERMINO ACTIVIDADES PM]]-Tabla5383940414243[[#This Row],[INICIO ACTIVIDADES PM]]</f>
        <v>0.13194444444444442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100</v>
      </c>
      <c r="B5" s="12" t="s">
        <v>27</v>
      </c>
      <c r="C5" s="4">
        <f>+Tabla5[[#This Row],[FECHA]]</f>
        <v>44818</v>
      </c>
      <c r="D5" s="37">
        <v>0.33333333333333331</v>
      </c>
      <c r="E5" s="37">
        <v>0.34027777777777773</v>
      </c>
      <c r="F5" s="37">
        <v>0.34722222222222227</v>
      </c>
      <c r="G5" s="37">
        <v>0.53819444444444442</v>
      </c>
      <c r="H5" s="37">
        <v>0.54513888888888895</v>
      </c>
      <c r="I5" s="37">
        <v>0.56944444444444442</v>
      </c>
      <c r="J5" s="46">
        <v>0.65972222222222199</v>
      </c>
      <c r="K5" s="47"/>
      <c r="M5" s="5"/>
      <c r="N5" s="5" t="s">
        <v>16</v>
      </c>
      <c r="O5" s="4">
        <f>Tabla5383940414243[[#This Row],[FECHA]]</f>
        <v>44818</v>
      </c>
      <c r="P5" s="7">
        <f>D5</f>
        <v>0.33333333333333331</v>
      </c>
      <c r="Q5" s="7">
        <f t="shared" si="0"/>
        <v>6.9444444444444198E-3</v>
      </c>
      <c r="R5" s="7">
        <f t="shared" si="0"/>
        <v>6.9444444444445308E-3</v>
      </c>
      <c r="S5" s="7">
        <f t="shared" si="0"/>
        <v>0.19097222222222215</v>
      </c>
      <c r="T5" s="7">
        <f>+Tabla5383940414243[[#This Row],[ALMUERZO]]-Tabla5383940414243[[#This Row],[TERMINO ACT. AM]]</f>
        <v>6.9444444444445308E-3</v>
      </c>
      <c r="U5" s="7">
        <f>+Tabla5383940414243[[#This Row],[INICIO ACTIVIDADES PM]]-Tabla5383940414243[[#This Row],[ALMUERZO]]</f>
        <v>2.4305555555555469E-2</v>
      </c>
      <c r="V5" s="7">
        <f>+Tabla5383940414243[[#This Row],[TERMINO ACTIVIDADES PM]]-Tabla5383940414243[[#This Row],[INICIO ACTIVIDADES PM]]</f>
        <v>9.0277777777777568E-2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96.75" x14ac:dyDescent="0.25">
      <c r="A6" s="12" t="s">
        <v>100</v>
      </c>
      <c r="B6" s="12" t="s">
        <v>28</v>
      </c>
      <c r="C6" s="4">
        <f>+Tabla5[[#This Row],[FECHA]]</f>
        <v>44819</v>
      </c>
      <c r="D6" s="37">
        <v>0.42222222222222222</v>
      </c>
      <c r="E6" s="37">
        <v>0.4291666666666667</v>
      </c>
      <c r="F6" s="37">
        <v>0.43402777777777773</v>
      </c>
      <c r="G6" s="37">
        <v>0.53125</v>
      </c>
      <c r="H6" s="37">
        <v>0.53819444444444442</v>
      </c>
      <c r="I6" s="37">
        <v>0.56597222222222221</v>
      </c>
      <c r="J6" s="46">
        <v>0.65972222222222199</v>
      </c>
      <c r="K6" s="47" t="s">
        <v>130</v>
      </c>
      <c r="M6" s="5"/>
      <c r="N6" s="5" t="s">
        <v>17</v>
      </c>
      <c r="O6" s="4">
        <f>Tabla5383940414243[[#This Row],[FECHA]]</f>
        <v>44819</v>
      </c>
      <c r="P6" s="7">
        <f>D6</f>
        <v>0.42222222222222222</v>
      </c>
      <c r="Q6" s="7">
        <f t="shared" si="0"/>
        <v>6.9444444444444753E-3</v>
      </c>
      <c r="R6" s="7">
        <f t="shared" si="0"/>
        <v>4.8611111111110383E-3</v>
      </c>
      <c r="S6" s="7">
        <f t="shared" si="0"/>
        <v>9.7222222222222265E-2</v>
      </c>
      <c r="T6" s="7">
        <f>+Tabla5383940414243[[#This Row],[ALMUERZO]]-Tabla5383940414243[[#This Row],[TERMINO ACT. AM]]</f>
        <v>6.9444444444444198E-3</v>
      </c>
      <c r="U6" s="7">
        <f>+Tabla5383940414243[[#This Row],[INICIO ACTIVIDADES PM]]-Tabla5383940414243[[#This Row],[ALMUERZO]]</f>
        <v>2.777777777777779E-2</v>
      </c>
      <c r="V6" s="7">
        <f>+Tabla5383940414243[[#This Row],[TERMINO ACTIVIDADES PM]]-Tabla5383940414243[[#This Row],[INICIO ACTIVIDADES PM]]</f>
        <v>9.3749999999999778E-2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100</v>
      </c>
      <c r="B7" s="12" t="s">
        <v>38</v>
      </c>
      <c r="C7" s="4">
        <f>+Tabla5[[#This Row],[FECHA]]</f>
        <v>44820</v>
      </c>
      <c r="D7" s="37"/>
      <c r="E7" s="37"/>
      <c r="F7" s="37"/>
      <c r="G7" s="37"/>
      <c r="H7" s="37"/>
      <c r="I7" s="37"/>
      <c r="J7" s="46"/>
      <c r="K7" s="47"/>
      <c r="M7" s="5"/>
      <c r="N7" s="5" t="s">
        <v>18</v>
      </c>
      <c r="O7" s="4">
        <f>Tabla5383940414243[[#This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+Tabla5383940414243[[#This Row],[ALMUERZO]]-Tabla5383940414243[[#This Row],[TERMINO ACT. AM]]</f>
        <v>0</v>
      </c>
      <c r="U7" s="7">
        <f>+Tabla5383940414243[[#This Row],[INICIO ACTIVIDADES PM]]-Tabla5383940414243[[#This Row],[ALMUERZO]]</f>
        <v>0</v>
      </c>
      <c r="V7" s="7">
        <f>+Tabla5383940414243[[#This Row],[TERMINO ACTIVIDADES PM]]-Tabla5383940414243[[#This Row],[INICIO ACTIVIDADES PM]]</f>
        <v>0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0.28263888888888899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0.29166666666666657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0.28124999999999972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0.19097222222222204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0.26163194444444438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0.89702380952380922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7" t="s">
        <v>105</v>
      </c>
      <c r="J27" s="178" t="s">
        <v>103</v>
      </c>
      <c r="T27" s="3"/>
    </row>
    <row r="28" spans="1:20" ht="15.6" customHeight="1" x14ac:dyDescent="0.25">
      <c r="I28" s="177"/>
      <c r="J28" s="179"/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F9" sqref="F9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87</v>
      </c>
      <c r="B3" s="12" t="s">
        <v>37</v>
      </c>
      <c r="C3" s="4">
        <f>+Tabla5[[#This Row],[FECHA]]</f>
        <v>44816</v>
      </c>
      <c r="D3" s="37">
        <v>0.33333333333333331</v>
      </c>
      <c r="E3" s="37">
        <v>0.34722222222222227</v>
      </c>
      <c r="F3" s="37">
        <v>0.36805555555555558</v>
      </c>
      <c r="G3" s="46">
        <v>0.60763888888888895</v>
      </c>
      <c r="H3" s="46">
        <v>0.61805555555555558</v>
      </c>
      <c r="I3" s="46">
        <v>0.64930555555555558</v>
      </c>
      <c r="J3" s="46">
        <v>0.65972222222222221</v>
      </c>
      <c r="K3" s="47"/>
      <c r="L3" s="53"/>
      <c r="M3" s="53"/>
      <c r="N3" s="57" t="s">
        <v>15</v>
      </c>
      <c r="O3" s="4">
        <f>Tabla538394041424344[[#This Row],[FECHA]]</f>
        <v>44816</v>
      </c>
      <c r="P3" s="7">
        <f>D3</f>
        <v>0.33333333333333331</v>
      </c>
      <c r="Q3" s="7">
        <f>E3-D3</f>
        <v>1.3888888888888951E-2</v>
      </c>
      <c r="R3" s="7">
        <f>F3-E3</f>
        <v>2.0833333333333315E-2</v>
      </c>
      <c r="S3" s="7">
        <f>G3-F3</f>
        <v>0.23958333333333337</v>
      </c>
      <c r="T3" s="7">
        <f>+Tabla538394041424344[[#This Row],[ALMUERZO]]-Tabla538394041424344[[#This Row],[TERMINO ACT. AM]]</f>
        <v>1.041666666666663E-2</v>
      </c>
      <c r="U3" s="7">
        <f>+Tabla538394041424344[[#This Row],[INICIO ACTIVIDADES PM]]-Tabla538394041424344[[#This Row],[ALMUERZO]]</f>
        <v>3.125E-2</v>
      </c>
      <c r="V3" s="7">
        <f>+Tabla538394041424344[[#This Row],[TERMINO ACTIVIDADES PM]]-Tabla538394041424344[[#This Row],[INICIO ACTIVIDADES PM]]</f>
        <v>1.041666666666663E-2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25">
      <c r="A4" s="12" t="s">
        <v>87</v>
      </c>
      <c r="B4" s="12" t="s">
        <v>26</v>
      </c>
      <c r="C4" s="4">
        <f>+Tabla5[[#This Row],[FECHA]]</f>
        <v>44817</v>
      </c>
      <c r="D4" s="37">
        <v>0.33333333333333331</v>
      </c>
      <c r="E4" s="37">
        <v>0.34722222222222227</v>
      </c>
      <c r="F4" s="37">
        <v>0.36458333333333331</v>
      </c>
      <c r="G4" s="46">
        <v>0.59375</v>
      </c>
      <c r="H4" s="46">
        <v>0.60416666666666663</v>
      </c>
      <c r="I4" s="46">
        <v>0.63541666666666663</v>
      </c>
      <c r="J4" s="46">
        <v>0.65972222222222221</v>
      </c>
      <c r="K4" s="47"/>
      <c r="M4" s="5"/>
      <c r="N4" s="5" t="s">
        <v>16</v>
      </c>
      <c r="O4" s="4">
        <f>Tabla538394041424344[[#This Row],[FECHA]]</f>
        <v>44817</v>
      </c>
      <c r="P4" s="7">
        <f>D4</f>
        <v>0.33333333333333331</v>
      </c>
      <c r="Q4" s="7">
        <f t="shared" ref="Q4:S7" si="0">E4-D4</f>
        <v>1.3888888888888951E-2</v>
      </c>
      <c r="R4" s="7">
        <f t="shared" si="0"/>
        <v>1.7361111111111049E-2</v>
      </c>
      <c r="S4" s="7">
        <f t="shared" si="0"/>
        <v>0.22916666666666669</v>
      </c>
      <c r="T4" s="7">
        <f>+Tabla538394041424344[[#This Row],[ALMUERZO]]-Tabla538394041424344[[#This Row],[TERMINO ACT. AM]]</f>
        <v>1.041666666666663E-2</v>
      </c>
      <c r="U4" s="7">
        <f>+Tabla538394041424344[[#This Row],[INICIO ACTIVIDADES PM]]-Tabla538394041424344[[#This Row],[ALMUERZO]]</f>
        <v>3.125E-2</v>
      </c>
      <c r="V4" s="7">
        <f>+Tabla538394041424344[[#This Row],[TERMINO ACTIVIDADES PM]]-Tabla538394041424344[[#This Row],[INICIO ACTIVIDADES PM]]</f>
        <v>2.430555555555558E-2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25">
      <c r="A5" s="12" t="s">
        <v>87</v>
      </c>
      <c r="B5" s="12" t="s">
        <v>27</v>
      </c>
      <c r="C5" s="4">
        <f>+Tabla5[[#This Row],[FECHA]]</f>
        <v>44818</v>
      </c>
      <c r="D5" s="37">
        <v>0.33333333333333331</v>
      </c>
      <c r="E5" s="37">
        <v>0.34375</v>
      </c>
      <c r="F5" s="37">
        <v>0.3659722222222222</v>
      </c>
      <c r="G5" s="46">
        <v>0.61458333333333337</v>
      </c>
      <c r="H5" s="46">
        <v>0.625</v>
      </c>
      <c r="I5" s="46">
        <v>0.64930555555555558</v>
      </c>
      <c r="J5" s="46">
        <v>0.65972222222222221</v>
      </c>
      <c r="K5" s="47"/>
      <c r="M5" s="5"/>
      <c r="N5" s="5" t="s">
        <v>16</v>
      </c>
      <c r="O5" s="4">
        <f>Tabla538394041424344[[#This Row],[FECHA]]</f>
        <v>44818</v>
      </c>
      <c r="P5" s="7">
        <f>D5</f>
        <v>0.33333333333333331</v>
      </c>
      <c r="Q5" s="7">
        <f t="shared" si="0"/>
        <v>1.0416666666666685E-2</v>
      </c>
      <c r="R5" s="7">
        <f t="shared" si="0"/>
        <v>2.2222222222222199E-2</v>
      </c>
      <c r="S5" s="7">
        <f t="shared" si="0"/>
        <v>0.24861111111111117</v>
      </c>
      <c r="T5" s="7">
        <f>+Tabla538394041424344[[#This Row],[ALMUERZO]]-Tabla538394041424344[[#This Row],[TERMINO ACT. AM]]</f>
        <v>1.041666666666663E-2</v>
      </c>
      <c r="U5" s="7">
        <f>+Tabla538394041424344[[#This Row],[INICIO ACTIVIDADES PM]]-Tabla538394041424344[[#This Row],[ALMUERZO]]</f>
        <v>2.430555555555558E-2</v>
      </c>
      <c r="V5" s="7">
        <f>+Tabla538394041424344[[#This Row],[TERMINO ACTIVIDADES PM]]-Tabla538394041424344[[#This Row],[INICIO ACTIVIDADES PM]]</f>
        <v>1.041666666666663E-2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ht="48.75" x14ac:dyDescent="0.25">
      <c r="A6" s="12" t="s">
        <v>87</v>
      </c>
      <c r="B6" s="12" t="s">
        <v>28</v>
      </c>
      <c r="C6" s="4">
        <f>+Tabla5[[#This Row],[FECHA]]</f>
        <v>44819</v>
      </c>
      <c r="D6" s="37">
        <v>0.38541666666666669</v>
      </c>
      <c r="E6" s="37">
        <v>0.3923611111111111</v>
      </c>
      <c r="F6" s="37">
        <v>0.39930555555555558</v>
      </c>
      <c r="G6" s="46">
        <v>0.60763888888888895</v>
      </c>
      <c r="H6" s="37">
        <v>0.61458333333333337</v>
      </c>
      <c r="I6" s="46">
        <v>0.63541666666666663</v>
      </c>
      <c r="J6" s="46">
        <v>0.65972222222222199</v>
      </c>
      <c r="K6" s="47" t="s">
        <v>129</v>
      </c>
      <c r="M6" s="5"/>
      <c r="N6" s="5" t="s">
        <v>17</v>
      </c>
      <c r="O6" s="4">
        <f>Tabla538394041424344[[#This Row],[FECHA]]</f>
        <v>44819</v>
      </c>
      <c r="P6" s="7">
        <f>D6</f>
        <v>0.38541666666666669</v>
      </c>
      <c r="Q6" s="7">
        <f t="shared" si="0"/>
        <v>6.9444444444444198E-3</v>
      </c>
      <c r="R6" s="7">
        <f t="shared" si="0"/>
        <v>6.9444444444444753E-3</v>
      </c>
      <c r="S6" s="7">
        <f t="shared" si="0"/>
        <v>0.20833333333333337</v>
      </c>
      <c r="T6" s="7">
        <f>+Tabla538394041424344[[#This Row],[ALMUERZO]]-Tabla538394041424344[[#This Row],[TERMINO ACT. AM]]</f>
        <v>6.9444444444444198E-3</v>
      </c>
      <c r="U6" s="7">
        <f>+Tabla538394041424344[[#This Row],[INICIO ACTIVIDADES PM]]-Tabla538394041424344[[#This Row],[ALMUERZO]]</f>
        <v>2.0833333333333259E-2</v>
      </c>
      <c r="V6" s="7">
        <f>+Tabla538394041424344[[#This Row],[TERMINO ACTIVIDADES PM]]-Tabla538394041424344[[#This Row],[INICIO ACTIVIDADES PM]]</f>
        <v>2.4305555555555358E-2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25">
      <c r="A7" s="12" t="s">
        <v>87</v>
      </c>
      <c r="B7" s="12" t="s">
        <v>38</v>
      </c>
      <c r="C7" s="4">
        <f>+Tabla5[[#This Row],[FECHA]]</f>
        <v>44820</v>
      </c>
      <c r="D7" s="37"/>
      <c r="E7" s="37"/>
      <c r="F7" s="37"/>
      <c r="G7" s="46"/>
      <c r="H7" s="46"/>
      <c r="I7" s="46"/>
      <c r="J7" s="46"/>
      <c r="K7" s="47"/>
      <c r="M7" s="5"/>
      <c r="N7" s="5" t="s">
        <v>18</v>
      </c>
      <c r="O7" s="4">
        <f>Tabla538394041424344[[#This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+Tabla538394041424344[[#This Row],[ALMUERZO]]-Tabla538394041424344[[#This Row],[TERMINO ACT. AM]]</f>
        <v>0</v>
      </c>
      <c r="U7" s="7">
        <f>+Tabla538394041424344[[#This Row],[INICIO ACTIVIDADES PM]]-Tabla538394041424344[[#This Row],[ALMUERZO]]</f>
        <v>0</v>
      </c>
      <c r="V7" s="7">
        <f>+Tabla538394041424344[[#This Row],[TERMINO ACTIVIDADES PM]]-Tabla538394041424344[[#This Row],[INICIO ACTIVIDADES PM]]</f>
        <v>0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0.25347222222222227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0.2590277777777778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0.23263888888888873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0.24878472222222223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0.99513888888888891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7" t="s">
        <v>105</v>
      </c>
      <c r="J27" s="178" t="s">
        <v>103</v>
      </c>
      <c r="T27" s="3"/>
    </row>
    <row r="28" spans="1:20" ht="15.6" customHeight="1" x14ac:dyDescent="0.25">
      <c r="I28" s="177"/>
      <c r="J28" s="179"/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80"/>
      <c r="T30" s="3"/>
    </row>
    <row r="31" spans="1:20" x14ac:dyDescent="0.25">
      <c r="T31" s="3"/>
    </row>
    <row r="32" spans="1:20" x14ac:dyDescent="0.25">
      <c r="T32" s="3"/>
    </row>
    <row r="33" spans="11:20" ht="15.6" customHeight="1" x14ac:dyDescent="0.25">
      <c r="T33" s="3"/>
    </row>
    <row r="34" spans="11:20" x14ac:dyDescent="0.25">
      <c r="K34" s="84"/>
      <c r="T34" s="3"/>
    </row>
    <row r="35" spans="11:20" x14ac:dyDescent="0.25">
      <c r="T35" s="3"/>
    </row>
    <row r="36" spans="11:20" x14ac:dyDescent="0.25">
      <c r="T36" s="3"/>
    </row>
    <row r="37" spans="11:20" x14ac:dyDescent="0.25">
      <c r="T37" s="3"/>
    </row>
    <row r="38" spans="11:20" x14ac:dyDescent="0.25">
      <c r="T38" s="3"/>
    </row>
    <row r="39" spans="11:20" x14ac:dyDescent="0.25">
      <c r="T39" s="3"/>
    </row>
    <row r="40" spans="11:20" x14ac:dyDescent="0.25">
      <c r="T40" s="3"/>
    </row>
    <row r="41" spans="11:20" x14ac:dyDescent="0.25">
      <c r="T41" s="3"/>
    </row>
    <row r="42" spans="11:20" x14ac:dyDescent="0.25">
      <c r="T42" s="3"/>
    </row>
    <row r="43" spans="11:20" x14ac:dyDescent="0.25">
      <c r="T43" s="3"/>
    </row>
    <row r="44" spans="11:20" x14ac:dyDescent="0.25">
      <c r="T44" s="3"/>
    </row>
    <row r="45" spans="11:20" x14ac:dyDescent="0.25">
      <c r="T45" s="3"/>
    </row>
    <row r="46" spans="11:20" x14ac:dyDescent="0.25">
      <c r="T46" s="3"/>
    </row>
    <row r="47" spans="11:20" x14ac:dyDescent="0.25">
      <c r="T47" s="3"/>
    </row>
    <row r="48" spans="11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K7" sqref="K7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44816</v>
      </c>
      <c r="D3" s="37">
        <v>0.33680555555555558</v>
      </c>
      <c r="E3" s="37">
        <v>0.3611111111111111</v>
      </c>
      <c r="F3" s="37">
        <v>0.36458333333333331</v>
      </c>
      <c r="G3" s="37">
        <v>0.50069444444444444</v>
      </c>
      <c r="H3" s="37">
        <v>0.50694444444444442</v>
      </c>
      <c r="I3" s="37">
        <v>0.53125</v>
      </c>
      <c r="J3" s="46">
        <v>0.65625</v>
      </c>
      <c r="K3" s="47"/>
      <c r="L3" s="53"/>
      <c r="M3" s="53"/>
      <c r="N3" s="57" t="s">
        <v>15</v>
      </c>
      <c r="O3" s="4">
        <f>Tabla5383940414243444546[[#This Row],[FECHA]]</f>
        <v>44816</v>
      </c>
      <c r="P3" s="7">
        <f>D3</f>
        <v>0.33680555555555558</v>
      </c>
      <c r="Q3" s="7">
        <f>E3-D3</f>
        <v>2.4305555555555525E-2</v>
      </c>
      <c r="R3" s="7">
        <f>F3-E3</f>
        <v>3.4722222222222099E-3</v>
      </c>
      <c r="S3" s="7">
        <f>G3-F3</f>
        <v>0.13611111111111113</v>
      </c>
      <c r="T3" s="7">
        <f>+Tabla5383940414243444546[[#This Row],[ALMUERZO]]-Tabla5383940414243444546[[#This Row],[TERMINO ACT. AM]]</f>
        <v>6.2499999999999778E-3</v>
      </c>
      <c r="U3" s="7">
        <f>+Tabla5383940414243444546[[#This Row],[INICIO ACTIVIDADES PM]]-Tabla5383940414243444546[[#This Row],[ALMUERZO]]</f>
        <v>2.430555555555558E-2</v>
      </c>
      <c r="V3" s="7">
        <f>+Tabla5383940414243444546[[#This Row],[TERMINO ACTIVIDADES PM]]-Tabla5383940414243444546[[#This Row],[INICIO ACTIVIDADES PM]]</f>
        <v>0.125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44817</v>
      </c>
      <c r="D4" s="37">
        <v>0.30694444444444441</v>
      </c>
      <c r="E4" s="37">
        <v>0.31875000000000003</v>
      </c>
      <c r="F4" s="37">
        <v>0.35416666666666669</v>
      </c>
      <c r="G4" s="37">
        <v>0.49652777777777773</v>
      </c>
      <c r="H4" s="37">
        <v>0.5</v>
      </c>
      <c r="I4" s="37">
        <v>0.53611111111111109</v>
      </c>
      <c r="J4" s="46">
        <v>0.65277777777777779</v>
      </c>
      <c r="K4" s="47"/>
      <c r="M4" s="5"/>
      <c r="N4" s="5" t="s">
        <v>16</v>
      </c>
      <c r="O4" s="4">
        <f>Tabla5383940414243444546[[#This Row],[FECHA]]</f>
        <v>44817</v>
      </c>
      <c r="P4" s="7">
        <f>D4</f>
        <v>0.30694444444444441</v>
      </c>
      <c r="Q4" s="7">
        <f t="shared" ref="Q4:S7" si="0">E4-D4</f>
        <v>1.1805555555555625E-2</v>
      </c>
      <c r="R4" s="7">
        <f t="shared" si="0"/>
        <v>3.5416666666666652E-2</v>
      </c>
      <c r="S4" s="7">
        <f t="shared" si="0"/>
        <v>0.14236111111111105</v>
      </c>
      <c r="T4" s="7">
        <f>+Tabla5383940414243444546[[#This Row],[ALMUERZO]]-Tabla5383940414243444546[[#This Row],[TERMINO ACT. AM]]</f>
        <v>3.4722222222222654E-3</v>
      </c>
      <c r="U4" s="7">
        <f>+Tabla5383940414243444546[[#This Row],[INICIO ACTIVIDADES PM]]-Tabla5383940414243444546[[#This Row],[ALMUERZO]]</f>
        <v>3.6111111111111094E-2</v>
      </c>
      <c r="V4" s="7">
        <f>+Tabla5383940414243444546[[#This Row],[TERMINO ACTIVIDADES PM]]-Tabla5383940414243444546[[#This Row],[INICIO ACTIVIDADES PM]]</f>
        <v>0.1166666666666667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44818</v>
      </c>
      <c r="D5" s="37">
        <v>0.31180555555555556</v>
      </c>
      <c r="E5" s="37">
        <v>0.32500000000000001</v>
      </c>
      <c r="F5" s="37">
        <v>0.33680555555555558</v>
      </c>
      <c r="G5" s="37">
        <v>0.50277777777777777</v>
      </c>
      <c r="H5" s="37">
        <v>0.51041666666666663</v>
      </c>
      <c r="I5" s="37">
        <v>0.54513888888888895</v>
      </c>
      <c r="J5" s="46">
        <v>0.65277777777777779</v>
      </c>
      <c r="K5" s="47"/>
      <c r="M5" s="5"/>
      <c r="N5" s="5" t="s">
        <v>16</v>
      </c>
      <c r="O5" s="4">
        <f>Tabla5383940414243444546[[#This Row],[FECHA]]</f>
        <v>44818</v>
      </c>
      <c r="P5" s="7">
        <f>D5</f>
        <v>0.31180555555555556</v>
      </c>
      <c r="Q5" s="7">
        <f t="shared" si="0"/>
        <v>1.3194444444444453E-2</v>
      </c>
      <c r="R5" s="7">
        <f t="shared" si="0"/>
        <v>1.1805555555555569E-2</v>
      </c>
      <c r="S5" s="7">
        <f t="shared" si="0"/>
        <v>0.16597222222222219</v>
      </c>
      <c r="T5" s="7">
        <f>+Tabla5383940414243444546[[#This Row],[ALMUERZO]]-Tabla5383940414243444546[[#This Row],[TERMINO ACT. AM]]</f>
        <v>7.6388888888888618E-3</v>
      </c>
      <c r="U5" s="7">
        <f>+Tabla5383940414243444546[[#This Row],[INICIO ACTIVIDADES PM]]-Tabla5383940414243444546[[#This Row],[ALMUERZO]]</f>
        <v>3.4722222222222321E-2</v>
      </c>
      <c r="V5" s="7">
        <f>+Tabla5383940414243444546[[#This Row],[TERMINO ACTIVIDADES PM]]-Tabla5383940414243444546[[#This Row],[INICIO ACTIVIDADES PM]]</f>
        <v>0.10763888888888884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36.75" x14ac:dyDescent="0.25">
      <c r="A6" s="12" t="s">
        <v>99</v>
      </c>
      <c r="B6" s="12" t="s">
        <v>28</v>
      </c>
      <c r="C6" s="4">
        <f>+Tabla5[[#This Row],[FECHA]]</f>
        <v>44819</v>
      </c>
      <c r="D6" s="37">
        <v>0.44097222222222227</v>
      </c>
      <c r="E6" s="37">
        <v>0.44791666666666669</v>
      </c>
      <c r="F6" s="37">
        <v>0.4548611111111111</v>
      </c>
      <c r="G6" s="37">
        <v>0.50694444444444442</v>
      </c>
      <c r="H6" s="37">
        <v>0.51388888888888895</v>
      </c>
      <c r="I6" s="37">
        <v>0.54513888888888895</v>
      </c>
      <c r="J6" s="46">
        <v>0.64930555555555558</v>
      </c>
      <c r="K6" s="47" t="s">
        <v>131</v>
      </c>
      <c r="M6" s="5"/>
      <c r="N6" s="5" t="s">
        <v>17</v>
      </c>
      <c r="O6" s="4">
        <f>Tabla5383940414243444546[[#This Row],[FECHA]]</f>
        <v>44819</v>
      </c>
      <c r="P6" s="7">
        <f>D6</f>
        <v>0.44097222222222227</v>
      </c>
      <c r="Q6" s="7">
        <f t="shared" si="0"/>
        <v>6.9444444444444198E-3</v>
      </c>
      <c r="R6" s="7">
        <f t="shared" si="0"/>
        <v>6.9444444444444198E-3</v>
      </c>
      <c r="S6" s="7">
        <f t="shared" si="0"/>
        <v>5.2083333333333315E-2</v>
      </c>
      <c r="T6" s="7">
        <f>+Tabla5383940414243444546[[#This Row],[ALMUERZO]]-Tabla5383940414243444546[[#This Row],[TERMINO ACT. AM]]</f>
        <v>6.9444444444445308E-3</v>
      </c>
      <c r="U6" s="7">
        <f>+Tabla5383940414243444546[[#This Row],[INICIO ACTIVIDADES PM]]-Tabla5383940414243444546[[#This Row],[ALMUERZO]]</f>
        <v>3.125E-2</v>
      </c>
      <c r="V6" s="7">
        <f>+Tabla5383940414243444546[[#This Row],[TERMINO ACTIVIDADES PM]]-Tabla5383940414243444546[[#This Row],[INICIO ACTIVIDADES PM]]</f>
        <v>0.10416666666666663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44820</v>
      </c>
      <c r="D7" s="37"/>
      <c r="E7" s="37"/>
      <c r="F7" s="37"/>
      <c r="G7" s="37"/>
      <c r="H7" s="37"/>
      <c r="I7" s="37"/>
      <c r="J7" s="46"/>
      <c r="K7" s="47"/>
      <c r="M7" s="5"/>
      <c r="N7" s="5" t="s">
        <v>18</v>
      </c>
      <c r="O7" s="4">
        <f>Tabla5383940414243444546[[#This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+Tabla5383940414243444546[[#This Row],[ALMUERZO]]-Tabla5383940414243444546[[#This Row],[TERMINO ACT. AM]]</f>
        <v>0</v>
      </c>
      <c r="U7" s="7">
        <f>+Tabla5383940414243444546[[#This Row],[INICIO ACTIVIDADES PM]]-Tabla5383940414243444546[[#This Row],[ALMUERZO]]</f>
        <v>0</v>
      </c>
      <c r="V7" s="7">
        <f>+Tabla5383940414243444546[[#This Row],[TERMINO ACTIVIDADES PM]]-Tabla5383940414243444546[[#This Row],[INICIO ACTIVIDADES PM]]</f>
        <v>0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0.26111111111111113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0.25902777777777775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0.27361111111111103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0.15624999999999994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0.23749999999999999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0.95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7" t="s">
        <v>105</v>
      </c>
      <c r="J27" s="178" t="s">
        <v>103</v>
      </c>
      <c r="T27" s="3"/>
    </row>
    <row r="28" spans="1:20" ht="15.6" customHeight="1" x14ac:dyDescent="0.25">
      <c r="I28" s="177"/>
      <c r="J28" s="179"/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C5" sqref="C5:C15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70" t="s">
        <v>65</v>
      </c>
      <c r="C2" s="71">
        <f>+'TTE 7'!G21</f>
        <v>0.24878472222222223</v>
      </c>
      <c r="D2" s="69">
        <f t="shared" ref="D2:D9" si="0">+C2/$C$17</f>
        <v>0.99513888888888891</v>
      </c>
      <c r="F2" s="79"/>
    </row>
    <row r="3" spans="2:16" x14ac:dyDescent="0.25">
      <c r="B3" s="72" t="s">
        <v>56</v>
      </c>
      <c r="C3" s="73">
        <f>+'SUB 6'!G21</f>
        <v>0.24079861111111098</v>
      </c>
      <c r="D3" s="69">
        <f t="shared" si="0"/>
        <v>0.96319444444444391</v>
      </c>
      <c r="F3" s="79"/>
    </row>
    <row r="4" spans="2:16" x14ac:dyDescent="0.25">
      <c r="B4" s="72" t="s">
        <v>55</v>
      </c>
      <c r="C4" s="73">
        <f>+'SUB 5'!G21</f>
        <v>0.24045138888888878</v>
      </c>
      <c r="D4" s="69">
        <f t="shared" si="0"/>
        <v>0.96180555555555514</v>
      </c>
      <c r="F4" s="79"/>
    </row>
    <row r="5" spans="2:16" x14ac:dyDescent="0.25">
      <c r="B5" s="72" t="s">
        <v>54</v>
      </c>
      <c r="C5" s="73">
        <f>+'TTE 6 '!G21</f>
        <v>0.2401041666666664</v>
      </c>
      <c r="D5" s="69">
        <f t="shared" si="0"/>
        <v>0.96041666666666559</v>
      </c>
      <c r="F5" s="79"/>
    </row>
    <row r="6" spans="2:16" x14ac:dyDescent="0.25">
      <c r="B6" s="72" t="s">
        <v>58</v>
      </c>
      <c r="C6" s="73">
        <f>+DIABLO!G21</f>
        <v>0.23923611111111109</v>
      </c>
      <c r="D6" s="69">
        <f t="shared" si="0"/>
        <v>0.95694444444444438</v>
      </c>
      <c r="F6" s="79"/>
    </row>
    <row r="7" spans="2:16" x14ac:dyDescent="0.25">
      <c r="B7" s="72" t="s">
        <v>57</v>
      </c>
      <c r="C7" s="73">
        <f>+'PIPA N'!G21</f>
        <v>0.24149305555555556</v>
      </c>
      <c r="D7" s="69">
        <f t="shared" si="0"/>
        <v>0.96597222222222223</v>
      </c>
      <c r="F7" s="79"/>
    </row>
    <row r="8" spans="2:16" x14ac:dyDescent="0.25">
      <c r="B8" s="72" t="s">
        <v>66</v>
      </c>
      <c r="C8" s="73">
        <f>+'CH colon'!G21</f>
        <v>0.23749999999999999</v>
      </c>
      <c r="D8" s="69">
        <f t="shared" si="0"/>
        <v>0.95</v>
      </c>
      <c r="F8" s="79"/>
    </row>
    <row r="9" spans="2:16" x14ac:dyDescent="0.25">
      <c r="B9" s="74" t="s">
        <v>92</v>
      </c>
      <c r="C9" s="73">
        <f>+Salvataje!G21</f>
        <v>0.24045138888888884</v>
      </c>
      <c r="D9" s="69">
        <f t="shared" si="0"/>
        <v>0.96180555555555536</v>
      </c>
      <c r="F9" s="79"/>
    </row>
    <row r="10" spans="2:16" x14ac:dyDescent="0.25">
      <c r="B10" s="72" t="s">
        <v>64</v>
      </c>
      <c r="C10" s="73">
        <f>+'LA JUNTA'!G21</f>
        <v>0.26163194444444438</v>
      </c>
      <c r="D10" s="69">
        <f>+C10/$C$19</f>
        <v>0.89702380952380922</v>
      </c>
      <c r="F10" s="79"/>
    </row>
    <row r="11" spans="2:16" x14ac:dyDescent="0.25">
      <c r="B11" s="72" t="s">
        <v>62</v>
      </c>
      <c r="C11" s="73">
        <f>+AC!G21</f>
        <v>0.24878472222222217</v>
      </c>
      <c r="D11" s="69">
        <f>+C11/$C$17</f>
        <v>0.99513888888888868</v>
      </c>
      <c r="F11" s="79"/>
      <c r="P11" s="80"/>
    </row>
    <row r="12" spans="2:16" x14ac:dyDescent="0.25">
      <c r="B12" s="72" t="s">
        <v>63</v>
      </c>
      <c r="C12" s="73">
        <f>+Colec!G21</f>
        <v>0.24635416666666665</v>
      </c>
      <c r="D12" s="69">
        <f>+C12/$C$17</f>
        <v>0.98541666666666661</v>
      </c>
      <c r="F12" s="79"/>
    </row>
    <row r="13" spans="2:16" x14ac:dyDescent="0.25">
      <c r="B13" s="72" t="s">
        <v>61</v>
      </c>
      <c r="C13" s="73">
        <f>+'P M'!G21</f>
        <v>0.24687500000000001</v>
      </c>
      <c r="D13" s="69">
        <f>+C13/$C$17</f>
        <v>0.98750000000000004</v>
      </c>
      <c r="F13" s="79"/>
    </row>
    <row r="14" spans="2:16" x14ac:dyDescent="0.25">
      <c r="B14" s="72" t="s">
        <v>60</v>
      </c>
      <c r="C14" s="73">
        <f>+'Vent '!G21</f>
        <v>0.24739583333333334</v>
      </c>
      <c r="D14" s="69">
        <f>+C14/$C$17</f>
        <v>0.98958333333333337</v>
      </c>
      <c r="F14" s="79"/>
    </row>
    <row r="15" spans="2:16" x14ac:dyDescent="0.25">
      <c r="B15" s="72" t="s">
        <v>59</v>
      </c>
      <c r="C15" s="73">
        <f>+ACCU!G21</f>
        <v>0.43211805555555544</v>
      </c>
      <c r="D15" s="69">
        <f>+C15/$C$18</f>
        <v>1.0200819672131145</v>
      </c>
      <c r="F15" s="79"/>
    </row>
    <row r="16" spans="2:16" x14ac:dyDescent="0.25">
      <c r="B16" s="72" t="s">
        <v>51</v>
      </c>
      <c r="C16" s="73">
        <f>AVERAGE(C2:C15)</f>
        <v>0.25799851190476186</v>
      </c>
    </row>
    <row r="17" spans="2:4" x14ac:dyDescent="0.25">
      <c r="B17" s="72" t="s">
        <v>52</v>
      </c>
      <c r="C17" s="73">
        <v>0.25</v>
      </c>
      <c r="D17" s="55">
        <f>+AVERAGE(D2:D16)</f>
        <v>0.97071588881454218</v>
      </c>
    </row>
    <row r="18" spans="2:4" x14ac:dyDescent="0.25">
      <c r="B18" s="72" t="s">
        <v>75</v>
      </c>
      <c r="C18" s="73">
        <v>0.4236111111111111</v>
      </c>
    </row>
    <row r="19" spans="2:4" ht="16.5" thickBot="1" x14ac:dyDescent="0.3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K10" sqref="K10:M10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thickBot="1" x14ac:dyDescent="0.3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7.25" thickTop="1" thickBot="1" x14ac:dyDescent="0.3">
      <c r="A4" s="87" t="s">
        <v>106</v>
      </c>
      <c r="B4" s="192">
        <f>+'TTE 6 '!C3</f>
        <v>44816</v>
      </c>
      <c r="C4" s="193"/>
      <c r="D4" s="193"/>
      <c r="E4" s="194">
        <f>+'TTE 6 '!C4</f>
        <v>44817</v>
      </c>
      <c r="F4" s="195"/>
      <c r="G4" s="195"/>
      <c r="H4" s="196">
        <f>+'TTE 6 '!C5</f>
        <v>44818</v>
      </c>
      <c r="I4" s="197"/>
      <c r="J4" s="198"/>
      <c r="K4" s="194">
        <f>+'TTE 6 '!C6</f>
        <v>44819</v>
      </c>
      <c r="L4" s="195"/>
      <c r="M4" s="195"/>
      <c r="N4" s="186">
        <f>+'TTE 6 '!C7</f>
        <v>44820</v>
      </c>
      <c r="O4" s="187"/>
      <c r="P4" s="199"/>
      <c r="Q4" s="194">
        <f>+'TTE 6 '!C8</f>
        <v>44821</v>
      </c>
      <c r="R4" s="195"/>
      <c r="S4" s="195"/>
      <c r="T4" s="186">
        <f>+'TTE 6 '!C9</f>
        <v>44822</v>
      </c>
      <c r="U4" s="187"/>
      <c r="V4" s="188"/>
      <c r="W4" s="189" t="s">
        <v>107</v>
      </c>
      <c r="X4" s="190"/>
      <c r="Y4" s="191"/>
    </row>
    <row r="5" spans="1:25" ht="16.5" thickBot="1" x14ac:dyDescent="0.3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5" thickBot="1" x14ac:dyDescent="0.3">
      <c r="A6" s="95" t="s">
        <v>109</v>
      </c>
      <c r="B6" s="181" t="s">
        <v>110</v>
      </c>
      <c r="C6" s="182"/>
      <c r="D6" s="183"/>
      <c r="E6" s="181" t="s">
        <v>110</v>
      </c>
      <c r="F6" s="182"/>
      <c r="G6" s="183"/>
      <c r="H6" s="181" t="s">
        <v>110</v>
      </c>
      <c r="I6" s="182"/>
      <c r="J6" s="183"/>
      <c r="K6" s="181" t="s">
        <v>110</v>
      </c>
      <c r="L6" s="182"/>
      <c r="M6" s="183"/>
      <c r="N6" s="181" t="s">
        <v>110</v>
      </c>
      <c r="O6" s="182"/>
      <c r="P6" s="183"/>
      <c r="Q6" s="181" t="s">
        <v>110</v>
      </c>
      <c r="R6" s="182"/>
      <c r="S6" s="183"/>
      <c r="T6" s="181" t="s">
        <v>110</v>
      </c>
      <c r="U6" s="182"/>
      <c r="V6" s="182"/>
      <c r="W6" s="184" t="s">
        <v>110</v>
      </c>
      <c r="X6" s="182"/>
      <c r="Y6" s="185"/>
    </row>
    <row r="7" spans="1:25" x14ac:dyDescent="0.25">
      <c r="A7" s="96" t="s">
        <v>111</v>
      </c>
      <c r="B7" s="117"/>
      <c r="C7" s="118"/>
      <c r="D7" s="118">
        <f>+'TTE 7'!D3</f>
        <v>0.33333333333333331</v>
      </c>
      <c r="E7" s="97"/>
      <c r="F7" s="143"/>
      <c r="G7" s="143">
        <f>+'TTE 7'!D4</f>
        <v>0.33333333333333331</v>
      </c>
      <c r="H7" s="117"/>
      <c r="I7" s="174"/>
      <c r="J7" s="174">
        <f>+'TTE 7'!D5</f>
        <v>0.33333333333333331</v>
      </c>
      <c r="K7" s="97"/>
      <c r="L7" s="143"/>
      <c r="M7" s="143">
        <f>+'TTE 7'!D6</f>
        <v>0.38541666666666669</v>
      </c>
      <c r="N7" s="97"/>
      <c r="O7" s="143"/>
      <c r="P7" s="143">
        <f>+'TTE 7'!D7</f>
        <v>0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0.27708333333333335</v>
      </c>
    </row>
    <row r="8" spans="1:25" x14ac:dyDescent="0.25">
      <c r="A8" s="96" t="s">
        <v>112</v>
      </c>
      <c r="B8" s="117"/>
      <c r="C8" s="118"/>
      <c r="D8" s="118">
        <f>+'TTE 7'!J3</f>
        <v>0.65972222222222221</v>
      </c>
      <c r="E8" s="97"/>
      <c r="F8" s="98"/>
      <c r="G8" s="98">
        <f>+'TTE 7'!J4</f>
        <v>0.65972222222222221</v>
      </c>
      <c r="H8" s="117"/>
      <c r="I8" s="118"/>
      <c r="J8" s="118">
        <f>+'TTE 7'!J5</f>
        <v>0.65972222222222221</v>
      </c>
      <c r="K8" s="97"/>
      <c r="L8" s="98"/>
      <c r="M8" s="98">
        <f>+'TTE 7'!J6</f>
        <v>0.65972222222222199</v>
      </c>
      <c r="N8" s="97"/>
      <c r="O8" s="98"/>
      <c r="P8" s="98">
        <f>+'TTE 7'!J7</f>
        <v>0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0.52777777777777768</v>
      </c>
    </row>
    <row r="9" spans="1:25" ht="16.5" thickBot="1" x14ac:dyDescent="0.3">
      <c r="A9" s="109" t="s">
        <v>113</v>
      </c>
      <c r="B9" s="127"/>
      <c r="C9" s="119"/>
      <c r="D9" s="119">
        <f>+'TTE 7'!G16</f>
        <v>0.25</v>
      </c>
      <c r="E9" s="110"/>
      <c r="F9" s="139"/>
      <c r="G9" s="139">
        <f>+'TTE 7'!G17</f>
        <v>0.25347222222222227</v>
      </c>
      <c r="H9" s="127"/>
      <c r="I9" s="128"/>
      <c r="J9" s="128">
        <f>+'TTE 7'!G18</f>
        <v>0.2590277777777778</v>
      </c>
      <c r="K9" s="110"/>
      <c r="L9" s="139"/>
      <c r="M9" s="139">
        <f>+'TTE 7'!G19</f>
        <v>0.23263888888888873</v>
      </c>
      <c r="N9" s="110"/>
      <c r="O9" s="139"/>
      <c r="P9" s="139">
        <f>+'TTE 7'!G20</f>
        <v>0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0.19902777777777778</v>
      </c>
    </row>
    <row r="10" spans="1:25" ht="16.5" thickBot="1" x14ac:dyDescent="0.3">
      <c r="A10" s="95" t="s">
        <v>114</v>
      </c>
      <c r="B10" s="181" t="s">
        <v>110</v>
      </c>
      <c r="C10" s="182"/>
      <c r="D10" s="183"/>
      <c r="E10" s="181" t="s">
        <v>110</v>
      </c>
      <c r="F10" s="182"/>
      <c r="G10" s="183"/>
      <c r="H10" s="181" t="s">
        <v>110</v>
      </c>
      <c r="I10" s="182"/>
      <c r="J10" s="183"/>
      <c r="K10" s="181" t="s">
        <v>110</v>
      </c>
      <c r="L10" s="182"/>
      <c r="M10" s="183"/>
      <c r="N10" s="181" t="s">
        <v>110</v>
      </c>
      <c r="O10" s="182"/>
      <c r="P10" s="183"/>
      <c r="Q10" s="181" t="s">
        <v>110</v>
      </c>
      <c r="R10" s="182"/>
      <c r="S10" s="183"/>
      <c r="T10" s="181" t="s">
        <v>110</v>
      </c>
      <c r="U10" s="182"/>
      <c r="V10" s="182"/>
      <c r="W10" s="184" t="s">
        <v>110</v>
      </c>
      <c r="X10" s="182"/>
      <c r="Y10" s="185"/>
    </row>
    <row r="11" spans="1:25" x14ac:dyDescent="0.25">
      <c r="A11" s="96" t="s">
        <v>111</v>
      </c>
      <c r="B11" s="117"/>
      <c r="C11" s="118">
        <f>+'SUB 6'!D3</f>
        <v>0.67361111111111116</v>
      </c>
      <c r="D11" s="118"/>
      <c r="E11" s="97"/>
      <c r="F11" s="98">
        <f>+'SUB 6'!D4</f>
        <v>0.67361111111111116</v>
      </c>
      <c r="G11" s="98"/>
      <c r="H11" s="117"/>
      <c r="I11" s="118">
        <f>+'SUB 6'!D5</f>
        <v>0.67361111111111116</v>
      </c>
      <c r="J11" s="118"/>
      <c r="K11" s="97"/>
      <c r="L11" s="98">
        <f>+'SUB 6'!D6</f>
        <v>0.72361111111111109</v>
      </c>
      <c r="M11" s="98"/>
      <c r="N11" s="97"/>
      <c r="O11" s="98">
        <f>+'SUB 6'!D7</f>
        <v>0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0.54888888888888887</v>
      </c>
      <c r="Y11" s="151" t="str">
        <f>IFERROR(AVERAGE(D11,G11,J11,M11,P11,S11,V11),"")</f>
        <v/>
      </c>
    </row>
    <row r="12" spans="1:25" x14ac:dyDescent="0.25">
      <c r="A12" s="96" t="s">
        <v>112</v>
      </c>
      <c r="B12" s="117"/>
      <c r="C12" s="118">
        <f>+'SUB 6'!J3</f>
        <v>0.99305555555555547</v>
      </c>
      <c r="D12" s="118"/>
      <c r="E12" s="97"/>
      <c r="F12" s="98">
        <f>+'SUB 6'!J4</f>
        <v>0.99305555555555547</v>
      </c>
      <c r="G12" s="98"/>
      <c r="H12" s="117"/>
      <c r="I12" s="118">
        <f>+'SUB 6'!J5</f>
        <v>0.99305555555555547</v>
      </c>
      <c r="J12" s="118"/>
      <c r="K12" s="97"/>
      <c r="L12" s="98">
        <f>+'SUB 6'!J6</f>
        <v>0.99305555555555547</v>
      </c>
      <c r="M12" s="98"/>
      <c r="N12" s="97"/>
      <c r="O12" s="98">
        <f>+'SUB 6'!J7</f>
        <v>0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0.7944444444444444</v>
      </c>
      <c r="Y12" s="152" t="str">
        <f t="shared" si="1"/>
        <v/>
      </c>
    </row>
    <row r="13" spans="1:25" ht="16.5" thickBot="1" x14ac:dyDescent="0.3">
      <c r="A13" s="109" t="s">
        <v>113</v>
      </c>
      <c r="B13" s="127"/>
      <c r="C13" s="118">
        <f>+'SUB 6'!G16</f>
        <v>0.25277777777777755</v>
      </c>
      <c r="D13" s="118"/>
      <c r="E13" s="110"/>
      <c r="F13" s="98">
        <f>+'SUB 6'!G17</f>
        <v>0.2451388888888888</v>
      </c>
      <c r="G13" s="98"/>
      <c r="H13" s="127"/>
      <c r="I13" s="118">
        <f>+'SUB 6'!G18</f>
        <v>0.24305555555555547</v>
      </c>
      <c r="J13" s="118"/>
      <c r="K13" s="110"/>
      <c r="L13" s="98">
        <f>+'SUB 6'!G19</f>
        <v>0.2222222222222221</v>
      </c>
      <c r="M13" s="98"/>
      <c r="N13" s="110"/>
      <c r="O13" s="98">
        <f>+'SUB 6'!G20</f>
        <v>0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0.19263888888888878</v>
      </c>
      <c r="Y13" s="153" t="str">
        <f t="shared" si="1"/>
        <v/>
      </c>
    </row>
    <row r="14" spans="1:25" ht="16.5" thickBot="1" x14ac:dyDescent="0.3">
      <c r="A14" s="95" t="s">
        <v>115</v>
      </c>
      <c r="B14" s="181" t="s">
        <v>110</v>
      </c>
      <c r="C14" s="182"/>
      <c r="D14" s="183"/>
      <c r="E14" s="181" t="s">
        <v>110</v>
      </c>
      <c r="F14" s="182"/>
      <c r="G14" s="183"/>
      <c r="H14" s="181" t="s">
        <v>110</v>
      </c>
      <c r="I14" s="182"/>
      <c r="J14" s="183"/>
      <c r="K14" s="181" t="s">
        <v>110</v>
      </c>
      <c r="L14" s="182"/>
      <c r="M14" s="183"/>
      <c r="N14" s="181" t="s">
        <v>110</v>
      </c>
      <c r="O14" s="182"/>
      <c r="P14" s="183"/>
      <c r="Q14" s="181" t="s">
        <v>110</v>
      </c>
      <c r="R14" s="182"/>
      <c r="S14" s="183"/>
      <c r="T14" s="181" t="s">
        <v>110</v>
      </c>
      <c r="U14" s="182"/>
      <c r="V14" s="182"/>
      <c r="W14" s="184" t="s">
        <v>110</v>
      </c>
      <c r="X14" s="182"/>
      <c r="Y14" s="185"/>
    </row>
    <row r="15" spans="1:25" x14ac:dyDescent="0.25">
      <c r="A15" s="96" t="s">
        <v>111</v>
      </c>
      <c r="B15" s="117"/>
      <c r="C15" s="119">
        <f>+'SUB 5'!D3</f>
        <v>0.34375</v>
      </c>
      <c r="D15" s="119"/>
      <c r="E15" s="117"/>
      <c r="F15" s="118">
        <f>+'SUB 5'!D4</f>
        <v>0.34722222222222227</v>
      </c>
      <c r="G15" s="118"/>
      <c r="H15" s="117"/>
      <c r="I15" s="118">
        <f>+'SUB 5'!D5</f>
        <v>0.34722222222222227</v>
      </c>
      <c r="J15" s="118"/>
      <c r="K15" s="117"/>
      <c r="L15" s="118">
        <f>+'SUB 5'!D6</f>
        <v>0.38541666666666669</v>
      </c>
      <c r="M15" s="118"/>
      <c r="N15" s="117"/>
      <c r="O15" s="118">
        <f>+'SUB 5'!D7</f>
        <v>0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0.28472222222222227</v>
      </c>
      <c r="Y15" s="148" t="str">
        <f t="shared" si="2"/>
        <v/>
      </c>
    </row>
    <row r="16" spans="1:25" x14ac:dyDescent="0.25">
      <c r="A16" s="96" t="s">
        <v>112</v>
      </c>
      <c r="B16" s="117"/>
      <c r="C16" s="119">
        <f>+'SUB 5'!J3</f>
        <v>0.65972222222222221</v>
      </c>
      <c r="D16" s="119"/>
      <c r="E16" s="117"/>
      <c r="F16" s="118">
        <f>+'SUB 5'!J4</f>
        <v>0.65972222222222221</v>
      </c>
      <c r="G16" s="118"/>
      <c r="H16" s="117"/>
      <c r="I16" s="118">
        <f>+'SUB 5'!J5</f>
        <v>0.65972222222222221</v>
      </c>
      <c r="J16" s="118"/>
      <c r="K16" s="117"/>
      <c r="L16" s="118">
        <f>+'SUB 5'!J6</f>
        <v>0.65972222222222221</v>
      </c>
      <c r="M16" s="118"/>
      <c r="N16" s="117"/>
      <c r="O16" s="118">
        <f>+'SUB 5'!J7</f>
        <v>0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0.52777777777777779</v>
      </c>
      <c r="Y16" s="149" t="str">
        <f t="shared" si="2"/>
        <v/>
      </c>
    </row>
    <row r="17" spans="1:25" ht="16.5" thickBot="1" x14ac:dyDescent="0.3">
      <c r="A17" s="109" t="s">
        <v>113</v>
      </c>
      <c r="B17" s="127"/>
      <c r="C17" s="119">
        <f>+'SUB 5'!G16</f>
        <v>0.24999999999999994</v>
      </c>
      <c r="D17" s="119"/>
      <c r="E17" s="127"/>
      <c r="F17" s="118">
        <f>+'SUB 5'!G17</f>
        <v>0.25208333333333333</v>
      </c>
      <c r="G17" s="118"/>
      <c r="H17" s="127"/>
      <c r="I17" s="118">
        <f>+'SUB 5'!G18</f>
        <v>0.24444444444444435</v>
      </c>
      <c r="J17" s="118"/>
      <c r="K17" s="127"/>
      <c r="L17" s="118">
        <f>+'SUB 5'!G19</f>
        <v>0.21527777777777762</v>
      </c>
      <c r="M17" s="118"/>
      <c r="N17" s="127"/>
      <c r="O17" s="118">
        <f>+'SUB 5'!G20</f>
        <v>0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0.19236111111111104</v>
      </c>
      <c r="Y17" s="150" t="str">
        <f t="shared" si="2"/>
        <v/>
      </c>
    </row>
    <row r="18" spans="1:25" ht="16.5" thickBot="1" x14ac:dyDescent="0.3">
      <c r="A18" s="95" t="s">
        <v>116</v>
      </c>
      <c r="B18" s="181" t="s">
        <v>110</v>
      </c>
      <c r="C18" s="182"/>
      <c r="D18" s="183"/>
      <c r="E18" s="181" t="s">
        <v>110</v>
      </c>
      <c r="F18" s="182"/>
      <c r="G18" s="183"/>
      <c r="H18" s="181" t="s">
        <v>110</v>
      </c>
      <c r="I18" s="182"/>
      <c r="J18" s="183"/>
      <c r="K18" s="181" t="s">
        <v>110</v>
      </c>
      <c r="L18" s="182"/>
      <c r="M18" s="183"/>
      <c r="N18" s="181" t="s">
        <v>110</v>
      </c>
      <c r="O18" s="182"/>
      <c r="P18" s="183"/>
      <c r="Q18" s="181" t="s">
        <v>110</v>
      </c>
      <c r="R18" s="182"/>
      <c r="S18" s="183"/>
      <c r="T18" s="181" t="s">
        <v>110</v>
      </c>
      <c r="U18" s="182"/>
      <c r="V18" s="182"/>
      <c r="W18" s="184" t="s">
        <v>110</v>
      </c>
      <c r="X18" s="182"/>
      <c r="Y18" s="185"/>
    </row>
    <row r="19" spans="1:25" x14ac:dyDescent="0.25">
      <c r="A19" s="96" t="s">
        <v>111</v>
      </c>
      <c r="B19" s="117"/>
      <c r="C19" s="118">
        <f>+'TTE 6 '!D3</f>
        <v>0.33680555555555558</v>
      </c>
      <c r="D19" s="121"/>
      <c r="E19" s="97"/>
      <c r="F19" s="98">
        <f>+'TTE 6 '!D4</f>
        <v>0.33888888888888885</v>
      </c>
      <c r="G19" s="101"/>
      <c r="H19" s="117"/>
      <c r="I19" s="118">
        <f>+'TTE 6 '!D5</f>
        <v>0.33680555555555558</v>
      </c>
      <c r="J19" s="121"/>
      <c r="K19" s="97"/>
      <c r="L19" s="98">
        <f>+'TTE 6 '!D6</f>
        <v>0.39444444444444443</v>
      </c>
      <c r="M19" s="101"/>
      <c r="N19" s="97"/>
      <c r="O19" s="98">
        <f>+'TTE 6 '!D7</f>
        <v>0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0.28138888888888886</v>
      </c>
      <c r="Y19" s="105" t="str">
        <f t="shared" si="3"/>
        <v/>
      </c>
    </row>
    <row r="20" spans="1:25" x14ac:dyDescent="0.25">
      <c r="A20" s="96" t="s">
        <v>112</v>
      </c>
      <c r="B20" s="117"/>
      <c r="C20" s="118">
        <f>+'TTE 6 '!J3</f>
        <v>0.65972222222222199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0.52777777777777757</v>
      </c>
      <c r="Y20" s="108" t="str">
        <f t="shared" si="3"/>
        <v/>
      </c>
    </row>
    <row r="21" spans="1:25" ht="16.5" thickBot="1" x14ac:dyDescent="0.3">
      <c r="A21" s="109" t="s">
        <v>113</v>
      </c>
      <c r="B21" s="127"/>
      <c r="C21" s="118">
        <f>+'TTE 6 '!G16</f>
        <v>0.24930555555555534</v>
      </c>
      <c r="D21" s="130"/>
      <c r="E21" s="110"/>
      <c r="F21" s="98">
        <f>+'TTE 6 '!G17</f>
        <v>0.24791666666666629</v>
      </c>
      <c r="G21" s="112"/>
      <c r="H21" s="127"/>
      <c r="I21" s="118">
        <f>+'TTE 6 '!G18</f>
        <v>0.25138888888888866</v>
      </c>
      <c r="J21" s="130"/>
      <c r="K21" s="110"/>
      <c r="L21" s="98">
        <f>+'TTE 6 '!G19</f>
        <v>0.21180555555555536</v>
      </c>
      <c r="M21" s="112"/>
      <c r="N21" s="110"/>
      <c r="O21" s="98">
        <f>+'TTE 6 '!G20</f>
        <v>0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0.19208333333333311</v>
      </c>
      <c r="Y21" s="116" t="str">
        <f t="shared" si="3"/>
        <v/>
      </c>
    </row>
    <row r="22" spans="1:25" ht="16.5" thickBot="1" x14ac:dyDescent="0.3">
      <c r="A22" s="95" t="s">
        <v>117</v>
      </c>
      <c r="B22" s="181" t="s">
        <v>110</v>
      </c>
      <c r="C22" s="182"/>
      <c r="D22" s="183"/>
      <c r="E22" s="181" t="s">
        <v>110</v>
      </c>
      <c r="F22" s="182"/>
      <c r="G22" s="183"/>
      <c r="H22" s="181" t="s">
        <v>110</v>
      </c>
      <c r="I22" s="182"/>
      <c r="J22" s="183"/>
      <c r="K22" s="181" t="s">
        <v>110</v>
      </c>
      <c r="L22" s="182"/>
      <c r="M22" s="183"/>
      <c r="N22" s="181" t="s">
        <v>110</v>
      </c>
      <c r="O22" s="182"/>
      <c r="P22" s="183"/>
      <c r="Q22" s="181" t="s">
        <v>110</v>
      </c>
      <c r="R22" s="182"/>
      <c r="S22" s="183"/>
      <c r="T22" s="181" t="s">
        <v>110</v>
      </c>
      <c r="U22" s="182"/>
      <c r="V22" s="182"/>
      <c r="W22" s="184" t="s">
        <v>110</v>
      </c>
      <c r="X22" s="182"/>
      <c r="Y22" s="185"/>
    </row>
    <row r="23" spans="1:25" x14ac:dyDescent="0.25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117"/>
      <c r="I23" s="118"/>
      <c r="J23" s="118">
        <f>+DIABLO!D5</f>
        <v>0.67361111111111116</v>
      </c>
      <c r="K23" s="97"/>
      <c r="L23" s="98"/>
      <c r="M23" s="98">
        <f>+DIABLO!D6</f>
        <v>0.72569444444444453</v>
      </c>
      <c r="N23" s="97"/>
      <c r="O23" s="98"/>
      <c r="P23" s="98">
        <f>+DIABLO!D7</f>
        <v>0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0.5493055555555556</v>
      </c>
    </row>
    <row r="24" spans="1:25" x14ac:dyDescent="0.25">
      <c r="A24" s="96" t="s">
        <v>112</v>
      </c>
      <c r="B24" s="117"/>
      <c r="C24" s="118"/>
      <c r="D24" s="118">
        <f>+DIABLO!J3</f>
        <v>0.98958333333333337</v>
      </c>
      <c r="E24" s="97"/>
      <c r="F24" s="98"/>
      <c r="G24" s="98">
        <f>+DIABLO!D4</f>
        <v>0.67361111111111116</v>
      </c>
      <c r="H24" s="117"/>
      <c r="I24" s="118"/>
      <c r="J24" s="118">
        <f>+DIABLO!J5</f>
        <v>0.99305555555555547</v>
      </c>
      <c r="K24" s="97"/>
      <c r="L24" s="98"/>
      <c r="M24" s="98">
        <f>+DIABLO!J6</f>
        <v>0.99305555555555547</v>
      </c>
      <c r="N24" s="97"/>
      <c r="O24" s="98"/>
      <c r="P24" s="98">
        <f>+DIABLO!J7</f>
        <v>0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0.72986111111111107</v>
      </c>
    </row>
    <row r="25" spans="1:25" ht="16.5" thickBot="1" x14ac:dyDescent="0.3">
      <c r="A25" s="109" t="s">
        <v>113</v>
      </c>
      <c r="B25" s="127"/>
      <c r="C25" s="118"/>
      <c r="D25" s="118">
        <f>+DIABLO!G16</f>
        <v>0.24444444444444446</v>
      </c>
      <c r="E25" s="110"/>
      <c r="F25" s="98"/>
      <c r="G25" s="98">
        <f>+DIABLO!G17</f>
        <v>0.24305555555555558</v>
      </c>
      <c r="H25" s="127"/>
      <c r="I25" s="118"/>
      <c r="J25" s="118">
        <f>+DIABLO!G18</f>
        <v>0.25138888888888877</v>
      </c>
      <c r="K25" s="110"/>
      <c r="L25" s="98"/>
      <c r="M25" s="98">
        <f>+DIABLO!G19</f>
        <v>0.21805555555555556</v>
      </c>
      <c r="N25" s="110"/>
      <c r="O25" s="98"/>
      <c r="P25" s="98">
        <f>+DIABLO!G20</f>
        <v>0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0.19138888888888889</v>
      </c>
    </row>
    <row r="26" spans="1:25" ht="16.5" thickBot="1" x14ac:dyDescent="0.3">
      <c r="A26" s="95" t="s">
        <v>118</v>
      </c>
      <c r="B26" s="181" t="s">
        <v>110</v>
      </c>
      <c r="C26" s="182"/>
      <c r="D26" s="183"/>
      <c r="E26" s="181" t="s">
        <v>110</v>
      </c>
      <c r="F26" s="182"/>
      <c r="G26" s="183"/>
      <c r="H26" s="181" t="s">
        <v>110</v>
      </c>
      <c r="I26" s="182"/>
      <c r="J26" s="183"/>
      <c r="K26" s="181" t="s">
        <v>110</v>
      </c>
      <c r="L26" s="182"/>
      <c r="M26" s="183"/>
      <c r="N26" s="181" t="s">
        <v>110</v>
      </c>
      <c r="O26" s="182"/>
      <c r="P26" s="183"/>
      <c r="Q26" s="181" t="s">
        <v>110</v>
      </c>
      <c r="R26" s="182"/>
      <c r="S26" s="183"/>
      <c r="T26" s="181" t="s">
        <v>110</v>
      </c>
      <c r="U26" s="182"/>
      <c r="V26" s="182"/>
      <c r="W26" s="184" t="s">
        <v>110</v>
      </c>
      <c r="X26" s="182"/>
      <c r="Y26" s="185"/>
    </row>
    <row r="27" spans="1:25" x14ac:dyDescent="0.25">
      <c r="A27" s="96" t="s">
        <v>111</v>
      </c>
      <c r="B27" s="117"/>
      <c r="C27" s="118">
        <f>+'PIPA N'!D3</f>
        <v>0.34027777777777773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0.33680555555555558</v>
      </c>
      <c r="J27" s="118"/>
      <c r="K27" s="97"/>
      <c r="L27" s="98">
        <f>+'PIPA N'!D6</f>
        <v>0.3923611111111111</v>
      </c>
      <c r="M27" s="98"/>
      <c r="N27" s="97"/>
      <c r="O27" s="98">
        <f>+'PIPA N'!D7</f>
        <v>0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0.34583333333333333</v>
      </c>
      <c r="Y27" s="151" t="str">
        <f t="shared" si="6"/>
        <v/>
      </c>
    </row>
    <row r="28" spans="1:25" x14ac:dyDescent="0.25">
      <c r="A28" s="134" t="s">
        <v>112</v>
      </c>
      <c r="B28" s="147"/>
      <c r="C28" s="118">
        <f>+'PIPA N'!J3</f>
        <v>0.65972222222222221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0.52777777777777779</v>
      </c>
      <c r="Y28" s="152" t="str">
        <f t="shared" si="6"/>
        <v/>
      </c>
    </row>
    <row r="29" spans="1:25" ht="16.5" thickBot="1" x14ac:dyDescent="0.3">
      <c r="A29" s="109" t="s">
        <v>113</v>
      </c>
      <c r="B29" s="127"/>
      <c r="C29" s="118">
        <f>+'PIPA N'!G16</f>
        <v>0.25069444444444444</v>
      </c>
      <c r="D29" s="118"/>
      <c r="E29" s="110"/>
      <c r="F29" s="98">
        <f>+'PIPA N'!G17</f>
        <v>0.24583333333333324</v>
      </c>
      <c r="G29" s="98"/>
      <c r="H29" s="127"/>
      <c r="I29" s="118">
        <f>+'PIPA N'!G18</f>
        <v>0.24305555555555552</v>
      </c>
      <c r="J29" s="118"/>
      <c r="K29" s="110"/>
      <c r="L29" s="98">
        <f>+'PIPA N'!G19</f>
        <v>0.22638888888888897</v>
      </c>
      <c r="M29" s="98"/>
      <c r="N29" s="110"/>
      <c r="O29" s="98">
        <f>+'PIPA N'!G20</f>
        <v>0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0.19319444444444445</v>
      </c>
      <c r="Y29" s="153" t="str">
        <f t="shared" si="6"/>
        <v/>
      </c>
    </row>
    <row r="30" spans="1:25" ht="16.5" thickBot="1" x14ac:dyDescent="0.3">
      <c r="A30" s="95" t="s">
        <v>119</v>
      </c>
      <c r="B30" s="181" t="s">
        <v>110</v>
      </c>
      <c r="C30" s="182"/>
      <c r="D30" s="183"/>
      <c r="E30" s="181" t="s">
        <v>110</v>
      </c>
      <c r="F30" s="182"/>
      <c r="G30" s="183"/>
      <c r="H30" s="181" t="s">
        <v>110</v>
      </c>
      <c r="I30" s="182"/>
      <c r="J30" s="183"/>
      <c r="K30" s="181" t="s">
        <v>110</v>
      </c>
      <c r="L30" s="182"/>
      <c r="M30" s="183"/>
      <c r="N30" s="181" t="s">
        <v>110</v>
      </c>
      <c r="O30" s="182"/>
      <c r="P30" s="183"/>
      <c r="Q30" s="181" t="s">
        <v>110</v>
      </c>
      <c r="R30" s="182"/>
      <c r="S30" s="183"/>
      <c r="T30" s="181" t="s">
        <v>110</v>
      </c>
      <c r="U30" s="182"/>
      <c r="V30" s="182"/>
      <c r="W30" s="184" t="s">
        <v>110</v>
      </c>
      <c r="X30" s="182"/>
      <c r="Y30" s="185"/>
    </row>
    <row r="31" spans="1:25" x14ac:dyDescent="0.25">
      <c r="A31" s="96" t="s">
        <v>111</v>
      </c>
      <c r="B31" s="117"/>
      <c r="C31" s="118">
        <f>+'CH colon'!D3</f>
        <v>0.33680555555555558</v>
      </c>
      <c r="D31" s="118"/>
      <c r="E31" s="97"/>
      <c r="F31" s="98">
        <f>+'CH colon'!D4</f>
        <v>0.30694444444444441</v>
      </c>
      <c r="G31" s="98"/>
      <c r="H31" s="117"/>
      <c r="I31" s="118">
        <f>+'CH colon'!D5</f>
        <v>0.31180555555555556</v>
      </c>
      <c r="J31" s="118"/>
      <c r="K31" s="97"/>
      <c r="L31" s="98">
        <f>+'CH colon'!D6</f>
        <v>0.44097222222222227</v>
      </c>
      <c r="M31" s="98"/>
      <c r="N31" s="97"/>
      <c r="O31" s="98">
        <f>+'CH colon'!D7</f>
        <v>0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0.27930555555555558</v>
      </c>
      <c r="Y31" s="105" t="str">
        <f t="shared" si="7"/>
        <v/>
      </c>
    </row>
    <row r="32" spans="1:25" x14ac:dyDescent="0.25">
      <c r="A32" s="96" t="s">
        <v>112</v>
      </c>
      <c r="B32" s="117"/>
      <c r="C32" s="118">
        <f>+'CH colon'!J3</f>
        <v>0.65625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0.65277777777777779</v>
      </c>
      <c r="J32" s="118"/>
      <c r="K32" s="97"/>
      <c r="L32" s="98">
        <f>+'CH colon'!J6</f>
        <v>0.64930555555555558</v>
      </c>
      <c r="M32" s="98"/>
      <c r="N32" s="97"/>
      <c r="O32" s="98">
        <f>+'CH colon'!J7</f>
        <v>0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0.52222222222222214</v>
      </c>
      <c r="Y32" s="108" t="str">
        <f t="shared" si="7"/>
        <v/>
      </c>
    </row>
    <row r="33" spans="1:25" ht="16.5" thickBot="1" x14ac:dyDescent="0.3">
      <c r="A33" s="109" t="s">
        <v>113</v>
      </c>
      <c r="B33" s="127"/>
      <c r="C33" s="118">
        <f>+'CH colon'!G16</f>
        <v>0.26111111111111113</v>
      </c>
      <c r="D33" s="118"/>
      <c r="E33" s="110"/>
      <c r="F33" s="98">
        <f>+'CH colon'!G17</f>
        <v>0.25902777777777775</v>
      </c>
      <c r="G33" s="98"/>
      <c r="H33" s="127"/>
      <c r="I33" s="118">
        <f>+'CH colon'!G18</f>
        <v>0.27361111111111103</v>
      </c>
      <c r="J33" s="118"/>
      <c r="K33" s="110"/>
      <c r="L33" s="98">
        <f>+'CH colon'!G19</f>
        <v>0.15624999999999994</v>
      </c>
      <c r="M33" s="98"/>
      <c r="N33" s="110"/>
      <c r="O33" s="98">
        <f>+'CH colon'!G20</f>
        <v>0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0.19</v>
      </c>
      <c r="Y33" s="116" t="str">
        <f t="shared" si="7"/>
        <v/>
      </c>
    </row>
    <row r="34" spans="1:25" ht="16.5" thickBot="1" x14ac:dyDescent="0.3">
      <c r="A34" s="95" t="s">
        <v>92</v>
      </c>
      <c r="B34" s="181" t="s">
        <v>110</v>
      </c>
      <c r="C34" s="182"/>
      <c r="D34" s="183"/>
      <c r="E34" s="181" t="s">
        <v>110</v>
      </c>
      <c r="F34" s="182"/>
      <c r="G34" s="183"/>
      <c r="H34" s="181" t="s">
        <v>110</v>
      </c>
      <c r="I34" s="182"/>
      <c r="J34" s="183"/>
      <c r="K34" s="181" t="s">
        <v>110</v>
      </c>
      <c r="L34" s="182"/>
      <c r="M34" s="183"/>
      <c r="N34" s="181" t="s">
        <v>110</v>
      </c>
      <c r="O34" s="182"/>
      <c r="P34" s="183"/>
      <c r="Q34" s="181" t="s">
        <v>110</v>
      </c>
      <c r="R34" s="182"/>
      <c r="S34" s="183"/>
      <c r="T34" s="181" t="s">
        <v>110</v>
      </c>
      <c r="U34" s="182"/>
      <c r="V34" s="182"/>
      <c r="W34" s="184" t="s">
        <v>110</v>
      </c>
      <c r="X34" s="182"/>
      <c r="Y34" s="185"/>
    </row>
    <row r="35" spans="1:25" x14ac:dyDescent="0.25">
      <c r="A35" s="96" t="s">
        <v>111</v>
      </c>
      <c r="B35" s="117"/>
      <c r="C35" s="118">
        <f>+Salvataje!D3</f>
        <v>0.34027777777777773</v>
      </c>
      <c r="D35" s="121"/>
      <c r="E35" s="97"/>
      <c r="F35" s="98">
        <f>+Salvataje!D4</f>
        <v>0.34375</v>
      </c>
      <c r="G35" s="101"/>
      <c r="H35" s="117"/>
      <c r="I35" s="118">
        <f>+Salvataje!D5</f>
        <v>0.34375</v>
      </c>
      <c r="J35" s="121"/>
      <c r="K35" s="97"/>
      <c r="L35" s="98">
        <f>+Salvataje!D6</f>
        <v>0.3923611111111111</v>
      </c>
      <c r="M35" s="101"/>
      <c r="N35" s="97"/>
      <c r="O35" s="98">
        <f>+Salvataje!D7</f>
        <v>0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0.28402777777777777</v>
      </c>
      <c r="Y35" s="105" t="str">
        <f t="shared" si="8"/>
        <v/>
      </c>
    </row>
    <row r="36" spans="1:25" x14ac:dyDescent="0.25">
      <c r="A36" s="96" t="s">
        <v>112</v>
      </c>
      <c r="B36" s="117"/>
      <c r="C36" s="118">
        <f>+Salvataje!J3</f>
        <v>0.65625</v>
      </c>
      <c r="D36" s="121"/>
      <c r="E36" s="97"/>
      <c r="F36" s="98">
        <f>+Salvataje!J4</f>
        <v>0.65972222222222221</v>
      </c>
      <c r="G36" s="101"/>
      <c r="H36" s="117"/>
      <c r="I36" s="118">
        <f>+Salvataje!J5</f>
        <v>0.65972222222222221</v>
      </c>
      <c r="J36" s="121"/>
      <c r="K36" s="97"/>
      <c r="L36" s="98">
        <f>+Salvataje!J6</f>
        <v>0.65972222222222221</v>
      </c>
      <c r="M36" s="101"/>
      <c r="N36" s="97"/>
      <c r="O36" s="98">
        <f>+Salvataje!J7</f>
        <v>0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0.52708333333333335</v>
      </c>
      <c r="Y36" s="108" t="str">
        <f t="shared" si="8"/>
        <v/>
      </c>
    </row>
    <row r="37" spans="1:25" ht="16.5" thickBot="1" x14ac:dyDescent="0.3">
      <c r="A37" s="109" t="s">
        <v>113</v>
      </c>
      <c r="B37" s="127"/>
      <c r="C37" s="118">
        <f>+Salvataje!G16</f>
        <v>0.24861111111111117</v>
      </c>
      <c r="D37" s="130"/>
      <c r="E37" s="110"/>
      <c r="F37" s="98">
        <f>+Salvataje!G17</f>
        <v>0.24652777777777779</v>
      </c>
      <c r="G37" s="112"/>
      <c r="H37" s="127"/>
      <c r="I37" s="118">
        <f>+Salvataje!G18</f>
        <v>0.24444444444444435</v>
      </c>
      <c r="J37" s="130"/>
      <c r="K37" s="110"/>
      <c r="L37" s="98">
        <f>+Salvataje!G19</f>
        <v>0.22222222222222215</v>
      </c>
      <c r="M37" s="112"/>
      <c r="N37" s="110"/>
      <c r="O37" s="98">
        <f>+Salvataje!G20</f>
        <v>0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0.19236111111111107</v>
      </c>
      <c r="Y37" s="116" t="str">
        <f t="shared" si="8"/>
        <v/>
      </c>
    </row>
    <row r="38" spans="1:25" ht="16.5" thickBot="1" x14ac:dyDescent="0.3">
      <c r="A38" s="95" t="s">
        <v>86</v>
      </c>
      <c r="B38" s="181" t="s">
        <v>110</v>
      </c>
      <c r="C38" s="182"/>
      <c r="D38" s="183"/>
      <c r="E38" s="181" t="s">
        <v>110</v>
      </c>
      <c r="F38" s="182"/>
      <c r="G38" s="183"/>
      <c r="H38" s="181" t="s">
        <v>110</v>
      </c>
      <c r="I38" s="182"/>
      <c r="J38" s="183"/>
      <c r="K38" s="181" t="s">
        <v>110</v>
      </c>
      <c r="L38" s="182"/>
      <c r="M38" s="183"/>
      <c r="N38" s="181" t="s">
        <v>110</v>
      </c>
      <c r="O38" s="182"/>
      <c r="P38" s="183"/>
      <c r="Q38" s="181" t="s">
        <v>110</v>
      </c>
      <c r="R38" s="182"/>
      <c r="S38" s="183"/>
      <c r="T38" s="181" t="s">
        <v>110</v>
      </c>
      <c r="U38" s="182"/>
      <c r="V38" s="182"/>
      <c r="W38" s="184" t="s">
        <v>110</v>
      </c>
      <c r="X38" s="182"/>
      <c r="Y38" s="185"/>
    </row>
    <row r="39" spans="1:25" x14ac:dyDescent="0.25">
      <c r="A39" s="96" t="s">
        <v>111</v>
      </c>
      <c r="B39" s="117"/>
      <c r="C39" s="118">
        <f>+'LA JUNTA'!D3</f>
        <v>0.3263888888888889</v>
      </c>
      <c r="D39" s="121"/>
      <c r="E39" s="97"/>
      <c r="F39" s="98">
        <f>+'LA JUNTA'!D4</f>
        <v>0.33333333333333331</v>
      </c>
      <c r="G39" s="99"/>
      <c r="H39" s="117"/>
      <c r="I39" s="118">
        <f>+'LA JUNTA'!D5</f>
        <v>0.33333333333333331</v>
      </c>
      <c r="J39" s="119"/>
      <c r="K39" s="97"/>
      <c r="L39" s="98">
        <f>+'LA JUNTA'!D6</f>
        <v>0.42222222222222222</v>
      </c>
      <c r="M39" s="99"/>
      <c r="N39" s="97"/>
      <c r="O39" s="98">
        <f>+'LA JUNTA'!D7</f>
        <v>0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0.28305555555555556</v>
      </c>
      <c r="Y39" s="105" t="str">
        <f>IFERROR(AVERAGE(D39,G39,J39,M39,P39,S39,V39),"")</f>
        <v/>
      </c>
    </row>
    <row r="40" spans="1:25" x14ac:dyDescent="0.25">
      <c r="A40" s="96" t="s">
        <v>112</v>
      </c>
      <c r="B40" s="117"/>
      <c r="C40" s="118">
        <f>+'LA JUNTA'!J3</f>
        <v>0.65972222222222221</v>
      </c>
      <c r="D40" s="121"/>
      <c r="E40" s="97"/>
      <c r="F40" s="98">
        <f>+'LA JUNTA'!J4</f>
        <v>0.66319444444444442</v>
      </c>
      <c r="G40" s="99"/>
      <c r="H40" s="117"/>
      <c r="I40" s="118">
        <f>+'LA JUNTA'!J5</f>
        <v>0.65972222222222199</v>
      </c>
      <c r="J40" s="119"/>
      <c r="K40" s="97"/>
      <c r="L40" s="98">
        <f>+'LA JUNTA'!J6</f>
        <v>0.65972222222222199</v>
      </c>
      <c r="M40" s="99"/>
      <c r="N40" s="97"/>
      <c r="O40" s="98">
        <f>+'LA JUNTA'!J7</f>
        <v>0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0.52847222222222201</v>
      </c>
      <c r="Y40" s="108" t="str">
        <f>IFERROR(AVERAGE(D40,G40,J40,M40,P40,S40,V40),"")</f>
        <v/>
      </c>
    </row>
    <row r="41" spans="1:25" ht="16.5" thickBot="1" x14ac:dyDescent="0.3">
      <c r="A41" s="109" t="s">
        <v>113</v>
      </c>
      <c r="B41" s="127"/>
      <c r="C41" s="128">
        <f>+'LA JUNTA'!G16</f>
        <v>0.28263888888888899</v>
      </c>
      <c r="D41" s="130"/>
      <c r="E41" s="110"/>
      <c r="F41" s="139">
        <f>+'LA JUNTA'!G17</f>
        <v>0.29166666666666657</v>
      </c>
      <c r="G41" s="99"/>
      <c r="H41" s="127"/>
      <c r="I41" s="128">
        <f>+'LA JUNTA'!G18</f>
        <v>0.28124999999999972</v>
      </c>
      <c r="J41" s="119"/>
      <c r="K41" s="110"/>
      <c r="L41" s="139">
        <f>+'LA JUNTA'!G19</f>
        <v>0.19097222222222204</v>
      </c>
      <c r="M41" s="99"/>
      <c r="N41" s="110"/>
      <c r="O41" s="139">
        <f>+'LA JUNTA'!G20</f>
        <v>0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0.20930555555555549</v>
      </c>
      <c r="Y41" s="116" t="str">
        <f>IFERROR(AVERAGE(D41,G41,J41,M41,P41,S41,V41),"")</f>
        <v/>
      </c>
    </row>
    <row r="42" spans="1:25" ht="16.5" thickBot="1" x14ac:dyDescent="0.3">
      <c r="A42" s="95" t="s">
        <v>62</v>
      </c>
      <c r="B42" s="181" t="s">
        <v>110</v>
      </c>
      <c r="C42" s="182"/>
      <c r="D42" s="183"/>
      <c r="E42" s="181" t="s">
        <v>110</v>
      </c>
      <c r="F42" s="182"/>
      <c r="G42" s="183"/>
      <c r="H42" s="181" t="s">
        <v>110</v>
      </c>
      <c r="I42" s="182"/>
      <c r="J42" s="183"/>
      <c r="K42" s="181" t="s">
        <v>110</v>
      </c>
      <c r="L42" s="182"/>
      <c r="M42" s="183"/>
      <c r="N42" s="181" t="s">
        <v>110</v>
      </c>
      <c r="O42" s="182"/>
      <c r="P42" s="183"/>
      <c r="Q42" s="181" t="s">
        <v>110</v>
      </c>
      <c r="R42" s="182"/>
      <c r="S42" s="183"/>
      <c r="T42" s="181" t="s">
        <v>110</v>
      </c>
      <c r="U42" s="182"/>
      <c r="V42" s="182"/>
      <c r="W42" s="184" t="s">
        <v>110</v>
      </c>
      <c r="X42" s="182"/>
      <c r="Y42" s="185"/>
    </row>
    <row r="43" spans="1:25" x14ac:dyDescent="0.25">
      <c r="A43" s="96" t="s">
        <v>111</v>
      </c>
      <c r="B43" s="117"/>
      <c r="C43" s="174">
        <f>+AC!D3</f>
        <v>0.3125</v>
      </c>
      <c r="D43" s="174"/>
      <c r="E43" s="97"/>
      <c r="F43" s="143">
        <f>+AC!D4</f>
        <v>0.3125</v>
      </c>
      <c r="G43" s="143"/>
      <c r="H43" s="117"/>
      <c r="I43" s="174">
        <f>+AC!D5</f>
        <v>0.3125</v>
      </c>
      <c r="J43" s="174"/>
      <c r="K43" s="97"/>
      <c r="L43" s="143">
        <f>+AC!D6</f>
        <v>0.3888888888888889</v>
      </c>
      <c r="M43" s="143"/>
      <c r="N43" s="97"/>
      <c r="O43" s="143">
        <f>+AC!D7</f>
        <v>0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0.26527777777777778</v>
      </c>
      <c r="Y43" s="104" t="str">
        <f t="shared" si="10"/>
        <v/>
      </c>
    </row>
    <row r="44" spans="1:25" x14ac:dyDescent="0.25">
      <c r="A44" s="96" t="s">
        <v>112</v>
      </c>
      <c r="B44" s="117"/>
      <c r="C44" s="118">
        <f>+AC!J3</f>
        <v>0.65972222222222221</v>
      </c>
      <c r="D44" s="118"/>
      <c r="E44" s="97"/>
      <c r="F44" s="98">
        <f>+AC!J4</f>
        <v>0.65625</v>
      </c>
      <c r="G44" s="98"/>
      <c r="H44" s="117"/>
      <c r="I44" s="118">
        <f>+AC!J5</f>
        <v>0.65625</v>
      </c>
      <c r="J44" s="118"/>
      <c r="K44" s="97"/>
      <c r="L44" s="98">
        <f>+AC!J6</f>
        <v>0.65625</v>
      </c>
      <c r="M44" s="98"/>
      <c r="N44" s="97"/>
      <c r="O44" s="98">
        <f>+AC!J7</f>
        <v>0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0.52569444444444446</v>
      </c>
      <c r="Y44" s="107" t="str">
        <f t="shared" si="10"/>
        <v/>
      </c>
    </row>
    <row r="45" spans="1:25" ht="16.5" thickBot="1" x14ac:dyDescent="0.3">
      <c r="A45" s="109" t="s">
        <v>113</v>
      </c>
      <c r="B45" s="127"/>
      <c r="C45" s="128">
        <f>+AC!G16</f>
        <v>0.2638888888888889</v>
      </c>
      <c r="D45" s="128"/>
      <c r="E45" s="110"/>
      <c r="F45" s="139">
        <f>+AC!G17</f>
        <v>0.2534722222222221</v>
      </c>
      <c r="G45" s="139"/>
      <c r="H45" s="127"/>
      <c r="I45" s="128">
        <f>+AC!G18</f>
        <v>0.25694444444444448</v>
      </c>
      <c r="J45" s="128"/>
      <c r="K45" s="110"/>
      <c r="L45" s="139">
        <f>+AC!G19</f>
        <v>0.22083333333333333</v>
      </c>
      <c r="M45" s="139"/>
      <c r="N45" s="110"/>
      <c r="O45" s="139">
        <f>+AC!G20</f>
        <v>0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0.19902777777777775</v>
      </c>
      <c r="Y45" s="115" t="str">
        <f t="shared" si="10"/>
        <v/>
      </c>
    </row>
    <row r="46" spans="1:25" ht="16.5" thickBot="1" x14ac:dyDescent="0.3">
      <c r="A46" s="95" t="s">
        <v>120</v>
      </c>
      <c r="B46" s="181" t="s">
        <v>110</v>
      </c>
      <c r="C46" s="182"/>
      <c r="D46" s="183"/>
      <c r="E46" s="181" t="s">
        <v>110</v>
      </c>
      <c r="F46" s="182"/>
      <c r="G46" s="183"/>
      <c r="H46" s="181" t="s">
        <v>110</v>
      </c>
      <c r="I46" s="182"/>
      <c r="J46" s="183"/>
      <c r="K46" s="181" t="s">
        <v>110</v>
      </c>
      <c r="L46" s="182"/>
      <c r="M46" s="183"/>
      <c r="N46" s="181" t="s">
        <v>110</v>
      </c>
      <c r="O46" s="182"/>
      <c r="P46" s="183"/>
      <c r="Q46" s="181" t="s">
        <v>110</v>
      </c>
      <c r="R46" s="182"/>
      <c r="S46" s="183"/>
      <c r="T46" s="181" t="s">
        <v>110</v>
      </c>
      <c r="U46" s="182"/>
      <c r="V46" s="182"/>
      <c r="W46" s="184" t="s">
        <v>110</v>
      </c>
      <c r="X46" s="182"/>
      <c r="Y46" s="185"/>
    </row>
    <row r="47" spans="1:25" x14ac:dyDescent="0.25">
      <c r="A47" s="96" t="s">
        <v>111</v>
      </c>
      <c r="B47" s="117"/>
      <c r="C47" s="118"/>
      <c r="D47" s="118">
        <f>+Colec!D3</f>
        <v>0.64583333333333337</v>
      </c>
      <c r="E47" s="117"/>
      <c r="F47" s="118"/>
      <c r="G47" s="118">
        <f>+Colec!D4</f>
        <v>0.64583333333333337</v>
      </c>
      <c r="H47" s="117"/>
      <c r="I47" s="118"/>
      <c r="J47" s="118">
        <f>+Colec!D5</f>
        <v>0.64583333333333337</v>
      </c>
      <c r="K47" s="117"/>
      <c r="L47" s="118"/>
      <c r="M47" s="118">
        <f>+Colec!D6</f>
        <v>0.71875</v>
      </c>
      <c r="N47" s="117"/>
      <c r="O47" s="118"/>
      <c r="P47" s="118">
        <f>+Colec!D7</f>
        <v>0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0.53125</v>
      </c>
    </row>
    <row r="48" spans="1:25" x14ac:dyDescent="0.25">
      <c r="A48" s="96" t="s">
        <v>112</v>
      </c>
      <c r="B48" s="117"/>
      <c r="C48" s="118"/>
      <c r="D48" s="118">
        <f>+Colec!J3</f>
        <v>0.98263888888888884</v>
      </c>
      <c r="E48" s="117"/>
      <c r="F48" s="118"/>
      <c r="G48" s="118">
        <f>+Colec!J4</f>
        <v>0.97916666666666663</v>
      </c>
      <c r="H48" s="117"/>
      <c r="I48" s="118"/>
      <c r="J48" s="118">
        <f>+Colec!J5</f>
        <v>0.98611111111111116</v>
      </c>
      <c r="K48" s="117"/>
      <c r="L48" s="118"/>
      <c r="M48" s="118">
        <f>+Colec!J6</f>
        <v>0.98958333333333337</v>
      </c>
      <c r="N48" s="117"/>
      <c r="O48" s="118"/>
      <c r="P48" s="118">
        <f>+Colec!J7</f>
        <v>0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0.78749999999999998</v>
      </c>
    </row>
    <row r="49" spans="1:25" ht="16.5" thickBot="1" x14ac:dyDescent="0.3">
      <c r="A49" s="109" t="s">
        <v>113</v>
      </c>
      <c r="B49" s="127"/>
      <c r="C49" s="118"/>
      <c r="D49" s="118">
        <f>+Colec!G16</f>
        <v>0.23472222222222217</v>
      </c>
      <c r="E49" s="127"/>
      <c r="F49" s="118"/>
      <c r="G49" s="118">
        <f>+Colec!G17</f>
        <v>0.26111111111111096</v>
      </c>
      <c r="H49" s="127"/>
      <c r="I49" s="118"/>
      <c r="J49" s="118">
        <f>+Colec!G18</f>
        <v>0.26875000000000016</v>
      </c>
      <c r="K49" s="127"/>
      <c r="L49" s="118"/>
      <c r="M49" s="118">
        <f>+Colec!G19</f>
        <v>0.22083333333333333</v>
      </c>
      <c r="N49" s="127"/>
      <c r="O49" s="118"/>
      <c r="P49" s="118">
        <f>+Colec!G20</f>
        <v>0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0.19708333333333333</v>
      </c>
    </row>
    <row r="50" spans="1:25" ht="16.5" thickBot="1" x14ac:dyDescent="0.3">
      <c r="A50" s="95" t="s">
        <v>61</v>
      </c>
      <c r="B50" s="181" t="s">
        <v>110</v>
      </c>
      <c r="C50" s="182"/>
      <c r="D50" s="183"/>
      <c r="E50" s="181" t="s">
        <v>110</v>
      </c>
      <c r="F50" s="182"/>
      <c r="G50" s="183"/>
      <c r="H50" s="181" t="s">
        <v>110</v>
      </c>
      <c r="I50" s="182"/>
      <c r="J50" s="183"/>
      <c r="K50" s="181" t="s">
        <v>110</v>
      </c>
      <c r="L50" s="182"/>
      <c r="M50" s="183"/>
      <c r="N50" s="181" t="s">
        <v>110</v>
      </c>
      <c r="O50" s="182"/>
      <c r="P50" s="183"/>
      <c r="Q50" s="181" t="s">
        <v>110</v>
      </c>
      <c r="R50" s="182"/>
      <c r="S50" s="183"/>
      <c r="T50" s="181" t="s">
        <v>110</v>
      </c>
      <c r="U50" s="182"/>
      <c r="V50" s="182"/>
      <c r="W50" s="184" t="s">
        <v>110</v>
      </c>
      <c r="X50" s="182"/>
      <c r="Y50" s="185"/>
    </row>
    <row r="51" spans="1:25" x14ac:dyDescent="0.25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117"/>
      <c r="I51" s="174">
        <f>+'P M'!D5</f>
        <v>0.3125</v>
      </c>
      <c r="J51" s="174"/>
      <c r="K51" s="97"/>
      <c r="L51" s="143">
        <f>+'P M'!D6</f>
        <v>0.3888888888888889</v>
      </c>
      <c r="M51" s="143"/>
      <c r="N51" s="97"/>
      <c r="O51" s="143"/>
      <c r="P51" s="143">
        <f>+'P M'!D7</f>
        <v>0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0.33159722222222221</v>
      </c>
      <c r="Y51" s="104">
        <f t="shared" si="12"/>
        <v>0</v>
      </c>
    </row>
    <row r="52" spans="1:25" x14ac:dyDescent="0.25">
      <c r="A52" s="96" t="s">
        <v>112</v>
      </c>
      <c r="B52" s="117"/>
      <c r="C52" s="119">
        <f>+'P M'!J3</f>
        <v>0.65277777777777779</v>
      </c>
      <c r="D52" s="119"/>
      <c r="E52" s="97"/>
      <c r="F52" s="98">
        <f>+'P M'!J4</f>
        <v>0.65277777777777779</v>
      </c>
      <c r="G52" s="98"/>
      <c r="H52" s="117"/>
      <c r="I52" s="118">
        <f>+'P M'!J5</f>
        <v>0.65277777777777779</v>
      </c>
      <c r="J52" s="118"/>
      <c r="K52" s="97"/>
      <c r="L52" s="98">
        <f>+'P M'!J6</f>
        <v>0.64930555555555558</v>
      </c>
      <c r="M52" s="98"/>
      <c r="N52" s="97"/>
      <c r="O52" s="98"/>
      <c r="P52" s="98">
        <f>+'P M'!J7</f>
        <v>0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0.65190972222222232</v>
      </c>
      <c r="Y52" s="107">
        <f t="shared" si="12"/>
        <v>0</v>
      </c>
    </row>
    <row r="53" spans="1:25" ht="16.5" thickBot="1" x14ac:dyDescent="0.3">
      <c r="A53" s="109" t="s">
        <v>113</v>
      </c>
      <c r="B53" s="127"/>
      <c r="C53" s="119">
        <f>+'P M'!G16</f>
        <v>0.26180555555555557</v>
      </c>
      <c r="D53" s="119"/>
      <c r="E53" s="110"/>
      <c r="F53" s="139">
        <f>+'P M'!G17</f>
        <v>0.2638888888888889</v>
      </c>
      <c r="G53" s="139"/>
      <c r="H53" s="127"/>
      <c r="I53" s="128">
        <f>+'P M'!G18</f>
        <v>0.24999999999999994</v>
      </c>
      <c r="J53" s="128"/>
      <c r="K53" s="110"/>
      <c r="L53" s="139">
        <f>+'P M'!G19</f>
        <v>0.21180555555555564</v>
      </c>
      <c r="M53" s="139"/>
      <c r="N53" s="110"/>
      <c r="O53" s="139"/>
      <c r="P53" s="139">
        <f>+'P M'!G20</f>
        <v>0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0.24687500000000001</v>
      </c>
      <c r="Y53" s="115">
        <f t="shared" si="12"/>
        <v>0</v>
      </c>
    </row>
    <row r="54" spans="1:25" ht="16.5" thickBot="1" x14ac:dyDescent="0.3">
      <c r="A54" s="95" t="s">
        <v>82</v>
      </c>
      <c r="B54" s="181" t="s">
        <v>110</v>
      </c>
      <c r="C54" s="182"/>
      <c r="D54" s="183"/>
      <c r="E54" s="181" t="s">
        <v>110</v>
      </c>
      <c r="F54" s="182"/>
      <c r="G54" s="183"/>
      <c r="H54" s="181" t="s">
        <v>110</v>
      </c>
      <c r="I54" s="182"/>
      <c r="J54" s="183"/>
      <c r="K54" s="181" t="s">
        <v>110</v>
      </c>
      <c r="L54" s="182"/>
      <c r="M54" s="183"/>
      <c r="N54" s="181" t="s">
        <v>110</v>
      </c>
      <c r="O54" s="182"/>
      <c r="P54" s="183"/>
      <c r="Q54" s="181" t="s">
        <v>110</v>
      </c>
      <c r="R54" s="182"/>
      <c r="S54" s="183"/>
      <c r="T54" s="181" t="s">
        <v>110</v>
      </c>
      <c r="U54" s="182"/>
      <c r="V54" s="182"/>
      <c r="W54" s="184" t="s">
        <v>110</v>
      </c>
      <c r="X54" s="182"/>
      <c r="Y54" s="185"/>
    </row>
    <row r="55" spans="1:25" x14ac:dyDescent="0.25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'!G5</f>
        <v>0.90277777777777779</v>
      </c>
      <c r="K55" s="117"/>
      <c r="L55" s="118"/>
      <c r="M55" s="118">
        <f>+'Vent '!D6</f>
        <v>0.71180555555555547</v>
      </c>
      <c r="N55" s="117"/>
      <c r="O55" s="118"/>
      <c r="P55" s="118">
        <f>+'Vent '!D7</f>
        <v>0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0.58125000000000004</v>
      </c>
    </row>
    <row r="56" spans="1:25" x14ac:dyDescent="0.25">
      <c r="A56" s="96" t="s">
        <v>112</v>
      </c>
      <c r="B56" s="117"/>
      <c r="C56" s="118"/>
      <c r="D56" s="118">
        <f>+'Vent '!J3</f>
        <v>0.98611111111111116</v>
      </c>
      <c r="E56" s="117"/>
      <c r="F56" s="118"/>
      <c r="G56" s="118">
        <f>+'Vent '!J4</f>
        <v>0.98611111111111116</v>
      </c>
      <c r="H56" s="117"/>
      <c r="I56" s="118"/>
      <c r="J56" s="118">
        <f>+'Vent '!J5</f>
        <v>0.98611111111111105</v>
      </c>
      <c r="K56" s="117"/>
      <c r="L56" s="118"/>
      <c r="M56" s="118">
        <f>+'Vent '!J6</f>
        <v>0.98611111111111105</v>
      </c>
      <c r="N56" s="117"/>
      <c r="O56" s="118"/>
      <c r="P56" s="118">
        <f>+'Vent '!J7</f>
        <v>0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0.78888888888888897</v>
      </c>
    </row>
    <row r="57" spans="1:25" ht="16.5" thickBot="1" x14ac:dyDescent="0.3">
      <c r="A57" s="109" t="s">
        <v>113</v>
      </c>
      <c r="B57" s="127"/>
      <c r="C57" s="118"/>
      <c r="D57" s="118">
        <f>+'Vent '!G16</f>
        <v>0.25347222222222232</v>
      </c>
      <c r="E57" s="127"/>
      <c r="F57" s="118"/>
      <c r="G57" s="118">
        <f>+'Vent '!G17</f>
        <v>0.25694444444444453</v>
      </c>
      <c r="H57" s="127"/>
      <c r="I57" s="118"/>
      <c r="J57" s="118">
        <f>+'Vent '!G18</f>
        <v>0.25694444444444431</v>
      </c>
      <c r="K57" s="127"/>
      <c r="L57" s="118"/>
      <c r="M57" s="118">
        <f>+'Vent '!G19</f>
        <v>0.22222222222222221</v>
      </c>
      <c r="N57" s="127"/>
      <c r="O57" s="118"/>
      <c r="P57" s="118">
        <f>+'Vent '!G20</f>
        <v>0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0.19791666666666669</v>
      </c>
    </row>
    <row r="58" spans="1:25" ht="16.5" thickBot="1" x14ac:dyDescent="0.3">
      <c r="A58" s="95" t="s">
        <v>121</v>
      </c>
      <c r="B58" s="181" t="s">
        <v>110</v>
      </c>
      <c r="C58" s="182"/>
      <c r="D58" s="183"/>
      <c r="E58" s="181" t="s">
        <v>110</v>
      </c>
      <c r="F58" s="182"/>
      <c r="G58" s="183"/>
      <c r="H58" s="181" t="s">
        <v>110</v>
      </c>
      <c r="I58" s="182"/>
      <c r="J58" s="183"/>
      <c r="K58" s="181" t="s">
        <v>110</v>
      </c>
      <c r="L58" s="182"/>
      <c r="M58" s="183"/>
      <c r="N58" s="181" t="s">
        <v>110</v>
      </c>
      <c r="O58" s="182"/>
      <c r="P58" s="183"/>
      <c r="Q58" s="181" t="s">
        <v>110</v>
      </c>
      <c r="R58" s="182"/>
      <c r="S58" s="183"/>
      <c r="T58" s="181" t="s">
        <v>110</v>
      </c>
      <c r="U58" s="182"/>
      <c r="V58" s="182"/>
      <c r="W58" s="184" t="s">
        <v>110</v>
      </c>
      <c r="X58" s="182"/>
      <c r="Y58" s="183"/>
    </row>
    <row r="59" spans="1:25" x14ac:dyDescent="0.25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0.33333333333333331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0.3888888888888889</v>
      </c>
      <c r="M59" s="101"/>
      <c r="N59" s="97"/>
      <c r="O59" s="98">
        <f>+ACCU!D7</f>
        <v>0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0.27847222222222223</v>
      </c>
      <c r="Y59" s="140" t="str">
        <f t="shared" si="14"/>
        <v/>
      </c>
    </row>
    <row r="60" spans="1:25" x14ac:dyDescent="0.25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0.66666666666666663</v>
      </c>
      <c r="Y60" s="141" t="str">
        <f t="shared" si="14"/>
        <v/>
      </c>
    </row>
    <row r="61" spans="1:25" ht="16.5" thickBot="1" x14ac:dyDescent="0.3">
      <c r="A61" s="109" t="s">
        <v>113</v>
      </c>
      <c r="B61" s="127"/>
      <c r="C61" s="128">
        <f>+ACCU!G16</f>
        <v>0.4513888888888889</v>
      </c>
      <c r="D61" s="130"/>
      <c r="E61" s="110"/>
      <c r="F61" s="139">
        <f>+ACCU!G17</f>
        <v>0.44791666666666669</v>
      </c>
      <c r="G61" s="112"/>
      <c r="H61" s="127"/>
      <c r="I61" s="128">
        <f>+ACCU!G18</f>
        <v>0.4444444444444442</v>
      </c>
      <c r="J61" s="130"/>
      <c r="K61" s="110"/>
      <c r="L61" s="139">
        <f>+ACCU!G19</f>
        <v>0.38472222222222191</v>
      </c>
      <c r="M61" s="112"/>
      <c r="N61" s="110"/>
      <c r="O61" s="139">
        <f>+ACCU!G20</f>
        <v>0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0.34569444444444436</v>
      </c>
      <c r="Y61" s="142" t="str">
        <f t="shared" si="14"/>
        <v/>
      </c>
    </row>
  </sheetData>
  <mergeCells count="120"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6:AC11"/>
  <sheetViews>
    <sheetView topLeftCell="A4" workbookViewId="0">
      <selection activeCell="K17" sqref="K17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6" spans="2:29" ht="16.5" thickBot="1" x14ac:dyDescent="0.3"/>
    <row r="7" spans="2:29" ht="16.5" thickBot="1" x14ac:dyDescent="0.3">
      <c r="B7" s="156"/>
      <c r="C7" s="205">
        <f>'TTE 6 '!C3</f>
        <v>44816</v>
      </c>
      <c r="D7" s="206"/>
      <c r="E7" s="206"/>
      <c r="F7" s="205">
        <f>+'TTE 6 '!C4</f>
        <v>44817</v>
      </c>
      <c r="G7" s="206"/>
      <c r="H7" s="206"/>
      <c r="I7" s="205">
        <f>'TTE 6 '!C5</f>
        <v>44818</v>
      </c>
      <c r="J7" s="206"/>
      <c r="K7" s="206"/>
      <c r="L7" s="205">
        <f>'TTE 6 '!C6</f>
        <v>44819</v>
      </c>
      <c r="M7" s="206"/>
      <c r="N7" s="206"/>
      <c r="O7" s="205">
        <f>+'TTE 6 '!C7</f>
        <v>44820</v>
      </c>
      <c r="P7" s="206"/>
      <c r="Q7" s="206"/>
      <c r="R7" s="205">
        <f>'TTE 6 '!C8</f>
        <v>44821</v>
      </c>
      <c r="S7" s="206"/>
      <c r="T7" s="206"/>
      <c r="U7" s="205">
        <f>'TTE 6 '!C9</f>
        <v>44822</v>
      </c>
      <c r="V7" s="206"/>
      <c r="W7" s="206"/>
      <c r="X7" s="210" t="s">
        <v>107</v>
      </c>
      <c r="Y7" s="211"/>
      <c r="Z7" s="212"/>
      <c r="AA7" s="203" t="s">
        <v>122</v>
      </c>
      <c r="AC7" s="207" t="s">
        <v>128</v>
      </c>
    </row>
    <row r="8" spans="2:29" ht="16.5" thickBot="1" x14ac:dyDescent="0.3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04"/>
      <c r="AC8" s="208"/>
    </row>
    <row r="9" spans="2:29" ht="16.5" thickBot="1" x14ac:dyDescent="0.3">
      <c r="B9" s="157" t="s">
        <v>123</v>
      </c>
      <c r="C9" s="200" t="s">
        <v>124</v>
      </c>
      <c r="D9" s="201"/>
      <c r="E9" s="202"/>
      <c r="F9" s="200" t="s">
        <v>124</v>
      </c>
      <c r="G9" s="201"/>
      <c r="H9" s="202"/>
      <c r="I9" s="200" t="s">
        <v>124</v>
      </c>
      <c r="J9" s="201"/>
      <c r="K9" s="202"/>
      <c r="L9" s="200" t="s">
        <v>124</v>
      </c>
      <c r="M9" s="201"/>
      <c r="N9" s="202"/>
      <c r="O9" s="200" t="s">
        <v>124</v>
      </c>
      <c r="P9" s="201"/>
      <c r="Q9" s="202"/>
      <c r="R9" s="200" t="s">
        <v>124</v>
      </c>
      <c r="S9" s="201"/>
      <c r="T9" s="202"/>
      <c r="U9" s="200" t="s">
        <v>124</v>
      </c>
      <c r="V9" s="201"/>
      <c r="W9" s="202"/>
      <c r="X9" s="200" t="s">
        <v>124</v>
      </c>
      <c r="Y9" s="201"/>
      <c r="Z9" s="201"/>
      <c r="AA9" s="158" t="s">
        <v>125</v>
      </c>
      <c r="AC9" s="209"/>
    </row>
    <row r="10" spans="2:29" ht="27.75" thickBot="1" x14ac:dyDescent="0.3">
      <c r="B10" s="159" t="s">
        <v>126</v>
      </c>
      <c r="C10" s="167"/>
      <c r="D10" s="168">
        <v>0</v>
      </c>
      <c r="E10" s="169">
        <v>1</v>
      </c>
      <c r="F10" s="167"/>
      <c r="G10" s="168">
        <v>0</v>
      </c>
      <c r="H10" s="169">
        <v>2</v>
      </c>
      <c r="I10" s="167"/>
      <c r="J10" s="168">
        <v>0</v>
      </c>
      <c r="K10" s="169">
        <v>2</v>
      </c>
      <c r="L10" s="167"/>
      <c r="M10" s="168">
        <v>0</v>
      </c>
      <c r="N10" s="169">
        <v>3</v>
      </c>
      <c r="O10" s="167"/>
      <c r="P10" s="168">
        <v>0</v>
      </c>
      <c r="Q10" s="169">
        <v>0</v>
      </c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0</v>
      </c>
      <c r="Z10" s="171">
        <f>E10+H10+K10+N10+Q10+T10+W10</f>
        <v>8</v>
      </c>
      <c r="AA10" s="173">
        <f>X10+Y10+Z10</f>
        <v>8</v>
      </c>
      <c r="AC10" s="175">
        <v>15</v>
      </c>
    </row>
    <row r="11" spans="2:29" ht="27.75" thickBot="1" x14ac:dyDescent="0.3">
      <c r="B11" s="160" t="s">
        <v>127</v>
      </c>
      <c r="C11" s="164"/>
      <c r="D11" s="165">
        <v>3</v>
      </c>
      <c r="E11" s="166">
        <v>0</v>
      </c>
      <c r="F11" s="164"/>
      <c r="G11" s="165">
        <v>3</v>
      </c>
      <c r="H11" s="166">
        <v>0</v>
      </c>
      <c r="I11" s="164"/>
      <c r="J11" s="165">
        <v>3</v>
      </c>
      <c r="K11" s="166">
        <v>0</v>
      </c>
      <c r="L11" s="164"/>
      <c r="M11" s="165">
        <v>2</v>
      </c>
      <c r="N11" s="166">
        <v>0</v>
      </c>
      <c r="O11" s="164"/>
      <c r="P11" s="165">
        <v>3</v>
      </c>
      <c r="Q11" s="166">
        <v>0</v>
      </c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14</v>
      </c>
      <c r="Z11" s="155">
        <f>E11+H11+K11+N11+Q11+T11+W11</f>
        <v>0</v>
      </c>
      <c r="AA11" s="172">
        <f>X11+Y11+Z11</f>
        <v>14</v>
      </c>
      <c r="AC11" s="176">
        <v>15</v>
      </c>
    </row>
  </sheetData>
  <mergeCells count="18"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  <mergeCell ref="R9:T9"/>
    <mergeCell ref="AA7:AA8"/>
    <mergeCell ref="C7:E7"/>
    <mergeCell ref="C9:E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F6" sqref="F6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33.3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95</v>
      </c>
      <c r="B3" s="12" t="s">
        <v>37</v>
      </c>
      <c r="C3" s="4">
        <f>+Tabla5[[#This Row],[FECHA]]</f>
        <v>44816</v>
      </c>
      <c r="D3" s="37">
        <v>0.34375</v>
      </c>
      <c r="E3" s="37">
        <v>0.3611111111111111</v>
      </c>
      <c r="F3" s="37">
        <v>0.37847222222222227</v>
      </c>
      <c r="G3" s="46">
        <v>0.60763888888888895</v>
      </c>
      <c r="H3" s="46">
        <v>0.61458333333333337</v>
      </c>
      <c r="I3" s="46">
        <v>0.63888888888888895</v>
      </c>
      <c r="J3" s="46">
        <v>0.65972222222222221</v>
      </c>
      <c r="K3" s="47" t="s">
        <v>90</v>
      </c>
      <c r="L3" s="53"/>
      <c r="M3" s="53"/>
      <c r="N3" s="52" t="s">
        <v>15</v>
      </c>
      <c r="O3" s="4">
        <f>Tabla513[[#This Row],[FECHA]]</f>
        <v>44816</v>
      </c>
      <c r="P3" s="7">
        <f>D3</f>
        <v>0.34375</v>
      </c>
      <c r="Q3" s="7">
        <f>E3-D3</f>
        <v>1.7361111111111105E-2</v>
      </c>
      <c r="R3" s="7">
        <f>F3-E3</f>
        <v>1.736111111111116E-2</v>
      </c>
      <c r="S3" s="7">
        <f>G3-F3</f>
        <v>0.22916666666666669</v>
      </c>
      <c r="T3" s="7">
        <f>+Tabla513[[#This Row],[ALMUERZO]]-Tabla513[[#This Row],[TERMINO ACT. AM]]</f>
        <v>6.9444444444444198E-3</v>
      </c>
      <c r="U3" s="7">
        <f>+Tabla513[[#This Row],[INICIO ACTIVIDADES PM]]-Tabla513[[#This Row],[ALMUERZO]]</f>
        <v>2.430555555555558E-2</v>
      </c>
      <c r="V3" s="7">
        <f>+Tabla513[[#This Row],[TERMINO ACTIVIDADES PM]]-Tabla513[[#This Row],[INICIO ACTIVIDADES PM]]</f>
        <v>2.0833333333333259E-2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95</v>
      </c>
      <c r="B4" s="12" t="s">
        <v>26</v>
      </c>
      <c r="C4" s="4">
        <f>+Tabla5[[#This Row],[FECHA]]</f>
        <v>44817</v>
      </c>
      <c r="D4" s="37">
        <v>0.34722222222222227</v>
      </c>
      <c r="E4" s="37">
        <v>0.36458333333333331</v>
      </c>
      <c r="F4" s="37">
        <v>0.37638888888888888</v>
      </c>
      <c r="G4" s="46">
        <v>0.59722222222222221</v>
      </c>
      <c r="H4" s="46">
        <v>0.60416666666666663</v>
      </c>
      <c r="I4" s="46">
        <v>0.62847222222222221</v>
      </c>
      <c r="J4" s="46">
        <v>0.65972222222222221</v>
      </c>
      <c r="K4" s="47" t="s">
        <v>90</v>
      </c>
      <c r="M4" s="5"/>
      <c r="N4" s="5" t="s">
        <v>16</v>
      </c>
      <c r="O4" s="4">
        <f>Tabla513[[#This Row],[FECHA]]</f>
        <v>44817</v>
      </c>
      <c r="P4" s="7">
        <f>D4</f>
        <v>0.34722222222222227</v>
      </c>
      <c r="Q4" s="7">
        <f t="shared" ref="Q4:S7" si="0">E4-D4</f>
        <v>1.7361111111111049E-2</v>
      </c>
      <c r="R4" s="7">
        <f t="shared" si="0"/>
        <v>1.1805555555555569E-2</v>
      </c>
      <c r="S4" s="7">
        <f t="shared" si="0"/>
        <v>0.22083333333333333</v>
      </c>
      <c r="T4" s="7">
        <f>+Tabla513[[#This Row],[ALMUERZO]]-Tabla513[[#This Row],[TERMINO ACT. AM]]</f>
        <v>6.9444444444444198E-3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3.125E-2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95</v>
      </c>
      <c r="B5" s="12" t="s">
        <v>27</v>
      </c>
      <c r="C5" s="4">
        <f>+Tabla5[[#This Row],[FECHA]]</f>
        <v>44818</v>
      </c>
      <c r="D5" s="37">
        <v>0.34722222222222227</v>
      </c>
      <c r="E5" s="37">
        <v>0.36458333333333331</v>
      </c>
      <c r="F5" s="37">
        <v>0.38055555555555554</v>
      </c>
      <c r="G5" s="46">
        <v>0.61111111111111105</v>
      </c>
      <c r="H5" s="46">
        <v>0.61805555555555558</v>
      </c>
      <c r="I5" s="46">
        <v>0.64583333333333337</v>
      </c>
      <c r="J5" s="46">
        <v>0.65972222222222221</v>
      </c>
      <c r="K5" s="47" t="s">
        <v>90</v>
      </c>
      <c r="M5" s="5"/>
      <c r="N5" s="5" t="s">
        <v>16</v>
      </c>
      <c r="O5" s="4">
        <f>Tabla513[[#This Row],[FECHA]]</f>
        <v>44818</v>
      </c>
      <c r="P5" s="7">
        <f>D5</f>
        <v>0.34722222222222227</v>
      </c>
      <c r="Q5" s="7">
        <f t="shared" si="0"/>
        <v>1.7361111111111049E-2</v>
      </c>
      <c r="R5" s="7">
        <f t="shared" si="0"/>
        <v>1.5972222222222221E-2</v>
      </c>
      <c r="S5" s="7">
        <f t="shared" si="0"/>
        <v>0.23055555555555551</v>
      </c>
      <c r="T5" s="7">
        <f>+Tabla513[[#This Row],[ALMUERZO]]-Tabla513[[#This Row],[TERMINO ACT. AM]]</f>
        <v>6.9444444444445308E-3</v>
      </c>
      <c r="U5" s="7">
        <f>+Tabla513[[#This Row],[INICIO ACTIVIDADES PM]]-Tabla513[[#This Row],[ALMUERZO]]</f>
        <v>2.777777777777779E-2</v>
      </c>
      <c r="V5" s="7">
        <f>+Tabla513[[#This Row],[TERMINO ACTIVIDADES PM]]-Tabla513[[#This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95</v>
      </c>
      <c r="B6" s="12" t="s">
        <v>28</v>
      </c>
      <c r="C6" s="4">
        <f>+Tabla5[[#This Row],[FECHA]]</f>
        <v>44819</v>
      </c>
      <c r="D6" s="37">
        <v>0.38541666666666669</v>
      </c>
      <c r="E6" s="37">
        <v>0.39930555555555558</v>
      </c>
      <c r="F6" s="37">
        <v>0.40972222222222227</v>
      </c>
      <c r="G6" s="46">
        <v>0.61111111111111105</v>
      </c>
      <c r="H6" s="37">
        <v>0.61805555555555558</v>
      </c>
      <c r="I6" s="46">
        <v>0.64583333333333337</v>
      </c>
      <c r="J6" s="46">
        <v>0.65972222222222221</v>
      </c>
      <c r="K6" s="47" t="s">
        <v>129</v>
      </c>
      <c r="M6" s="5"/>
      <c r="N6" s="5" t="s">
        <v>17</v>
      </c>
      <c r="O6" s="4">
        <f>Tabla513[[#This Row],[FECHA]]</f>
        <v>44819</v>
      </c>
      <c r="P6" s="7">
        <f>D6</f>
        <v>0.38541666666666669</v>
      </c>
      <c r="Q6" s="7">
        <f t="shared" si="0"/>
        <v>1.3888888888888895E-2</v>
      </c>
      <c r="R6" s="7">
        <f t="shared" si="0"/>
        <v>1.0416666666666685E-2</v>
      </c>
      <c r="S6" s="7">
        <f t="shared" si="0"/>
        <v>0.20138888888888878</v>
      </c>
      <c r="T6" s="7">
        <f>+Tabla513[[#This Row],[ALMUERZO]]-Tabla513[[#This Row],[TERMINO ACT. AM]]</f>
        <v>6.9444444444445308E-3</v>
      </c>
      <c r="U6" s="7">
        <f>+Tabla513[[#This Row],[INICIO ACTIVIDADES PM]]-Tabla513[[#This Row],[ALMUERZO]]</f>
        <v>2.777777777777779E-2</v>
      </c>
      <c r="V6" s="7">
        <f>+Tabla513[[#This Row],[TERMINO ACTIVIDADES PM]]-Tabla513[[#This Row],[INICIO ACTIVIDADES PM]]</f>
        <v>1.388888888888884E-2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95</v>
      </c>
      <c r="B7" s="12" t="s">
        <v>38</v>
      </c>
      <c r="C7" s="4">
        <f>+Tabla5[[#This Row],[FECHA]]</f>
        <v>44820</v>
      </c>
      <c r="D7" s="37"/>
      <c r="E7" s="37"/>
      <c r="F7" s="37"/>
      <c r="G7" s="46"/>
      <c r="H7" s="46"/>
      <c r="I7" s="46"/>
      <c r="J7" s="46"/>
      <c r="K7" s="47"/>
      <c r="M7" s="5"/>
      <c r="N7" s="5" t="s">
        <v>18</v>
      </c>
      <c r="O7" s="4">
        <f>Tabla513[[#This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+Tabla513[[#This Row],[ALMUERZO]]-Tabla513[[#This Row],[TERMINO ACT. AM]]</f>
        <v>0</v>
      </c>
      <c r="U7" s="7">
        <f>+Tabla513[[#This Row],[INICIO ACTIVIDADES PM]]-Tabla513[[#This Row],[ALMUERZO]]</f>
        <v>0</v>
      </c>
      <c r="V7" s="7">
        <f>+Tabla513[[#This Row],[TERMINO ACTIVIDADES PM]]-Tabla513[[#This Row],[INICIO ACTIVIDADES PM]]</f>
        <v>0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0.24999999999999994</v>
      </c>
      <c r="H16" s="23"/>
      <c r="I16" s="28"/>
      <c r="J16" s="28"/>
      <c r="K16" s="51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0.25208333333333333</v>
      </c>
      <c r="H17" s="23"/>
      <c r="I17" s="28"/>
      <c r="J17" s="28"/>
      <c r="K17" s="51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0.24444444444444435</v>
      </c>
      <c r="H18" s="23"/>
      <c r="I18" s="28"/>
      <c r="J18" s="28"/>
      <c r="K18" s="51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0.21527777777777762</v>
      </c>
      <c r="H19" s="23"/>
      <c r="I19" s="28"/>
      <c r="J19" s="28"/>
      <c r="K19" s="51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1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0.24045138888888878</v>
      </c>
      <c r="H21" s="30"/>
      <c r="I21" s="28"/>
      <c r="J21" s="28"/>
      <c r="K21" s="51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0.96180555555555514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7" t="s">
        <v>105</v>
      </c>
      <c r="I29" s="178" t="s">
        <v>103</v>
      </c>
      <c r="T29" s="3"/>
    </row>
    <row r="30" spans="1:20" ht="15.6" customHeight="1" x14ac:dyDescent="0.25">
      <c r="H30" s="177"/>
      <c r="I30" s="179"/>
      <c r="T30" s="3"/>
    </row>
    <row r="31" spans="1:20" ht="15.6" customHeight="1" x14ac:dyDescent="0.25">
      <c r="H31" s="177"/>
      <c r="I31" s="179"/>
      <c r="T31" s="3"/>
    </row>
    <row r="32" spans="1:20" ht="15.6" customHeight="1" x14ac:dyDescent="0.25">
      <c r="H32" s="177"/>
      <c r="I32" s="180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A3" sqref="A3"/>
    </sheetView>
  </sheetViews>
  <sheetFormatPr baseColWidth="10" defaultColWidth="10.875" defaultRowHeight="15.75" x14ac:dyDescent="0.25"/>
  <cols>
    <col min="1" max="1" width="10.875" style="2"/>
    <col min="2" max="2" width="25.375" style="2" customWidth="1"/>
    <col min="3" max="16384" width="10.875" style="2"/>
  </cols>
  <sheetData>
    <row r="1" spans="2:9" ht="16.5" thickBot="1" x14ac:dyDescent="0.3"/>
    <row r="2" spans="2:9" ht="19.5" thickBot="1" x14ac:dyDescent="0.35">
      <c r="B2" s="213" t="s">
        <v>67</v>
      </c>
      <c r="C2" s="214"/>
      <c r="D2" s="214"/>
      <c r="E2" s="214"/>
      <c r="F2" s="214"/>
      <c r="G2" s="214"/>
      <c r="H2" s="214"/>
      <c r="I2" s="215"/>
    </row>
    <row r="3" spans="2:9" ht="32.25" thickBot="1" x14ac:dyDescent="0.3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5" thickBot="1" x14ac:dyDescent="0.3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5" thickBot="1" x14ac:dyDescent="0.3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5" thickBot="1" x14ac:dyDescent="0.3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5" thickBot="1" x14ac:dyDescent="0.3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5" thickBot="1" x14ac:dyDescent="0.3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5" thickBot="1" x14ac:dyDescent="0.3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5" thickBot="1" x14ac:dyDescent="0.3">
      <c r="B10"/>
      <c r="C10"/>
      <c r="D10"/>
      <c r="E10"/>
      <c r="F10"/>
      <c r="G10"/>
      <c r="H10"/>
      <c r="I10"/>
    </row>
    <row r="11" spans="2:9" ht="19.5" thickBot="1" x14ac:dyDescent="0.35">
      <c r="B11" s="213" t="s">
        <v>73</v>
      </c>
      <c r="C11" s="214"/>
      <c r="D11" s="214"/>
      <c r="E11" s="214"/>
      <c r="F11" s="214"/>
      <c r="G11" s="214"/>
      <c r="H11" s="214"/>
      <c r="I11" s="215"/>
    </row>
    <row r="12" spans="2:9" ht="32.25" thickBot="1" x14ac:dyDescent="0.3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5" thickBot="1" x14ac:dyDescent="0.3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5" thickBot="1" x14ac:dyDescent="0.3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5" thickBot="1" x14ac:dyDescent="0.3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5" thickBot="1" x14ac:dyDescent="0.3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5" thickBot="1" x14ac:dyDescent="0.3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5" thickBot="1" x14ac:dyDescent="0.3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5" thickBot="1" x14ac:dyDescent="0.3">
      <c r="B19"/>
      <c r="C19"/>
      <c r="D19"/>
      <c r="E19"/>
      <c r="F19"/>
      <c r="G19"/>
      <c r="H19"/>
      <c r="I19"/>
    </row>
    <row r="20" spans="2:9" ht="19.5" thickBot="1" x14ac:dyDescent="0.35">
      <c r="B20" s="213" t="s">
        <v>74</v>
      </c>
      <c r="C20" s="214"/>
      <c r="D20" s="214"/>
      <c r="E20" s="214"/>
      <c r="F20" s="214"/>
      <c r="G20" s="214"/>
      <c r="H20" s="214"/>
      <c r="I20" s="215"/>
    </row>
    <row r="21" spans="2:9" ht="32.25" thickBot="1" x14ac:dyDescent="0.3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5" thickBot="1" x14ac:dyDescent="0.3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5" thickBot="1" x14ac:dyDescent="0.3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5" thickBot="1" x14ac:dyDescent="0.3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5" thickBot="1" x14ac:dyDescent="0.3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5" thickBot="1" x14ac:dyDescent="0.3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5" thickBot="1" x14ac:dyDescent="0.3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F6" sqref="F6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25">
      <c r="A3" s="12" t="s">
        <v>96</v>
      </c>
      <c r="B3" s="12" t="s">
        <v>37</v>
      </c>
      <c r="C3" s="4">
        <f>+Tabla5[[#This Row],[FECHA]]</f>
        <v>44816</v>
      </c>
      <c r="D3" s="37">
        <v>0.67361111111111116</v>
      </c>
      <c r="E3" s="37">
        <v>0.69791666666666663</v>
      </c>
      <c r="F3" s="37">
        <v>0.71319444444444446</v>
      </c>
      <c r="G3" s="37">
        <v>0.94861111111111107</v>
      </c>
      <c r="H3" s="37">
        <v>0.95486111111111116</v>
      </c>
      <c r="I3" s="37">
        <v>0.97569444444444453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44816</v>
      </c>
      <c r="P3" s="7">
        <f>D3</f>
        <v>0.67361111111111116</v>
      </c>
      <c r="Q3" s="7">
        <f>E3-D3</f>
        <v>2.4305555555555469E-2</v>
      </c>
      <c r="R3" s="7">
        <f>F3-E3</f>
        <v>1.5277777777777835E-2</v>
      </c>
      <c r="S3" s="7">
        <f>G3-F3</f>
        <v>0.23541666666666661</v>
      </c>
      <c r="T3" s="7">
        <f>+Tabla51334[[#This Row],[ALMUERZO]]-Tabla51334[[#This Row],[TERMINO ACT. AM]]</f>
        <v>6.2500000000000888E-3</v>
      </c>
      <c r="U3" s="7">
        <f>+Tabla51334[[#This Row],[INICIO ACTIVIDADES PM]]-Tabla51334[[#This Row],[ALMUERZO]]</f>
        <v>2.083333333333337E-2</v>
      </c>
      <c r="V3" s="7">
        <f>+Tabla51334[[#This Row],[TERMINO ACTIVIDADES PM]]-Tabla51334[[#This Row],[INICIO ACTIVIDADES PM]]</f>
        <v>1.7361111111110938E-2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25">
      <c r="A4" s="12" t="s">
        <v>96</v>
      </c>
      <c r="B4" s="12" t="s">
        <v>26</v>
      </c>
      <c r="C4" s="4">
        <f>+Tabla5[[#This Row],[FECHA]]</f>
        <v>44817</v>
      </c>
      <c r="D4" s="37">
        <v>0.67361111111111116</v>
      </c>
      <c r="E4" s="37">
        <v>0.69791666666666663</v>
      </c>
      <c r="F4" s="37">
        <v>0.71736111111111101</v>
      </c>
      <c r="G4" s="37">
        <v>0.94513888888888886</v>
      </c>
      <c r="H4" s="37">
        <v>0.95486111111111116</v>
      </c>
      <c r="I4" s="37">
        <v>0.97569444444444453</v>
      </c>
      <c r="J4" s="46">
        <v>0.99305555555555547</v>
      </c>
      <c r="K4" s="47"/>
      <c r="M4" s="5"/>
      <c r="N4" s="5" t="s">
        <v>16</v>
      </c>
      <c r="O4" s="4">
        <f>Tabla51334[[#This Row],[FECHA]]</f>
        <v>44817</v>
      </c>
      <c r="P4" s="7">
        <f>D4</f>
        <v>0.67361111111111116</v>
      </c>
      <c r="Q4" s="7">
        <f t="shared" ref="Q4:S7" si="0">E4-D4</f>
        <v>2.4305555555555469E-2</v>
      </c>
      <c r="R4" s="7">
        <f t="shared" si="0"/>
        <v>1.9444444444444375E-2</v>
      </c>
      <c r="S4" s="7">
        <f t="shared" si="0"/>
        <v>0.22777777777777786</v>
      </c>
      <c r="T4" s="7">
        <f>+Tabla51334[[#This Row],[ALMUERZO]]-Tabla51334[[#This Row],[TERMINO ACT. AM]]</f>
        <v>9.7222222222222987E-3</v>
      </c>
      <c r="U4" s="7">
        <f>+Tabla51334[[#This Row],[INICIO ACTIVIDADES PM]]-Tabla51334[[#This Row],[ALMUERZO]]</f>
        <v>2.083333333333337E-2</v>
      </c>
      <c r="V4" s="7">
        <f>+Tabla51334[[#This Row],[TERMINO ACTIVIDADES PM]]-Tabla51334[[#This Row],[INICIO ACTIVIDADES PM]]</f>
        <v>1.7361111111110938E-2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25">
      <c r="A5" s="12" t="s">
        <v>96</v>
      </c>
      <c r="B5" s="12" t="s">
        <v>27</v>
      </c>
      <c r="C5" s="4">
        <f>+Tabla5[[#This Row],[FECHA]]</f>
        <v>44818</v>
      </c>
      <c r="D5" s="37">
        <v>0.67361111111111116</v>
      </c>
      <c r="E5" s="37">
        <v>0.69791666666666663</v>
      </c>
      <c r="F5" s="37">
        <v>0.71875</v>
      </c>
      <c r="G5" s="37">
        <v>0.94444444444444453</v>
      </c>
      <c r="H5" s="37">
        <v>0.95486111111111116</v>
      </c>
      <c r="I5" s="37">
        <v>0.97569444444444453</v>
      </c>
      <c r="J5" s="46">
        <v>0.99305555555555547</v>
      </c>
      <c r="K5" s="47"/>
      <c r="M5" s="5"/>
      <c r="N5" s="5" t="s">
        <v>16</v>
      </c>
      <c r="O5" s="4">
        <f>Tabla51334[[#This Row],[FECHA]]</f>
        <v>44818</v>
      </c>
      <c r="P5" s="7">
        <f>D5</f>
        <v>0.67361111111111116</v>
      </c>
      <c r="Q5" s="7">
        <f t="shared" si="0"/>
        <v>2.4305555555555469E-2</v>
      </c>
      <c r="R5" s="7">
        <f t="shared" si="0"/>
        <v>2.083333333333337E-2</v>
      </c>
      <c r="S5" s="7">
        <f t="shared" si="0"/>
        <v>0.22569444444444453</v>
      </c>
      <c r="T5" s="7">
        <f>+Tabla51334[[#This Row],[ALMUERZO]]-Tabla51334[[#This Row],[TERMINO ACT. AM]]</f>
        <v>1.041666666666663E-2</v>
      </c>
      <c r="U5" s="7">
        <f>+Tabla51334[[#This Row],[INICIO ACTIVIDADES PM]]-Tabla51334[[#This Row],[ALMUERZO]]</f>
        <v>2.083333333333337E-2</v>
      </c>
      <c r="V5" s="7">
        <f>+Tabla51334[[#This Row],[TERMINO ACTIVIDADES PM]]-Tabla51334[[#This Row],[INICIO ACTIVIDADES PM]]</f>
        <v>1.7361111111110938E-2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ht="24.75" x14ac:dyDescent="0.25">
      <c r="A6" s="12" t="s">
        <v>96</v>
      </c>
      <c r="B6" s="12" t="s">
        <v>28</v>
      </c>
      <c r="C6" s="4">
        <f>+Tabla5[[#This Row],[FECHA]]</f>
        <v>44819</v>
      </c>
      <c r="D6" s="37">
        <v>0.72361111111111109</v>
      </c>
      <c r="E6" s="37">
        <v>0.73263888888888884</v>
      </c>
      <c r="F6" s="37">
        <v>0.73958333333333337</v>
      </c>
      <c r="G6" s="37">
        <v>0.94097222222222221</v>
      </c>
      <c r="H6" s="37">
        <v>0.95138888888888884</v>
      </c>
      <c r="I6" s="37">
        <v>0.97222222222222221</v>
      </c>
      <c r="J6" s="46">
        <v>0.99305555555555547</v>
      </c>
      <c r="K6" s="47" t="s">
        <v>129</v>
      </c>
      <c r="M6" s="5"/>
      <c r="N6" s="5" t="s">
        <v>17</v>
      </c>
      <c r="O6" s="4">
        <f>Tabla51334[[#This Row],[FECHA]]</f>
        <v>44819</v>
      </c>
      <c r="P6" s="7">
        <f>D6</f>
        <v>0.72361111111111109</v>
      </c>
      <c r="Q6" s="7">
        <f t="shared" si="0"/>
        <v>9.0277777777777457E-3</v>
      </c>
      <c r="R6" s="7">
        <f t="shared" si="0"/>
        <v>6.9444444444445308E-3</v>
      </c>
      <c r="S6" s="7">
        <f t="shared" si="0"/>
        <v>0.20138888888888884</v>
      </c>
      <c r="T6" s="7">
        <f>+Tabla51334[[#This Row],[ALMUERZO]]-Tabla51334[[#This Row],[TERMINO ACT. AM]]</f>
        <v>1.041666666666663E-2</v>
      </c>
      <c r="U6" s="7">
        <f>+Tabla51334[[#This Row],[INICIO ACTIVIDADES PM]]-Tabla51334[[#This Row],[ALMUERZO]]</f>
        <v>2.083333333333337E-2</v>
      </c>
      <c r="V6" s="7">
        <f>+Tabla51334[[#This Row],[TERMINO ACTIVIDADES PM]]-Tabla51334[[#This Row],[INICIO ACTIVIDADES PM]]</f>
        <v>2.0833333333333259E-2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25">
      <c r="A7" s="12" t="s">
        <v>96</v>
      </c>
      <c r="B7" s="12" t="s">
        <v>38</v>
      </c>
      <c r="C7" s="4">
        <f>+Tabla5[[#This Row],[FECHA]]</f>
        <v>44820</v>
      </c>
      <c r="D7" s="37"/>
      <c r="E7" s="37"/>
      <c r="F7" s="37"/>
      <c r="G7" s="46"/>
      <c r="H7" s="37"/>
      <c r="I7" s="37"/>
      <c r="J7" s="46"/>
      <c r="K7" s="47"/>
      <c r="M7" s="5"/>
      <c r="N7" s="5" t="s">
        <v>18</v>
      </c>
      <c r="O7" s="4">
        <f>Tabla51334[[#This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+Tabla51334[[#This Row],[ALMUERZO]]-Tabla51334[[#This Row],[TERMINO ACT. AM]]</f>
        <v>0</v>
      </c>
      <c r="U7" s="7">
        <f>+Tabla51334[[#This Row],[INICIO ACTIVIDADES PM]]-Tabla51334[[#This Row],[ALMUERZO]]</f>
        <v>0</v>
      </c>
      <c r="V7" s="7">
        <f>+Tabla51334[[#This Row],[TERMINO ACTIVIDADES PM]]-Tabla51334[[#This Row],[INICIO ACTIVIDADES PM]]</f>
        <v>0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25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25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25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25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25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0.25277777777777755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0.2451388888888888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0.24305555555555547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0.2222222222222221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0.24079861111111098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0.96319444444444391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7" t="s">
        <v>105</v>
      </c>
      <c r="I27" s="178" t="s">
        <v>104</v>
      </c>
      <c r="T27" s="3"/>
    </row>
    <row r="28" spans="1:20" ht="15.6" customHeight="1" x14ac:dyDescent="0.25">
      <c r="H28" s="177"/>
      <c r="I28" s="179"/>
      <c r="T28" s="3"/>
    </row>
    <row r="29" spans="1:20" ht="15.6" customHeight="1" x14ac:dyDescent="0.25">
      <c r="H29" s="177"/>
      <c r="I29" s="179"/>
      <c r="T29" s="3"/>
    </row>
    <row r="30" spans="1:20" ht="15.6" customHeight="1" x14ac:dyDescent="0.25">
      <c r="H30" s="177"/>
      <c r="I30" s="180"/>
      <c r="T30" s="3"/>
    </row>
    <row r="31" spans="1:20" x14ac:dyDescent="0.25">
      <c r="T31" s="3"/>
    </row>
    <row r="32" spans="1:20" x14ac:dyDescent="0.25">
      <c r="T32" s="3"/>
    </row>
    <row r="33" spans="8:20" x14ac:dyDescent="0.25">
      <c r="T33" s="3"/>
    </row>
    <row r="34" spans="8:20" x14ac:dyDescent="0.25">
      <c r="T34" s="3"/>
    </row>
    <row r="35" spans="8:20" x14ac:dyDescent="0.25">
      <c r="T35" s="3"/>
    </row>
    <row r="36" spans="8:20" x14ac:dyDescent="0.25">
      <c r="T36" s="3"/>
    </row>
    <row r="37" spans="8:20" x14ac:dyDescent="0.25">
      <c r="T37" s="3"/>
    </row>
    <row r="38" spans="8:20" x14ac:dyDescent="0.25">
      <c r="T38" s="3"/>
    </row>
    <row r="39" spans="8:20" x14ac:dyDescent="0.25">
      <c r="T39" s="3"/>
    </row>
    <row r="40" spans="8:20" x14ac:dyDescent="0.25">
      <c r="T40" s="3"/>
    </row>
    <row r="41" spans="8:20" x14ac:dyDescent="0.25">
      <c r="T41" s="3"/>
    </row>
    <row r="42" spans="8:20" x14ac:dyDescent="0.25">
      <c r="H42" t="s">
        <v>101</v>
      </c>
      <c r="T42" s="3"/>
    </row>
    <row r="43" spans="8:20" x14ac:dyDescent="0.25">
      <c r="T43" s="3"/>
    </row>
    <row r="44" spans="8:20" x14ac:dyDescent="0.25">
      <c r="T44" s="3"/>
    </row>
    <row r="45" spans="8:20" x14ac:dyDescent="0.25">
      <c r="T45" s="3"/>
    </row>
    <row r="46" spans="8:20" x14ac:dyDescent="0.25">
      <c r="T46" s="3"/>
    </row>
    <row r="47" spans="8:20" x14ac:dyDescent="0.25">
      <c r="T47" s="3"/>
    </row>
    <row r="48" spans="8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F7" sqref="F7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25">
      <c r="A3" s="12" t="s">
        <v>89</v>
      </c>
      <c r="B3" s="12" t="s">
        <v>37</v>
      </c>
      <c r="C3" s="4">
        <f>+Tabla5[[#This Row],[FECHA]]</f>
        <v>44816</v>
      </c>
      <c r="D3" s="37">
        <v>0.34027777777777773</v>
      </c>
      <c r="E3" s="37">
        <v>0.375</v>
      </c>
      <c r="F3" s="37">
        <v>0.38055555555555554</v>
      </c>
      <c r="G3" s="37">
        <v>0.61041666666666672</v>
      </c>
      <c r="H3" s="37">
        <v>0.61458333333333337</v>
      </c>
      <c r="I3" s="37">
        <v>0.63888888888888895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44816</v>
      </c>
      <c r="P3" s="7">
        <f>D3</f>
        <v>0.34027777777777773</v>
      </c>
      <c r="Q3" s="7">
        <f>E3-D3</f>
        <v>3.4722222222222265E-2</v>
      </c>
      <c r="R3" s="7">
        <f>F3-E3</f>
        <v>5.5555555555555358E-3</v>
      </c>
      <c r="S3" s="7">
        <f>G3-F3</f>
        <v>0.22986111111111118</v>
      </c>
      <c r="T3" s="7">
        <f>+Tabla536[[#This Row],[ALMUERZO]]-Tabla536[[#This Row],[TERMINO ACT. AM]]</f>
        <v>4.1666666666666519E-3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2.0833333333333259E-2</v>
      </c>
      <c r="W3" s="3">
        <f>+$D$1</f>
        <v>0.33333333333333331</v>
      </c>
      <c r="X3" s="3">
        <f>+$E$1</f>
        <v>0.35416666666666669</v>
      </c>
    </row>
    <row r="4" spans="1:24" x14ac:dyDescent="0.25">
      <c r="A4" s="12" t="s">
        <v>89</v>
      </c>
      <c r="B4" s="12" t="s">
        <v>26</v>
      </c>
      <c r="C4" s="4">
        <f>+Tabla5[[#This Row],[FECHA]]</f>
        <v>44817</v>
      </c>
      <c r="D4" s="37">
        <v>0.34375</v>
      </c>
      <c r="E4" s="37">
        <v>0.37291666666666662</v>
      </c>
      <c r="F4" s="37">
        <v>0.38194444444444442</v>
      </c>
      <c r="G4" s="37">
        <v>0.60833333333333328</v>
      </c>
      <c r="H4" s="37">
        <v>0.61458333333333337</v>
      </c>
      <c r="I4" s="37">
        <v>0.64027777777777783</v>
      </c>
      <c r="J4" s="46">
        <v>0.65972222222222221</v>
      </c>
      <c r="K4" s="47"/>
      <c r="M4" s="5"/>
      <c r="N4" s="5" t="s">
        <v>16</v>
      </c>
      <c r="O4" s="4">
        <f>Tabla536[[#This Row],[FECHA]]</f>
        <v>44817</v>
      </c>
      <c r="P4" s="7">
        <f>D4</f>
        <v>0.34375</v>
      </c>
      <c r="Q4" s="7">
        <f t="shared" ref="Q4:S7" si="0">E4-D4</f>
        <v>2.9166666666666619E-2</v>
      </c>
      <c r="R4" s="7">
        <f t="shared" si="0"/>
        <v>9.0277777777778012E-3</v>
      </c>
      <c r="S4" s="7">
        <f t="shared" si="0"/>
        <v>0.22638888888888886</v>
      </c>
      <c r="T4" s="7">
        <f>+Tabla536[[#This Row],[ALMUERZO]]-Tabla536[[#This Row],[TERMINO ACT. AM]]</f>
        <v>6.2500000000000888E-3</v>
      </c>
      <c r="U4" s="7">
        <f>+Tabla536[[#This Row],[INICIO ACTIVIDADES PM]]-Tabla536[[#This Row],[ALMUERZO]]</f>
        <v>2.5694444444444464E-2</v>
      </c>
      <c r="V4" s="7">
        <f>+Tabla536[[#This Row],[TERMINO ACTIVIDADES PM]]-Tabla536[[#This Row],[INICIO ACTIVIDADES PM]]</f>
        <v>1.9444444444444375E-2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25">
      <c r="A5" s="12" t="s">
        <v>89</v>
      </c>
      <c r="B5" s="12" t="s">
        <v>27</v>
      </c>
      <c r="C5" s="4">
        <f>+Tabla5[[#This Row],[FECHA]]</f>
        <v>44818</v>
      </c>
      <c r="D5" s="37">
        <v>0.33680555555555558</v>
      </c>
      <c r="E5" s="37">
        <v>0.37152777777777773</v>
      </c>
      <c r="F5" s="37">
        <v>0.38541666666666669</v>
      </c>
      <c r="G5" s="37">
        <v>0.60763888888888895</v>
      </c>
      <c r="H5" s="37">
        <v>0.61458333333333337</v>
      </c>
      <c r="I5" s="37">
        <v>0.63888888888888895</v>
      </c>
      <c r="J5" s="46">
        <v>0.65972222222222221</v>
      </c>
      <c r="K5" s="47"/>
      <c r="M5" s="5"/>
      <c r="N5" s="5" t="s">
        <v>16</v>
      </c>
      <c r="O5" s="4">
        <f>Tabla536[[#This Row],[FECHA]]</f>
        <v>44818</v>
      </c>
      <c r="P5" s="7">
        <f>D5</f>
        <v>0.33680555555555558</v>
      </c>
      <c r="Q5" s="7">
        <f t="shared" si="0"/>
        <v>3.4722222222222154E-2</v>
      </c>
      <c r="R5" s="7">
        <f t="shared" si="0"/>
        <v>1.3888888888888951E-2</v>
      </c>
      <c r="S5" s="7">
        <f t="shared" si="0"/>
        <v>0.22222222222222227</v>
      </c>
      <c r="T5" s="7">
        <f>+Tabla536[[#This Row],[ALMUERZO]]-Tabla536[[#This Row],[TERMINO ACT. AM]]</f>
        <v>6.9444444444444198E-3</v>
      </c>
      <c r="U5" s="7">
        <f>+Tabla536[[#This Row],[INICIO ACTIVIDADES PM]]-Tabla536[[#This Row],[ALMUERZO]]</f>
        <v>2.430555555555558E-2</v>
      </c>
      <c r="V5" s="7">
        <f>+Tabla536[[#This Row],[TERMINO ACTIVIDADES PM]]-Tabla536[[#This Row],[INICIO ACTIVIDADES PM]]</f>
        <v>2.0833333333333259E-2</v>
      </c>
      <c r="W5" s="3">
        <f t="shared" si="1"/>
        <v>0.33333333333333331</v>
      </c>
      <c r="X5" s="3">
        <f t="shared" si="2"/>
        <v>0.35416666666666669</v>
      </c>
    </row>
    <row r="6" spans="1:24" ht="24.75" x14ac:dyDescent="0.25">
      <c r="A6" s="12" t="s">
        <v>89</v>
      </c>
      <c r="B6" s="12" t="s">
        <v>28</v>
      </c>
      <c r="C6" s="4">
        <f>+Tabla5[[#This Row],[FECHA]]</f>
        <v>44819</v>
      </c>
      <c r="D6" s="37">
        <v>0.3923611111111111</v>
      </c>
      <c r="E6" s="37">
        <v>0.39930555555555558</v>
      </c>
      <c r="F6" s="37">
        <v>0.40625</v>
      </c>
      <c r="G6" s="37">
        <v>0.60486111111111118</v>
      </c>
      <c r="H6" s="37">
        <v>0.61111111111111105</v>
      </c>
      <c r="I6" s="37">
        <v>0.63194444444444442</v>
      </c>
      <c r="J6" s="46">
        <v>0.65972222222222221</v>
      </c>
      <c r="K6" s="47" t="s">
        <v>129</v>
      </c>
      <c r="M6" s="5"/>
      <c r="N6" s="5" t="s">
        <v>17</v>
      </c>
      <c r="O6" s="4">
        <f>Tabla536[[#This Row],[FECHA]]</f>
        <v>44819</v>
      </c>
      <c r="P6" s="7">
        <f>D6</f>
        <v>0.3923611111111111</v>
      </c>
      <c r="Q6" s="7">
        <f t="shared" si="0"/>
        <v>6.9444444444444753E-3</v>
      </c>
      <c r="R6" s="7">
        <f t="shared" si="0"/>
        <v>6.9444444444444198E-3</v>
      </c>
      <c r="S6" s="7">
        <f t="shared" si="0"/>
        <v>0.19861111111111118</v>
      </c>
      <c r="T6" s="7">
        <f>+Tabla536[[#This Row],[ALMUERZO]]-Tabla536[[#This Row],[TERMINO ACT. AM]]</f>
        <v>6.2499999999998668E-3</v>
      </c>
      <c r="U6" s="7">
        <f>+Tabla536[[#This Row],[INICIO ACTIVIDADES PM]]-Tabla536[[#This Row],[ALMUERZO]]</f>
        <v>2.083333333333337E-2</v>
      </c>
      <c r="V6" s="7">
        <f>+Tabla536[[#This Row],[TERMINO ACTIVIDADES PM]]-Tabla536[[#This Row],[INICIO ACTIVIDADES PM]]</f>
        <v>2.777777777777779E-2</v>
      </c>
      <c r="W6" s="3">
        <f t="shared" si="1"/>
        <v>0.33333333333333331</v>
      </c>
      <c r="X6" s="3">
        <f t="shared" si="2"/>
        <v>0.35416666666666669</v>
      </c>
    </row>
    <row r="7" spans="1:24" x14ac:dyDescent="0.25">
      <c r="A7" s="12" t="s">
        <v>89</v>
      </c>
      <c r="B7" s="12" t="s">
        <v>38</v>
      </c>
      <c r="C7" s="4">
        <f>+Tabla5[[#This Row],[FECHA]]</f>
        <v>44820</v>
      </c>
      <c r="D7" s="37"/>
      <c r="E7" s="37"/>
      <c r="F7" s="37"/>
      <c r="G7" s="37"/>
      <c r="H7" s="37"/>
      <c r="I7" s="37"/>
      <c r="J7" s="46"/>
      <c r="K7" s="47"/>
      <c r="M7" s="5"/>
      <c r="N7" s="5" t="s">
        <v>18</v>
      </c>
      <c r="O7" s="4">
        <f>Tabla536[[#This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+Tabla536[[#This Row],[ALMUERZO]]-Tabla536[[#This Row],[TERMINO ACT. AM]]</f>
        <v>0</v>
      </c>
      <c r="U7" s="7">
        <f>+Tabla536[[#This Row],[INICIO ACTIVIDADES PM]]-Tabla536[[#This Row],[ALMUERZO]]</f>
        <v>0</v>
      </c>
      <c r="V7" s="7">
        <f>+Tabla536[[#This Row],[TERMINO ACTIVIDADES PM]]-Tabla536[[#This Row],[INICIO ACTIVIDADES PM]]</f>
        <v>0</v>
      </c>
      <c r="W7" s="3">
        <f t="shared" si="1"/>
        <v>0.33333333333333331</v>
      </c>
      <c r="X7" s="3">
        <f t="shared" si="2"/>
        <v>0.35416666666666669</v>
      </c>
    </row>
    <row r="8" spans="1:24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0.25069444444444444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0.24583333333333324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0.24305555555555552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0.22638888888888897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0.24149305555555556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22"/>
      <c r="B23" s="22"/>
      <c r="C23" s="22"/>
      <c r="D23" s="22"/>
      <c r="E23" s="22"/>
      <c r="F23" s="30" t="s">
        <v>41</v>
      </c>
      <c r="G23" s="44">
        <f>G21/G22</f>
        <v>0.96597222222222223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7" t="s">
        <v>105</v>
      </c>
      <c r="I28" s="178" t="s">
        <v>103</v>
      </c>
      <c r="T28" s="3"/>
    </row>
    <row r="29" spans="1:20" ht="15.6" customHeight="1" x14ac:dyDescent="0.25">
      <c r="H29" s="177"/>
      <c r="I29" s="179"/>
      <c r="T29" s="3"/>
    </row>
    <row r="30" spans="1:20" ht="15.6" customHeight="1" x14ac:dyDescent="0.25">
      <c r="H30" s="177"/>
      <c r="I30" s="179"/>
      <c r="T30" s="3"/>
    </row>
    <row r="31" spans="1:20" ht="15.6" customHeight="1" x14ac:dyDescent="0.25">
      <c r="H31" s="177"/>
      <c r="I31" s="180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F4" sqref="F4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97</v>
      </c>
      <c r="B3" s="12" t="s">
        <v>37</v>
      </c>
      <c r="C3" s="4">
        <f>+Tabla5[[#This Row],[FECHA]]</f>
        <v>44816</v>
      </c>
      <c r="D3" s="37">
        <v>0.67361111111111116</v>
      </c>
      <c r="E3" s="37">
        <v>0.69444444444444453</v>
      </c>
      <c r="F3" s="37">
        <v>0.71388888888888891</v>
      </c>
      <c r="G3" s="37">
        <v>0.93055555555555547</v>
      </c>
      <c r="H3" s="37">
        <v>0.9375</v>
      </c>
      <c r="I3" s="37">
        <v>0.96180555555555547</v>
      </c>
      <c r="J3" s="46">
        <v>0.98958333333333337</v>
      </c>
      <c r="K3" s="47"/>
      <c r="L3" s="53"/>
      <c r="M3" s="53"/>
      <c r="N3" s="57" t="s">
        <v>15</v>
      </c>
      <c r="O3" s="4">
        <f>Tabla537[[#This Row],[FECHA]]</f>
        <v>44816</v>
      </c>
      <c r="P3" s="7">
        <f>D3</f>
        <v>0.67361111111111116</v>
      </c>
      <c r="Q3" s="7">
        <f>E3-D3</f>
        <v>2.083333333333337E-2</v>
      </c>
      <c r="R3" s="7">
        <f>F3-E3</f>
        <v>1.9444444444444375E-2</v>
      </c>
      <c r="S3" s="7">
        <f>G3-F3</f>
        <v>0.21666666666666656</v>
      </c>
      <c r="T3" s="7">
        <f>+Tabla537[[#This Row],[ALMUERZO]]-Tabla537[[#This Row],[TERMINO ACT. AM]]</f>
        <v>6.9444444444445308E-3</v>
      </c>
      <c r="U3" s="7">
        <f>+Tabla537[[#This Row],[INICIO ACTIVIDADES PM]]-Tabla537[[#This Row],[ALMUERZO]]</f>
        <v>2.4305555555555469E-2</v>
      </c>
      <c r="V3" s="7">
        <f>+Tabla537[[#This Row],[TERMINO ACTIVIDADES PM]]-Tabla537[[#This Row],[INICIO ACTIVIDADES PM]]</f>
        <v>2.7777777777777901E-2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97</v>
      </c>
      <c r="B4" s="12" t="s">
        <v>26</v>
      </c>
      <c r="C4" s="4">
        <f>+Tabla5[[#This Row],[FECHA]]</f>
        <v>44817</v>
      </c>
      <c r="D4" s="37">
        <v>0.67361111111111116</v>
      </c>
      <c r="E4" s="37">
        <v>0.69444444444444453</v>
      </c>
      <c r="F4" s="37">
        <v>0.71527777777777779</v>
      </c>
      <c r="G4" s="37">
        <v>0.94444444444444453</v>
      </c>
      <c r="H4" s="37">
        <v>0.95486111111111116</v>
      </c>
      <c r="I4" s="37">
        <v>0.97916666666666663</v>
      </c>
      <c r="J4" s="46">
        <v>0.99305555555555547</v>
      </c>
      <c r="K4" s="47"/>
      <c r="M4" s="5"/>
      <c r="N4" s="5" t="s">
        <v>16</v>
      </c>
      <c r="O4" s="4">
        <f>Tabla537[[#This Row],[FECHA]]</f>
        <v>44817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2.0833333333333259E-2</v>
      </c>
      <c r="S4" s="7">
        <f t="shared" si="0"/>
        <v>0.22916666666666674</v>
      </c>
      <c r="T4" s="7">
        <f>+Tabla537[[#This Row],[ALMUERZO]]-Tabla537[[#This Row],[TERMINO ACT. AM]]</f>
        <v>1.041666666666663E-2</v>
      </c>
      <c r="U4" s="7">
        <f>+Tabla537[[#This Row],[INICIO ACTIVIDADES PM]]-Tabla537[[#This Row],[ALMUERZO]]</f>
        <v>2.4305555555555469E-2</v>
      </c>
      <c r="V4" s="7">
        <f>+Tabla537[[#This Row],[TERMINO ACTIVIDADES PM]]-Tabla537[[#This Row],[INICIO ACTIVIDADES PM]]</f>
        <v>1.388888888888884E-2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97</v>
      </c>
      <c r="B5" s="12" t="s">
        <v>27</v>
      </c>
      <c r="C5" s="4">
        <f>+Tabla5[[#This Row],[FECHA]]</f>
        <v>44818</v>
      </c>
      <c r="D5" s="37">
        <v>0.67361111111111116</v>
      </c>
      <c r="E5" s="37">
        <v>0.69097222222222221</v>
      </c>
      <c r="F5" s="37">
        <v>0.71597222222222223</v>
      </c>
      <c r="G5" s="37">
        <v>0.95347222222222217</v>
      </c>
      <c r="H5" s="37">
        <v>0.95624999999999993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44818</v>
      </c>
      <c r="P5" s="7">
        <f>D5</f>
        <v>0.67361111111111116</v>
      </c>
      <c r="Q5" s="7">
        <f t="shared" si="0"/>
        <v>1.7361111111111049E-2</v>
      </c>
      <c r="R5" s="7">
        <f t="shared" si="0"/>
        <v>2.5000000000000022E-2</v>
      </c>
      <c r="S5" s="7">
        <f t="shared" si="0"/>
        <v>0.23749999999999993</v>
      </c>
      <c r="T5" s="7">
        <f>+Tabla537[[#This Row],[ALMUERZO]]-Tabla537[[#This Row],[TERMINO ACT. AM]]</f>
        <v>2.7777777777777679E-3</v>
      </c>
      <c r="U5" s="7">
        <f>+Tabla537[[#This Row],[INICIO ACTIVIDADES PM]]-Tabla537[[#This Row],[ALMUERZO]]</f>
        <v>2.2916666666666696E-2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24.75" x14ac:dyDescent="0.25">
      <c r="A6" s="12" t="s">
        <v>97</v>
      </c>
      <c r="B6" s="12" t="s">
        <v>28</v>
      </c>
      <c r="C6" s="4">
        <f>+Tabla5[[#This Row],[FECHA]]</f>
        <v>44819</v>
      </c>
      <c r="D6" s="37">
        <v>0.72569444444444453</v>
      </c>
      <c r="E6" s="37">
        <v>0.73402777777777783</v>
      </c>
      <c r="F6" s="37">
        <v>0.7402777777777777</v>
      </c>
      <c r="G6" s="37">
        <v>0.92361111111111116</v>
      </c>
      <c r="H6" s="37">
        <v>0.93402777777777779</v>
      </c>
      <c r="I6" s="37">
        <v>0.95833333333333337</v>
      </c>
      <c r="J6" s="46">
        <v>0.99305555555555547</v>
      </c>
      <c r="K6" s="47" t="s">
        <v>129</v>
      </c>
      <c r="M6" s="5"/>
      <c r="N6" s="5" t="s">
        <v>17</v>
      </c>
      <c r="O6" s="4">
        <f>Tabla537[[#This Row],[FECHA]]</f>
        <v>44819</v>
      </c>
      <c r="P6" s="7">
        <f>D6</f>
        <v>0.72569444444444453</v>
      </c>
      <c r="Q6" s="7">
        <f t="shared" si="0"/>
        <v>8.3333333333333037E-3</v>
      </c>
      <c r="R6" s="7">
        <f t="shared" si="0"/>
        <v>6.2499999999998668E-3</v>
      </c>
      <c r="S6" s="7">
        <f t="shared" si="0"/>
        <v>0.18333333333333346</v>
      </c>
      <c r="T6" s="7">
        <f>+Tabla537[[#This Row],[ALMUERZO]]-Tabla537[[#This Row],[TERMINO ACT. AM]]</f>
        <v>1.041666666666663E-2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3.4722222222222099E-2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97</v>
      </c>
      <c r="B7" s="12" t="s">
        <v>38</v>
      </c>
      <c r="C7" s="4">
        <f>+Tabla5[[#This Row],[FECHA]]</f>
        <v>44820</v>
      </c>
      <c r="D7" s="37"/>
      <c r="E7" s="37"/>
      <c r="F7" s="37"/>
      <c r="G7" s="37"/>
      <c r="H7" s="37"/>
      <c r="I7" s="37"/>
      <c r="J7" s="46"/>
      <c r="K7" s="47"/>
      <c r="M7" s="5"/>
      <c r="N7" s="5" t="s">
        <v>18</v>
      </c>
      <c r="O7" s="4">
        <f>Tabla537[[#This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+Tabla537[[#This Row],[ALMUERZO]]-Tabla537[[#This Row],[TERMINO ACT. AM]]</f>
        <v>0</v>
      </c>
      <c r="U7" s="7">
        <f>+Tabla537[[#This Row],[INICIO ACTIVIDADES PM]]-Tabla537[[#This Row],[ALMUERZO]]</f>
        <v>0</v>
      </c>
      <c r="V7" s="7">
        <f>+Tabla537[[#This Row],[TERMINO ACTIVIDADES PM]]-Tabla537[[#This Row],[INICIO ACTIVIDADES PM]]</f>
        <v>0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0.24444444444444446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0.24305555555555558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0.25138888888888877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0.21805555555555556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0.23923611111111109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0.95694444444444438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7" t="s">
        <v>105</v>
      </c>
      <c r="I28" s="178" t="s">
        <v>104</v>
      </c>
      <c r="T28" s="3"/>
    </row>
    <row r="29" spans="1:20" ht="15.6" customHeight="1" x14ac:dyDescent="0.25">
      <c r="H29" s="177"/>
      <c r="I29" s="179"/>
      <c r="T29" s="3"/>
    </row>
    <row r="30" spans="1:20" ht="15.6" customHeight="1" x14ac:dyDescent="0.25">
      <c r="H30" s="177"/>
      <c r="I30" s="179"/>
      <c r="T30" s="3"/>
    </row>
    <row r="31" spans="1:20" ht="15.6" customHeight="1" x14ac:dyDescent="0.25">
      <c r="H31" s="177"/>
      <c r="I31" s="180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F7" sqref="F7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98</v>
      </c>
      <c r="B3" s="12" t="s">
        <v>37</v>
      </c>
      <c r="C3" s="4">
        <f>+Tabla5[[#This Row],[FECHA]]</f>
        <v>44816</v>
      </c>
      <c r="D3" s="37">
        <v>0.33333333333333331</v>
      </c>
      <c r="E3" s="37">
        <v>0.34375</v>
      </c>
      <c r="F3" s="37">
        <v>0.34722222222222227</v>
      </c>
      <c r="G3" s="37">
        <v>0.53819444444444442</v>
      </c>
      <c r="H3" s="37">
        <v>0.54166666666666663</v>
      </c>
      <c r="I3" s="37">
        <v>0.57291666666666663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44816</v>
      </c>
      <c r="P3" s="7">
        <f>D3</f>
        <v>0.33333333333333331</v>
      </c>
      <c r="Q3" s="7">
        <f>E3-D3</f>
        <v>1.0416666666666685E-2</v>
      </c>
      <c r="R3" s="7">
        <f>F3-E3</f>
        <v>3.4722222222222654E-3</v>
      </c>
      <c r="S3" s="7">
        <f>G3-F3</f>
        <v>0.19097222222222215</v>
      </c>
      <c r="T3" s="7">
        <f>+Tabla538[[#This Row],[ALMUERZO]]-Tabla538[[#This Row],[TERMINO ACT. AM]]</f>
        <v>3.4722222222222099E-3</v>
      </c>
      <c r="U3" s="7">
        <f>+Tabla538[[#This Row],[INICIO ACTIVIDADES PM]]-Tabla538[[#This Row],[ALMUERZO]]</f>
        <v>3.125E-2</v>
      </c>
      <c r="V3" s="7">
        <f>+Tabla538[[#This Row],[TERMINO ACTIVIDADES PM]]-Tabla538[[#This Row],[INICIO ACTIVIDADES PM]]</f>
        <v>0.26041666666666674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98</v>
      </c>
      <c r="B4" s="12" t="s">
        <v>26</v>
      </c>
      <c r="C4" s="4">
        <f>+Tabla5[[#This Row],[FECHA]]</f>
        <v>44817</v>
      </c>
      <c r="D4" s="37">
        <v>0.33333333333333331</v>
      </c>
      <c r="E4" s="37">
        <v>0.34375</v>
      </c>
      <c r="F4" s="37">
        <v>0.34722222222222227</v>
      </c>
      <c r="G4" s="37">
        <v>0.52777777777777779</v>
      </c>
      <c r="H4" s="37">
        <v>0.53472222222222221</v>
      </c>
      <c r="I4" s="37">
        <v>0.56597222222222221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44817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3.4722222222222654E-3</v>
      </c>
      <c r="S4" s="7">
        <f t="shared" si="0"/>
        <v>0.18055555555555552</v>
      </c>
      <c r="T4" s="7">
        <f>+Tabla538[[#This Row],[ALMUERZO]]-Tabla538[[#This Row],[TERMINO ACT. AM]]</f>
        <v>6.9444444444444198E-3</v>
      </c>
      <c r="U4" s="7">
        <f>+Tabla538[[#This Row],[INICIO ACTIVIDADES PM]]-Tabla538[[#This Row],[ALMUERZO]]</f>
        <v>3.125E-2</v>
      </c>
      <c r="V4" s="7">
        <f>+Tabla538[[#This Row],[TERMINO ACTIVIDADES PM]]-Tabla538[[#This Row],[INICIO ACTIVIDADES PM]]</f>
        <v>0.26736111111111116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98</v>
      </c>
      <c r="B5" s="12" t="s">
        <v>27</v>
      </c>
      <c r="C5" s="4">
        <f>+Tabla5[[#This Row],[FECHA]]</f>
        <v>44818</v>
      </c>
      <c r="D5" s="37">
        <v>0.33680555555555558</v>
      </c>
      <c r="E5" s="37">
        <v>0.34722222222222227</v>
      </c>
      <c r="F5" s="37">
        <v>0.35069444444444442</v>
      </c>
      <c r="G5" s="37">
        <v>0.54166666666666663</v>
      </c>
      <c r="H5" s="37">
        <v>0.54861111111111105</v>
      </c>
      <c r="I5" s="37">
        <v>0.57986111111111105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44818</v>
      </c>
      <c r="P5" s="7">
        <f>D5</f>
        <v>0.33680555555555558</v>
      </c>
      <c r="Q5" s="7">
        <f t="shared" si="0"/>
        <v>1.0416666666666685E-2</v>
      </c>
      <c r="R5" s="7">
        <f t="shared" si="0"/>
        <v>3.4722222222221544E-3</v>
      </c>
      <c r="S5" s="7">
        <f t="shared" si="0"/>
        <v>0.19097222222222221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3.125E-2</v>
      </c>
      <c r="V5" s="7">
        <f>+Tabla538[[#This Row],[TERMINO ACTIVIDADES PM]]-Tabla538[[#This Row],[INICIO ACTIVIDADES PM]]</f>
        <v>0.25347222222222199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24.75" x14ac:dyDescent="0.25">
      <c r="A6" s="12" t="s">
        <v>98</v>
      </c>
      <c r="B6" s="12" t="s">
        <v>28</v>
      </c>
      <c r="C6" s="4">
        <f>+Tabla5[[#This Row],[FECHA]]</f>
        <v>44819</v>
      </c>
      <c r="D6" s="37">
        <v>0.3888888888888889</v>
      </c>
      <c r="E6" s="37">
        <v>0.39374999999999999</v>
      </c>
      <c r="F6" s="37">
        <v>0.40138888888888885</v>
      </c>
      <c r="G6" s="37">
        <v>0.52916666666666667</v>
      </c>
      <c r="H6" s="37">
        <v>0.53819444444444442</v>
      </c>
      <c r="I6" s="37">
        <v>0.57638888888888895</v>
      </c>
      <c r="J6" s="46">
        <v>0.83333333333333304</v>
      </c>
      <c r="K6" s="47" t="s">
        <v>129</v>
      </c>
      <c r="M6" s="5"/>
      <c r="N6" s="5" t="s">
        <v>17</v>
      </c>
      <c r="O6" s="4">
        <f>Tabla538[[#This Row],[FECHA]]</f>
        <v>44819</v>
      </c>
      <c r="P6" s="7">
        <f>D6</f>
        <v>0.3888888888888889</v>
      </c>
      <c r="Q6" s="7">
        <f t="shared" si="0"/>
        <v>4.8611111111110938E-3</v>
      </c>
      <c r="R6" s="7">
        <f t="shared" si="0"/>
        <v>7.6388888888888618E-3</v>
      </c>
      <c r="S6" s="7">
        <f t="shared" si="0"/>
        <v>0.12777777777777782</v>
      </c>
      <c r="T6" s="7">
        <f>+Tabla538[[#This Row],[ALMUERZO]]-Tabla538[[#This Row],[TERMINO ACT. AM]]</f>
        <v>9.0277777777777457E-3</v>
      </c>
      <c r="U6" s="7">
        <f>+Tabla538[[#This Row],[INICIO ACTIVIDADES PM]]-Tabla538[[#This Row],[ALMUERZO]]</f>
        <v>3.8194444444444531E-2</v>
      </c>
      <c r="V6" s="7">
        <f>+Tabla538[[#This Row],[TERMINO ACTIVIDADES PM]]-Tabla538[[#This Row],[INICIO ACTIVIDADES PM]]</f>
        <v>0.25694444444444409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98</v>
      </c>
      <c r="B7" s="12" t="s">
        <v>38</v>
      </c>
      <c r="C7" s="4">
        <f>+Tabla5[[#This Row],[FECHA]]</f>
        <v>44820</v>
      </c>
      <c r="D7" s="37"/>
      <c r="E7" s="37"/>
      <c r="F7" s="37"/>
      <c r="G7" s="37"/>
      <c r="H7" s="37"/>
      <c r="I7" s="37"/>
      <c r="J7" s="46"/>
      <c r="K7" s="47"/>
      <c r="M7" s="5"/>
      <c r="N7" s="5" t="s">
        <v>18</v>
      </c>
      <c r="O7" s="4">
        <f>Tabla538[[#This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+Tabla538[[#This Row],[ALMUERZO]]-Tabla538[[#This Row],[TERMINO ACT. AM]]</f>
        <v>0</v>
      </c>
      <c r="U7" s="7">
        <f>+Tabla538[[#This Row],[INICIO ACTIVIDADES PM]]-Tabla538[[#This Row],[ALMUERZO]]</f>
        <v>0</v>
      </c>
      <c r="V7" s="7">
        <f>+Tabla538[[#This Row],[TERMINO ACTIVIDADES PM]]-Tabla538[[#This Row],[INICIO ACTIVIDADES PM]]</f>
        <v>0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0.4513888888888889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0.44791666666666669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0.4444444444444442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0.38472222222222191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0.43211805555555544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1.0200819672131145</v>
      </c>
      <c r="H23" s="44"/>
      <c r="I23" s="28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7" t="s">
        <v>105</v>
      </c>
      <c r="I27" s="178" t="s">
        <v>103</v>
      </c>
      <c r="T27" s="3"/>
    </row>
    <row r="28" spans="1:20" ht="15.6" customHeight="1" x14ac:dyDescent="0.25">
      <c r="H28" s="177"/>
      <c r="I28" s="179"/>
      <c r="T28" s="3"/>
    </row>
    <row r="29" spans="1:20" ht="15.6" customHeight="1" x14ac:dyDescent="0.25">
      <c r="H29" s="177"/>
      <c r="I29" s="179"/>
      <c r="T29" s="3"/>
    </row>
    <row r="30" spans="1:20" ht="15.6" customHeight="1" x14ac:dyDescent="0.25">
      <c r="H30" s="177"/>
      <c r="I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L9" sqref="L9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44816</v>
      </c>
      <c r="D3" s="37">
        <v>0.34027777777777773</v>
      </c>
      <c r="E3" s="37">
        <v>0.3611111111111111</v>
      </c>
      <c r="F3" s="37">
        <v>0.37291666666666662</v>
      </c>
      <c r="G3" s="37">
        <v>0.60069444444444442</v>
      </c>
      <c r="H3" s="37">
        <v>0.61249999999999993</v>
      </c>
      <c r="I3" s="37">
        <v>0.63541666666666663</v>
      </c>
      <c r="J3" s="46">
        <v>0.65625</v>
      </c>
      <c r="K3" s="47"/>
      <c r="L3" s="53"/>
      <c r="M3" s="53"/>
      <c r="N3" s="57" t="s">
        <v>15</v>
      </c>
      <c r="O3" s="4">
        <f>Tabla53[[#This Row],[FECHA]]</f>
        <v>44816</v>
      </c>
      <c r="P3" s="7">
        <f>D3</f>
        <v>0.34027777777777773</v>
      </c>
      <c r="Q3" s="7">
        <f>E3-D3</f>
        <v>2.083333333333337E-2</v>
      </c>
      <c r="R3" s="7">
        <f>F3-E3</f>
        <v>1.1805555555555514E-2</v>
      </c>
      <c r="S3" s="7">
        <f>G3-F3</f>
        <v>0.2277777777777778</v>
      </c>
      <c r="T3" s="7">
        <f>+Tabla53[[#This Row],[ALMUERZO]]-Tabla53[[#This Row],[TERMINO ACT. AM]]</f>
        <v>1.1805555555555514E-2</v>
      </c>
      <c r="U3" s="7">
        <f>+Tabla53[[#This Row],[INICIO ACTIVIDADES PM]]-Tabla53[[#This Row],[ALMUERZO]]</f>
        <v>2.2916666666666696E-2</v>
      </c>
      <c r="V3" s="7">
        <f>+Tabla53[[#This Row],[TERMINO ACTIVIDADES PM]]-Tabla53[[#This Row],[INICIO ACTIVIDADES PM]]</f>
        <v>2.083333333333337E-2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44817</v>
      </c>
      <c r="D4" s="37">
        <v>0.34375</v>
      </c>
      <c r="E4" s="37">
        <v>0.36458333333333331</v>
      </c>
      <c r="F4" s="37">
        <v>0.38194444444444442</v>
      </c>
      <c r="G4" s="37">
        <v>0.61111111111111105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Tabla53[[#This Row],[FECHA]]</f>
        <v>44817</v>
      </c>
      <c r="P4" s="7">
        <f>D4</f>
        <v>0.34375</v>
      </c>
      <c r="Q4" s="7">
        <f t="shared" ref="Q4:S7" si="0">E4-D4</f>
        <v>2.0833333333333315E-2</v>
      </c>
      <c r="R4" s="7">
        <f t="shared" si="0"/>
        <v>1.7361111111111105E-2</v>
      </c>
      <c r="S4" s="7">
        <f t="shared" si="0"/>
        <v>0.22916666666666663</v>
      </c>
      <c r="T4" s="7">
        <f>+Tabla53[[#This Row],[ALMUERZO]]-Tabla53[[#This Row],[TERMINO ACT. AM]]</f>
        <v>6.9444444444445308E-3</v>
      </c>
      <c r="U4" s="7">
        <f>+Tabla53[[#This Row],[INICIO ACTIVIDADES PM]]-Tabla53[[#This Row],[ALMUERZO]]</f>
        <v>2.4305555555555469E-2</v>
      </c>
      <c r="V4" s="7">
        <f>+Tabla53[[#This Row],[TERMINO ACTIVIDADES PM]]-Tabla53[[#This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44818</v>
      </c>
      <c r="D5" s="37">
        <v>0.34375</v>
      </c>
      <c r="E5" s="37">
        <v>0.36458333333333331</v>
      </c>
      <c r="F5" s="37">
        <v>0.38055555555555554</v>
      </c>
      <c r="G5" s="37">
        <v>0.61111111111111105</v>
      </c>
      <c r="H5" s="37">
        <v>0.61805555555555558</v>
      </c>
      <c r="I5" s="37">
        <v>0.64583333333333337</v>
      </c>
      <c r="J5" s="46">
        <v>0.65972222222222221</v>
      </c>
      <c r="K5" s="47"/>
      <c r="M5" s="5"/>
      <c r="N5" s="5" t="s">
        <v>16</v>
      </c>
      <c r="O5" s="4">
        <f>Tabla53[[#This Row],[FECHA]]</f>
        <v>44818</v>
      </c>
      <c r="P5" s="7">
        <f>D5</f>
        <v>0.34375</v>
      </c>
      <c r="Q5" s="7">
        <f t="shared" si="0"/>
        <v>2.0833333333333315E-2</v>
      </c>
      <c r="R5" s="7">
        <f t="shared" si="0"/>
        <v>1.5972222222222221E-2</v>
      </c>
      <c r="S5" s="7">
        <f t="shared" si="0"/>
        <v>0.23055555555555551</v>
      </c>
      <c r="T5" s="7">
        <f>+Tabla53[[#This Row],[ALMUERZO]]-Tabla53[[#This Row],[TERMINO ACT. AM]]</f>
        <v>6.9444444444445308E-3</v>
      </c>
      <c r="U5" s="7">
        <f>+Tabla53[[#This Row],[INICIO ACTIVIDADES PM]]-Tabla53[[#This Row],[ALMUERZO]]</f>
        <v>2.777777777777779E-2</v>
      </c>
      <c r="V5" s="7">
        <f>+Tabla53[[#This Row],[TERMINO ACTIVIDADES PM]]-Tabla53[[#This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ht="36.75" x14ac:dyDescent="0.25">
      <c r="A6" s="12" t="s">
        <v>96</v>
      </c>
      <c r="B6" s="12" t="s">
        <v>28</v>
      </c>
      <c r="C6" s="4">
        <f>+Tabla5[[#This Row],[FECHA]]</f>
        <v>44819</v>
      </c>
      <c r="D6" s="37">
        <v>0.3923611111111111</v>
      </c>
      <c r="E6" s="37">
        <v>0.39930555555555558</v>
      </c>
      <c r="F6" s="37">
        <v>0.40277777777777773</v>
      </c>
      <c r="G6" s="37">
        <v>0.61111111111111105</v>
      </c>
      <c r="H6" s="37">
        <v>0.61805555555555558</v>
      </c>
      <c r="I6" s="37">
        <v>0.64583333333333337</v>
      </c>
      <c r="J6" s="46">
        <v>0.65972222222222221</v>
      </c>
      <c r="K6" s="47" t="s">
        <v>129</v>
      </c>
      <c r="M6" s="5"/>
      <c r="N6" s="5" t="s">
        <v>17</v>
      </c>
      <c r="O6" s="4">
        <f>Tabla53[[#This Row],[FECHA]]</f>
        <v>44819</v>
      </c>
      <c r="P6" s="7">
        <f>D6</f>
        <v>0.3923611111111111</v>
      </c>
      <c r="Q6" s="7">
        <f t="shared" si="0"/>
        <v>6.9444444444444753E-3</v>
      </c>
      <c r="R6" s="7">
        <f t="shared" si="0"/>
        <v>3.4722222222221544E-3</v>
      </c>
      <c r="S6" s="7">
        <f t="shared" si="0"/>
        <v>0.20833333333333331</v>
      </c>
      <c r="T6" s="7">
        <f>+Tabla53[[#This Row],[ALMUERZO]]-Tabla53[[#This Row],[TERMINO ACT. AM]]</f>
        <v>6.9444444444445308E-3</v>
      </c>
      <c r="U6" s="7">
        <f>+Tabla53[[#This Row],[INICIO ACTIVIDADES PM]]-Tabla53[[#This Row],[ALMUERZO]]</f>
        <v>2.777777777777779E-2</v>
      </c>
      <c r="V6" s="7">
        <f>+Tabla53[[#This Row],[TERMINO ACTIVIDADES PM]]-Tabla53[[#This Row],[INICIO ACTIVIDADES PM]]</f>
        <v>1.388888888888884E-2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44820</v>
      </c>
      <c r="D7" s="37"/>
      <c r="E7" s="37"/>
      <c r="F7" s="37"/>
      <c r="G7" s="37"/>
      <c r="H7" s="37"/>
      <c r="I7" s="37"/>
      <c r="J7" s="46"/>
      <c r="K7" s="47"/>
      <c r="M7" s="5"/>
      <c r="N7" s="5" t="s">
        <v>18</v>
      </c>
      <c r="O7" s="4">
        <f>Tabla53[[#This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+Tabla53[[#This Row],[ALMUERZO]]-Tabla53[[#This Row],[TERMINO ACT. AM]]</f>
        <v>0</v>
      </c>
      <c r="U7" s="7">
        <f>+Tabla53[[#This Row],[INICIO ACTIVIDADES PM]]-Tabla53[[#This Row],[ALMUERZO]]</f>
        <v>0</v>
      </c>
      <c r="V7" s="7">
        <f>+Tabla53[[#This Row],[TERMINO ACTIVIDADES PM]]-Tabla53[[#This Row],[INICIO ACTIVIDADES PM]]</f>
        <v>0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0.24861111111111117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0.24652777777777779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0.24444444444444435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0.22222222222222215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0.24045138888888884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0.96180555555555536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J27" s="177" t="s">
        <v>105</v>
      </c>
      <c r="K27" s="178" t="s">
        <v>103</v>
      </c>
      <c r="T27" s="3"/>
    </row>
    <row r="28" spans="1:20" ht="15.6" customHeight="1" x14ac:dyDescent="0.25">
      <c r="J28" s="177"/>
      <c r="K28" s="179"/>
      <c r="T28" s="3"/>
    </row>
    <row r="29" spans="1:20" ht="15.6" customHeight="1" x14ac:dyDescent="0.25">
      <c r="J29" s="177"/>
      <c r="K29" s="179"/>
      <c r="T29" s="3"/>
    </row>
    <row r="30" spans="1:20" ht="15.6" customHeight="1" x14ac:dyDescent="0.25">
      <c r="J30" s="177"/>
      <c r="K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K11" sqref="K11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22.75" customWidth="1"/>
    <col min="18" max="18" width="13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44816</v>
      </c>
      <c r="D3" s="37">
        <v>0.64583333333333337</v>
      </c>
      <c r="E3" s="37">
        <v>0.68055555555555547</v>
      </c>
      <c r="F3" s="37">
        <v>0.69097222222222221</v>
      </c>
      <c r="G3" s="37">
        <v>0.88888888888888884</v>
      </c>
      <c r="H3" s="37">
        <v>0.89930555555555547</v>
      </c>
      <c r="I3" s="37">
        <v>0.93055555555555547</v>
      </c>
      <c r="J3" s="46">
        <v>0.98611111111111116</v>
      </c>
      <c r="K3" s="81" t="s">
        <v>94</v>
      </c>
      <c r="L3" s="53"/>
      <c r="M3" s="53"/>
      <c r="N3" s="57" t="s">
        <v>15</v>
      </c>
      <c r="O3" s="4">
        <f>Tabla53839[[#This Row],[FECHA]]</f>
        <v>44816</v>
      </c>
      <c r="P3" s="7">
        <f>D3</f>
        <v>0.64583333333333337</v>
      </c>
      <c r="Q3" s="7">
        <f>E3-D3</f>
        <v>3.4722222222222099E-2</v>
      </c>
      <c r="R3" s="7">
        <f>F3-E3</f>
        <v>1.0416666666666741E-2</v>
      </c>
      <c r="S3" s="7">
        <f>G3-F3</f>
        <v>0.19791666666666663</v>
      </c>
      <c r="T3" s="7">
        <f>+Tabla53839[[#This Row],[ALMUERZO]]-Tabla53839[[#This Row],[TERMINO ACT. AM]]</f>
        <v>1.041666666666663E-2</v>
      </c>
      <c r="U3" s="7">
        <f>+Tabla53839[[#This Row],[INICIO ACTIVIDADES PM]]-Tabla53839[[#This Row],[ALMUERZO]]</f>
        <v>3.125E-2</v>
      </c>
      <c r="V3" s="7">
        <f>+Tabla53839[[#This Row],[TERMINO ACTIVIDADES PM]]-Tabla53839[[#This Row],[INICIO ACTIVIDADES PM]]</f>
        <v>5.5555555555555691E-2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44817</v>
      </c>
      <c r="D4" s="37">
        <v>0.64583333333333337</v>
      </c>
      <c r="E4" s="37">
        <v>0.6875</v>
      </c>
      <c r="F4" s="37">
        <v>0.69444444444444453</v>
      </c>
      <c r="G4" s="37">
        <v>0.88194444444444453</v>
      </c>
      <c r="H4" s="37">
        <v>0.89444444444444438</v>
      </c>
      <c r="I4" s="37">
        <v>0.91666666666666663</v>
      </c>
      <c r="J4" s="46">
        <v>0.98611111111111116</v>
      </c>
      <c r="K4" s="81" t="s">
        <v>94</v>
      </c>
      <c r="M4" s="5"/>
      <c r="N4" s="5" t="s">
        <v>16</v>
      </c>
      <c r="O4" s="4">
        <f>Tabla53839[[#This Row],[FECHA]]</f>
        <v>44817</v>
      </c>
      <c r="P4" s="7">
        <f>D4</f>
        <v>0.64583333333333337</v>
      </c>
      <c r="Q4" s="7">
        <f t="shared" ref="Q4:S7" si="0">E4-D4</f>
        <v>4.166666666666663E-2</v>
      </c>
      <c r="R4" s="7">
        <f t="shared" si="0"/>
        <v>6.9444444444445308E-3</v>
      </c>
      <c r="S4" s="7">
        <f t="shared" si="0"/>
        <v>0.1875</v>
      </c>
      <c r="T4" s="7">
        <f>+Tabla53839[[#This Row],[ALMUERZO]]-Tabla53839[[#This Row],[TERMINO ACT. AM]]</f>
        <v>1.2499999999999845E-2</v>
      </c>
      <c r="U4" s="7">
        <f>+Tabla53839[[#This Row],[INICIO ACTIVIDADES PM]]-Tabla53839[[#This Row],[ALMUERZO]]</f>
        <v>2.2222222222222254E-2</v>
      </c>
      <c r="V4" s="7">
        <f>+Tabla53839[[#This Row],[TERMINO ACTIVIDADES PM]]-Tabla53839[[#This Row],[INICIO ACTIVIDADES PM]]</f>
        <v>6.9444444444444531E-2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44818</v>
      </c>
      <c r="D5" s="37">
        <v>0.64583333333333337</v>
      </c>
      <c r="E5" s="37">
        <v>0.68055555555555547</v>
      </c>
      <c r="F5" s="37">
        <v>0.6875</v>
      </c>
      <c r="G5" s="37">
        <v>0.90277777777777779</v>
      </c>
      <c r="H5" s="37">
        <v>0.91319444444444453</v>
      </c>
      <c r="I5" s="37">
        <v>0.94444444444444453</v>
      </c>
      <c r="J5" s="46">
        <v>0.98611111111111105</v>
      </c>
      <c r="K5" s="81" t="s">
        <v>94</v>
      </c>
      <c r="M5" s="5"/>
      <c r="N5" s="5" t="s">
        <v>16</v>
      </c>
      <c r="O5" s="4">
        <f>Tabla53839[[#This Row],[FECHA]]</f>
        <v>44818</v>
      </c>
      <c r="P5" s="7">
        <f>D5</f>
        <v>0.64583333333333337</v>
      </c>
      <c r="Q5" s="7">
        <f t="shared" si="0"/>
        <v>3.4722222222222099E-2</v>
      </c>
      <c r="R5" s="7">
        <f t="shared" si="0"/>
        <v>6.9444444444445308E-3</v>
      </c>
      <c r="S5" s="7">
        <f t="shared" si="0"/>
        <v>0.21527777777777779</v>
      </c>
      <c r="T5" s="7">
        <f>+Tabla53839[[#This Row],[ALMUERZO]]-Tabla53839[[#This Row],[TERMINO ACT. AM]]</f>
        <v>1.0416666666666741E-2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4.1666666666666519E-2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44819</v>
      </c>
      <c r="D6" s="37">
        <v>0.71180555555555547</v>
      </c>
      <c r="E6" s="37">
        <v>0.71875</v>
      </c>
      <c r="F6" s="37">
        <v>0.72222222222222221</v>
      </c>
      <c r="G6" s="37">
        <v>0.86111111111111116</v>
      </c>
      <c r="H6" s="37">
        <v>0.87152777777777779</v>
      </c>
      <c r="I6" s="37">
        <v>0.90277777777777779</v>
      </c>
      <c r="J6" s="46">
        <v>0.98611111111111105</v>
      </c>
      <c r="K6" s="81" t="s">
        <v>129</v>
      </c>
      <c r="M6" s="5"/>
      <c r="N6" s="5" t="s">
        <v>17</v>
      </c>
      <c r="O6" s="4">
        <f>Tabla53839[[#This Row],[FECHA]]</f>
        <v>44819</v>
      </c>
      <c r="P6" s="7">
        <f>D6</f>
        <v>0.71180555555555547</v>
      </c>
      <c r="Q6" s="7">
        <f t="shared" si="0"/>
        <v>6.9444444444445308E-3</v>
      </c>
      <c r="R6" s="7">
        <f t="shared" si="0"/>
        <v>3.4722222222222099E-3</v>
      </c>
      <c r="S6" s="7">
        <f t="shared" si="0"/>
        <v>0.13888888888888895</v>
      </c>
      <c r="T6" s="7">
        <f>+Tabla53839[[#This Row],[ALMUERZO]]-Tabla53839[[#This Row],[TERMINO ACT. AM]]</f>
        <v>1.041666666666663E-2</v>
      </c>
      <c r="U6" s="7">
        <f>+Tabla53839[[#This Row],[INICIO ACTIVIDADES PM]]-Tabla53839[[#This Row],[ALMUERZO]]</f>
        <v>3.125E-2</v>
      </c>
      <c r="V6" s="7">
        <f>+Tabla53839[[#This Row],[TERMINO ACTIVIDADES PM]]-Tabla53839[[#This Row],[INICIO ACTIVIDADES PM]]</f>
        <v>8.3333333333333259E-2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44820</v>
      </c>
      <c r="D7" s="37"/>
      <c r="E7" s="37"/>
      <c r="F7" s="37"/>
      <c r="G7" s="37"/>
      <c r="H7" s="37"/>
      <c r="I7" s="37"/>
      <c r="J7" s="46"/>
      <c r="K7" s="81"/>
      <c r="M7" s="5"/>
      <c r="N7" s="5" t="s">
        <v>18</v>
      </c>
      <c r="O7" s="4">
        <f>Tabla53839[[#This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+Tabla53839[[#This Row],[ALMUERZO]]-Tabla53839[[#This Row],[TERMINO ACT. AM]]</f>
        <v>0</v>
      </c>
      <c r="U7" s="7">
        <f>+Tabla53839[[#This Row],[INICIO ACTIVIDADES PM]]-Tabla53839[[#This Row],[ALMUERZO]]</f>
        <v>0</v>
      </c>
      <c r="V7" s="7">
        <f>+Tabla53839[[#This Row],[TERMINO ACTIVIDADES PM]]-Tabla53839[[#This Row],[INICIO ACTIVIDADES PM]]</f>
        <v>0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0.25347222222222232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0.25694444444444453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0.25694444444444431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0.22222222222222221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0.24739583333333334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0.98958333333333337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7" t="s">
        <v>105</v>
      </c>
      <c r="I27" s="178" t="s">
        <v>104</v>
      </c>
      <c r="T27" s="3"/>
    </row>
    <row r="28" spans="1:20" ht="15.6" customHeight="1" x14ac:dyDescent="0.25">
      <c r="H28" s="177"/>
      <c r="I28" s="179"/>
      <c r="T28" s="3"/>
    </row>
    <row r="29" spans="1:20" ht="15.6" customHeight="1" x14ac:dyDescent="0.25">
      <c r="H29" s="177"/>
      <c r="I29" s="179"/>
      <c r="T29" s="3"/>
    </row>
    <row r="30" spans="1:20" ht="15.6" customHeight="1" x14ac:dyDescent="0.25">
      <c r="H30" s="177"/>
      <c r="I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F9" sqref="F9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  <col min="11" max="11" width="20.375" customWidth="1"/>
  </cols>
  <sheetData>
    <row r="1" spans="1:29" x14ac:dyDescent="0.25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44816</v>
      </c>
      <c r="D3" s="37">
        <v>0.3125</v>
      </c>
      <c r="E3" s="37">
        <v>0.33333333333333331</v>
      </c>
      <c r="F3" s="37">
        <v>0.35972222222222222</v>
      </c>
      <c r="G3" s="37">
        <v>0.51041666666666663</v>
      </c>
      <c r="H3" s="37">
        <v>0.51944444444444449</v>
      </c>
      <c r="I3" s="37">
        <v>0.54166666666666663</v>
      </c>
      <c r="J3" s="46">
        <v>0.65277777777777779</v>
      </c>
      <c r="K3" s="47"/>
      <c r="L3" s="53"/>
      <c r="M3" s="53"/>
      <c r="N3" s="57" t="s">
        <v>15</v>
      </c>
      <c r="O3" s="4">
        <f>Tabla5383940[[#This Row],[FECHA]]</f>
        <v>44816</v>
      </c>
      <c r="P3" s="7">
        <f>D3</f>
        <v>0.3125</v>
      </c>
      <c r="Q3" s="7">
        <f>E3-D3</f>
        <v>2.0833333333333315E-2</v>
      </c>
      <c r="R3" s="7">
        <f>F3-E3</f>
        <v>2.6388888888888906E-2</v>
      </c>
      <c r="S3" s="7">
        <f>G3-F3</f>
        <v>0.15069444444444441</v>
      </c>
      <c r="T3" s="7">
        <f>+Tabla5383940[[#This Row],[ALMUERZO]]-Tabla5383940[[#This Row],[TERMINO ACT. AM]]</f>
        <v>9.0277777777778567E-3</v>
      </c>
      <c r="U3" s="7">
        <f>+Tabla5383940[[#This Row],[INICIO ACTIVIDADES PM]]-Tabla5383940[[#This Row],[ALMUERZO]]</f>
        <v>2.2222222222222143E-2</v>
      </c>
      <c r="V3" s="7">
        <f>+Tabla5383940[[#This Row],[TERMINO ACTIVIDADES PM]]-Tabla5383940[[#This Row],[INICIO ACTIVIDADES PM]]</f>
        <v>0.11111111111111116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44817</v>
      </c>
      <c r="D4" s="37">
        <v>0.3125</v>
      </c>
      <c r="E4" s="37">
        <v>0.33333333333333331</v>
      </c>
      <c r="F4" s="37">
        <v>0.3576388888888889</v>
      </c>
      <c r="G4" s="37">
        <v>0.60416666666666663</v>
      </c>
      <c r="H4" s="37">
        <v>0.61111111111111105</v>
      </c>
      <c r="I4" s="37">
        <v>0.63541666666666663</v>
      </c>
      <c r="J4" s="46">
        <v>0.65277777777777779</v>
      </c>
      <c r="K4" s="47"/>
      <c r="M4" s="5"/>
      <c r="N4" s="5" t="s">
        <v>16</v>
      </c>
      <c r="O4" s="4">
        <f>Tabla5383940[[#This Row],[FECHA]]</f>
        <v>44817</v>
      </c>
      <c r="P4" s="7">
        <f>D4</f>
        <v>0.3125</v>
      </c>
      <c r="Q4" s="7">
        <f t="shared" ref="Q4:S7" si="0">E4-D4</f>
        <v>2.0833333333333315E-2</v>
      </c>
      <c r="R4" s="7">
        <f t="shared" si="0"/>
        <v>2.430555555555558E-2</v>
      </c>
      <c r="S4" s="7">
        <f t="shared" si="0"/>
        <v>0.24652777777777773</v>
      </c>
      <c r="T4" s="7">
        <f>+Tabla5383940[[#This Row],[ALMUERZO]]-Tabla5383940[[#This Row],[TERMINO ACT. AM]]</f>
        <v>6.9444444444444198E-3</v>
      </c>
      <c r="U4" s="7">
        <f>+Tabla5383940[[#This Row],[INICIO ACTIVIDADES PM]]-Tabla5383940[[#This Row],[ALMUERZO]]</f>
        <v>2.430555555555558E-2</v>
      </c>
      <c r="V4" s="7">
        <f>+Tabla5383940[[#This Row],[TERMINO ACTIVIDADES PM]]-Tabla5383940[[#This Row],[INICIO ACTIVIDADES PM]]</f>
        <v>1.736111111111116E-2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44818</v>
      </c>
      <c r="D5" s="37">
        <v>0.3125</v>
      </c>
      <c r="E5" s="37">
        <v>0.33333333333333331</v>
      </c>
      <c r="F5" s="37">
        <v>0.3576388888888889</v>
      </c>
      <c r="G5" s="37">
        <v>0.5</v>
      </c>
      <c r="H5" s="37">
        <v>0.51041666666666663</v>
      </c>
      <c r="I5" s="37">
        <v>0.54513888888888895</v>
      </c>
      <c r="J5" s="46">
        <v>0.65277777777777779</v>
      </c>
      <c r="K5" s="47"/>
      <c r="M5" s="5"/>
      <c r="N5" s="5" t="s">
        <v>16</v>
      </c>
      <c r="O5" s="4">
        <f>Tabla5383940[[#This Row],[FECHA]]</f>
        <v>44818</v>
      </c>
      <c r="P5" s="7">
        <f>D5</f>
        <v>0.3125</v>
      </c>
      <c r="Q5" s="7">
        <f t="shared" si="0"/>
        <v>2.0833333333333315E-2</v>
      </c>
      <c r="R5" s="7">
        <f t="shared" si="0"/>
        <v>2.430555555555558E-2</v>
      </c>
      <c r="S5" s="7">
        <f t="shared" si="0"/>
        <v>0.1423611111111111</v>
      </c>
      <c r="T5" s="7">
        <f>+Tabla5383940[[#This Row],[ALMUERZO]]-Tabla5383940[[#This Row],[TERMINO ACT. AM]]</f>
        <v>1.041666666666663E-2</v>
      </c>
      <c r="U5" s="7">
        <f>+Tabla5383940[[#This Row],[INICIO ACTIVIDADES PM]]-Tabla5383940[[#This Row],[ALMUERZO]]</f>
        <v>3.4722222222222321E-2</v>
      </c>
      <c r="V5" s="7">
        <f>+Tabla5383940[[#This Row],[TERMINO ACTIVIDADES PM]]-Tabla5383940[[#This Row],[INICIO ACTIVIDADES PM]]</f>
        <v>0.10763888888888884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ht="24.75" x14ac:dyDescent="0.25">
      <c r="A6" s="12" t="s">
        <v>96</v>
      </c>
      <c r="B6" s="12" t="s">
        <v>28</v>
      </c>
      <c r="C6" s="4">
        <f>+Tabla5[[#This Row],[FECHA]]</f>
        <v>44819</v>
      </c>
      <c r="D6" s="37">
        <v>0.3888888888888889</v>
      </c>
      <c r="E6" s="37">
        <v>0.39930555555555558</v>
      </c>
      <c r="F6" s="37">
        <v>0.40277777777777773</v>
      </c>
      <c r="G6" s="37">
        <v>0.52430555555555558</v>
      </c>
      <c r="H6" s="37">
        <v>0.53125</v>
      </c>
      <c r="I6" s="37">
        <v>0.55902777777777779</v>
      </c>
      <c r="J6" s="46">
        <v>0.64930555555555558</v>
      </c>
      <c r="K6" s="47" t="s">
        <v>129</v>
      </c>
      <c r="M6" s="5"/>
      <c r="N6" s="5" t="s">
        <v>17</v>
      </c>
      <c r="O6" s="4">
        <f>Tabla5383940[[#This Row],[FECHA]]</f>
        <v>44819</v>
      </c>
      <c r="P6" s="7">
        <f>D6</f>
        <v>0.3888888888888889</v>
      </c>
      <c r="Q6" s="7">
        <f t="shared" si="0"/>
        <v>1.0416666666666685E-2</v>
      </c>
      <c r="R6" s="7">
        <f t="shared" si="0"/>
        <v>3.4722222222221544E-3</v>
      </c>
      <c r="S6" s="7">
        <f t="shared" si="0"/>
        <v>0.12152777777777785</v>
      </c>
      <c r="T6" s="7">
        <f>+Tabla5383940[[#This Row],[ALMUERZO]]-Tabla5383940[[#This Row],[TERMINO ACT. AM]]</f>
        <v>6.9444444444444198E-3</v>
      </c>
      <c r="U6" s="7">
        <f>+Tabla5383940[[#This Row],[INICIO ACTIVIDADES PM]]-Tabla5383940[[#This Row],[ALMUERZO]]</f>
        <v>2.777777777777779E-2</v>
      </c>
      <c r="V6" s="7">
        <f>+Tabla5383940[[#This Row],[TERMINO ACTIVIDADES PM]]-Tabla5383940[[#This Row],[INICIO ACTIVIDADES PM]]</f>
        <v>9.027777777777779E-2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44820</v>
      </c>
      <c r="D7" s="37"/>
      <c r="E7" s="37"/>
      <c r="F7" s="37"/>
      <c r="G7" s="37"/>
      <c r="H7" s="37"/>
      <c r="I7" s="37"/>
      <c r="J7" s="46"/>
      <c r="K7" s="47"/>
      <c r="M7" s="5"/>
      <c r="N7" s="5" t="s">
        <v>18</v>
      </c>
      <c r="O7" s="4">
        <f>Tabla5383940[[#This Row],[FECHA]]</f>
        <v>44820</v>
      </c>
      <c r="P7" s="7">
        <f>D7</f>
        <v>0</v>
      </c>
      <c r="Q7" s="7">
        <f t="shared" si="0"/>
        <v>0</v>
      </c>
      <c r="R7" s="7">
        <f t="shared" si="0"/>
        <v>0</v>
      </c>
      <c r="S7" s="7">
        <f t="shared" si="0"/>
        <v>0</v>
      </c>
      <c r="T7" s="7">
        <f>+Tabla5383940[[#This Row],[ALMUERZO]]-Tabla5383940[[#This Row],[TERMINO ACT. AM]]</f>
        <v>0</v>
      </c>
      <c r="U7" s="7">
        <f>+Tabla5383940[[#This Row],[INICIO ACTIVIDADES PM]]-Tabla5383940[[#This Row],[ALMUERZO]]</f>
        <v>0</v>
      </c>
      <c r="V7" s="7">
        <f>+Tabla5383940[[#This Row],[TERMINO ACTIVIDADES PM]]-Tabla5383940[[#This Row],[INICIO ACTIVIDADES PM]]</f>
        <v>0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0.26180555555555557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0.2638888888888889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0.24999999999999994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0.21180555555555564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0.24687500000000001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0.98750000000000004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7" t="s">
        <v>105</v>
      </c>
      <c r="J27" s="178" t="s">
        <v>103</v>
      </c>
      <c r="T27" s="3"/>
    </row>
    <row r="28" spans="1:20" ht="15.6" customHeight="1" x14ac:dyDescent="0.25">
      <c r="I28" s="177"/>
      <c r="J28" s="179"/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2022-09-28T20:48:55Z</dcterms:modified>
</cp:coreProperties>
</file>