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DDDCEAEB-8554-4857-89CE-9763011F71C7}" xr6:coauthVersionLast="47" xr6:coauthVersionMax="47" xr10:uidLastSave="{00000000-0000-0000-0000-000000000000}"/>
  <bookViews>
    <workbookView xWindow="-120" yWindow="-120" windowWidth="29040" windowHeight="15840" tabRatio="995" activeTab="7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<sst xmlns="http://schemas.openxmlformats.org/spreadsheetml/2006/main" count="1110" uniqueCount="129">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</sst>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0.33958333333333335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2.7083333333333293E-2</c:v>
                </c:pt>
                <c:pt idx="1">
                  <c:v>2.5000000000000022E-2</c:v>
                </c:pt>
                <c:pt idx="2">
                  <c:v>2.1527777777777757E-2</c:v>
                </c:pt>
                <c:pt idx="3">
                  <c:v>2.7083333333333348E-2</c:v>
                </c:pt>
                <c:pt idx="4">
                  <c:v>2.1527777777777757E-2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1.5277777777777779E-2</c:v>
                </c:pt>
                <c:pt idx="2">
                  <c:v>1.3888888888888895E-2</c:v>
                </c:pt>
                <c:pt idx="3">
                  <c:v>1.5972222222222221E-2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0.23541666666666672</c:v>
                </c:pt>
                <c:pt idx="1">
                  <c:v>0.2416666666666667</c:v>
                </c:pt>
                <c:pt idx="2">
                  <c:v>0.23888888888888882</c:v>
                </c:pt>
                <c:pt idx="3">
                  <c:v>0.23263888888888895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9.0277777777777457E-3</c:v>
                </c:pt>
                <c:pt idx="2">
                  <c:v>5.5555555555556468E-3</c:v>
                </c:pt>
                <c:pt idx="3">
                  <c:v>6.2499999999999778E-3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2.2916666666666696E-2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8.3333333333330817E-3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0.3125</c:v>
                </c:pt>
                <c:pt idx="2">
                  <c:v>0.31111111111111112</c:v>
                </c:pt>
                <c:pt idx="3">
                  <c:v>0.31597222222222221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9.7222222222222432E-3</c:v>
                </c:pt>
                <c:pt idx="3">
                  <c:v>1.3888888888888895E-2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2.2222222222222254E-2</c:v>
                </c:pt>
                <c:pt idx="1">
                  <c:v>2.7777777777777735E-2</c:v>
                </c:pt>
                <c:pt idx="2">
                  <c:v>2.9861111111111061E-2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0.23819444444444443</c:v>
                </c:pt>
                <c:pt idx="1">
                  <c:v>0.15972222222222221</c:v>
                </c:pt>
                <c:pt idx="2">
                  <c:v>0.20486111111111116</c:v>
                </c:pt>
                <c:pt idx="3">
                  <c:v>0.16875000000000001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3.4722222222223209E-3</c:v>
                </c:pt>
                <c:pt idx="2">
                  <c:v>1.041666666666663E-2</c:v>
                </c:pt>
                <c:pt idx="3">
                  <c:v>1.5277777777777724E-2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2.9861111111111116E-2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0.11111111111111138</c:v>
                </c:pt>
                <c:pt idx="2">
                  <c:v>5.9027777777778012E-2</c:v>
                </c:pt>
                <c:pt idx="3">
                  <c:v>8.4722222222222476E-2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4.3055555555555625E-2</c:v>
                </c:pt>
                <c:pt idx="1">
                  <c:v>3.819444444444442E-2</c:v>
                </c:pt>
                <c:pt idx="2">
                  <c:v>4.513888888888884E-2</c:v>
                </c:pt>
                <c:pt idx="3">
                  <c:v>4.0277777777777635E-2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1.5972222222222165E-2</c:v>
                </c:pt>
                <c:pt idx="1">
                  <c:v>6.9444444444444198E-3</c:v>
                </c:pt>
                <c:pt idx="2">
                  <c:v>3.4722222222223209E-3</c:v>
                </c:pt>
                <c:pt idx="3">
                  <c:v>1.6666666666666829E-2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0.21527777777777768</c:v>
                </c:pt>
                <c:pt idx="1">
                  <c:v>0.22222222222222232</c:v>
                </c:pt>
                <c:pt idx="2">
                  <c:v>0.20972222222222214</c:v>
                </c:pt>
                <c:pt idx="3">
                  <c:v>0.14097222222222217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9.0277777777776347E-3</c:v>
                </c:pt>
                <c:pt idx="2">
                  <c:v>5.5555555555555358E-3</c:v>
                </c:pt>
                <c:pt idx="3">
                  <c:v>1.041666666666663E-2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2.7083333333333459E-2</c:v>
                </c:pt>
                <c:pt idx="2">
                  <c:v>3.125E-2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3.6805555555555536E-2</c:v>
                </c:pt>
                <c:pt idx="2">
                  <c:v>4.513888888888884E-2</c:v>
                </c:pt>
                <c:pt idx="3">
                  <c:v>0.10069444444444442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0.31805555555555554</c:v>
                </c:pt>
                <c:pt idx="2">
                  <c:v>0.3125</c:v>
                </c:pt>
                <c:pt idx="3">
                  <c:v>0.3125</c:v>
                </c:pt>
                <c:pt idx="4">
                  <c:v>0.30902777777777779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1.3888888888888895E-2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2.083333333333337E-2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0.17361111111111105</c:v>
                </c:pt>
                <c:pt idx="1">
                  <c:v>0.15624999999999994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0.11111111111111094</c:v>
                </c:pt>
                <c:pt idx="1">
                  <c:v>0.12847222222222221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0.3347222222222222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3.6805555555555536E-2</c:v>
                </c:pt>
                <c:pt idx="1">
                  <c:v>2.4305555555555525E-2</c:v>
                </c:pt>
                <c:pt idx="2">
                  <c:v>3.4722222222222154E-2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1.1111111111111183E-2</c:v>
                </c:pt>
                <c:pt idx="1">
                  <c:v>1.736111111111116E-2</c:v>
                </c:pt>
                <c:pt idx="2">
                  <c:v>1.3194444444444453E-2</c:v>
                </c:pt>
                <c:pt idx="3">
                  <c:v>1.0416666666666685E-2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0.2180555555555555</c:v>
                </c:pt>
                <c:pt idx="1">
                  <c:v>0.23263888888888878</c:v>
                </c:pt>
                <c:pt idx="2">
                  <c:v>0.20208333333333339</c:v>
                </c:pt>
                <c:pt idx="3">
                  <c:v>0.2048611111111111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1.041666666666663E-2</c:v>
                </c:pt>
                <c:pt idx="3">
                  <c:v>8.3333333333333037E-3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1.388888888888884E-2</c:v>
                </c:pt>
                <c:pt idx="2">
                  <c:v>3.819444444444442E-2</c:v>
                </c:pt>
                <c:pt idx="3">
                  <c:v>5.0694444444445153E-2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2.2916666666666641E-2</c:v>
                </c:pt>
                <c:pt idx="1">
                  <c:v>2.2222222222222254E-2</c:v>
                </c:pt>
                <c:pt idx="2">
                  <c:v>2.7777777777777735E-2</c:v>
                </c:pt>
                <c:pt idx="3">
                  <c:v>2.2916666666666641E-2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0.15833333333333333</c:v>
                </c:pt>
                <c:pt idx="1">
                  <c:v>0.23819444444444443</c:v>
                </c:pt>
                <c:pt idx="2">
                  <c:v>0.15069444444444446</c:v>
                </c:pt>
                <c:pt idx="3">
                  <c:v>0.17361111111111105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1.3888888888888951E-2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2.9166666666666563E-2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2.9861111111111116E-2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0.11111111111111138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9.1666666666666896E-2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0.3347222222222222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3.6805555555555536E-2</c:v>
                </c:pt>
                <c:pt idx="1">
                  <c:v>3.819444444444442E-2</c:v>
                </c:pt>
                <c:pt idx="2">
                  <c:v>3.4722222222222154E-2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1.1111111111111183E-2</c:v>
                </c:pt>
                <c:pt idx="1">
                  <c:v>9.7222222222221877E-3</c:v>
                </c:pt>
                <c:pt idx="2">
                  <c:v>1.6666666666666718E-2</c:v>
                </c:pt>
                <c:pt idx="3">
                  <c:v>1.3194444444444453E-2</c:v>
                </c:pt>
                <c:pt idx="4">
                  <c:v>1.8749999999999989E-2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0.13263888888888892</c:v>
                </c:pt>
                <c:pt idx="1">
                  <c:v>0.22638888888888886</c:v>
                </c:pt>
                <c:pt idx="2">
                  <c:v>0.1291666666666666</c:v>
                </c:pt>
                <c:pt idx="3">
                  <c:v>0.20208333333333334</c:v>
                </c:pt>
                <c:pt idx="4">
                  <c:v>0.12708333333333333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1.0416666666666741E-2</c:v>
                </c:pt>
                <c:pt idx="2">
                  <c:v>3.4722222222223209E-3</c:v>
                </c:pt>
                <c:pt idx="3">
                  <c:v>8.3333333333333037E-3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0.11458333333333326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5.0694444444445153E-2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0.68611111111111101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3.2638888888888995E-2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3.125E-2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8.3333333333333037E-3</c:v>
                </c:pt>
                <c:pt idx="2">
                  <c:v>1.3194444444444398E-2</c:v>
                </c:pt>
                <c:pt idx="3">
                  <c:v>7.6388888888889728E-3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0.21736111111111101</c:v>
                </c:pt>
                <c:pt idx="1">
                  <c:v>0.22291666666666676</c:v>
                </c:pt>
                <c:pt idx="2">
                  <c:v>0.23472222222222239</c:v>
                </c:pt>
                <c:pt idx="3">
                  <c:v>0.21875</c:v>
                </c:pt>
                <c:pt idx="4">
                  <c:v>0.23124999999999996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6.2499999999998668E-3</c:v>
                </c:pt>
                <c:pt idx="2">
                  <c:v>5.5555555555555358E-3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2.2222222222222143E-2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3.4722222222222154E-2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1.6666666666666718E-2</c:v>
                </c:pt>
                <c:pt idx="1">
                  <c:v>6.2500000000000333E-3</c:v>
                </c:pt>
                <c:pt idx="2">
                  <c:v>1.5277777777777835E-2</c:v>
                </c:pt>
                <c:pt idx="3">
                  <c:v>9.7222222222221877E-3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0.19513888888888892</c:v>
                </c:pt>
                <c:pt idx="1">
                  <c:v>0.2284722222222223</c:v>
                </c:pt>
                <c:pt idx="2">
                  <c:v>0.23541666666666666</c:v>
                </c:pt>
                <c:pt idx="3">
                  <c:v>0.23472222222222233</c:v>
                </c:pt>
                <c:pt idx="4">
                  <c:v>0.22708333333333325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1.1805555555555514E-2</c:v>
                </c:pt>
                <c:pt idx="2">
                  <c:v>6.2499999999999778E-3</c:v>
                </c:pt>
                <c:pt idx="3">
                  <c:v>5.5555555555555358E-3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0.67499999999999993</c:v>
                </c:pt>
                <c:pt idx="1">
                  <c:v>0.67708333333333337</c:v>
                </c:pt>
                <c:pt idx="2">
                  <c:v>0.67361111111111116</c:v>
                </c:pt>
                <c:pt idx="3">
                  <c:v>0.67013888888888884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1.5972222222222276E-2</c:v>
                </c:pt>
                <c:pt idx="1">
                  <c:v>3.4722222222220989E-3</c:v>
                </c:pt>
                <c:pt idx="2">
                  <c:v>1.5972222222222165E-2</c:v>
                </c:pt>
                <c:pt idx="3">
                  <c:v>1.736111111111116E-2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1.5972222222222276E-2</c:v>
                </c:pt>
                <c:pt idx="2">
                  <c:v>1.1805555555555514E-2</c:v>
                </c:pt>
                <c:pt idx="3">
                  <c:v>1.9444444444444375E-2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0.20833333333333326</c:v>
                </c:pt>
                <c:pt idx="1">
                  <c:v>0.21666666666666679</c:v>
                </c:pt>
                <c:pt idx="2">
                  <c:v>0.20277777777777783</c:v>
                </c:pt>
                <c:pt idx="3">
                  <c:v>0.22013888888888899</c:v>
                </c:pt>
                <c:pt idx="4">
                  <c:v>0.21319444444444446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9.0277777777776347E-3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2.7083333333333459E-2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3.6805555555555536E-2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7.6388888888889173E-3</c:v>
                </c:pt>
                <c:pt idx="2">
                  <c:v>6.9444444444444198E-3</c:v>
                </c:pt>
                <c:pt idx="3">
                  <c:v>8.3333333333328596E-3</c:v>
                </c:pt>
                <c:pt idx="4">
                  <c:v>1.1805555555555125E-2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1.3194444444444398E-2</c:v>
                </c:pt>
                <c:pt idx="2">
                  <c:v>9.7222222222221877E-3</c:v>
                </c:pt>
                <c:pt idx="3">
                  <c:v>1.2500000000000011E-2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0.18611111111111106</c:v>
                </c:pt>
                <c:pt idx="1">
                  <c:v>0.18055555555555552</c:v>
                </c:pt>
                <c:pt idx="2">
                  <c:v>0.18819444444444444</c:v>
                </c:pt>
                <c:pt idx="3">
                  <c:v>0.1736111111111111</c:v>
                </c:pt>
                <c:pt idx="4">
                  <c:v>0.1736111111111111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0.33958333333333335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3.8194444444444531E-2</c:v>
                </c:pt>
                <c:pt idx="2">
                  <c:v>6.944444444444442E-2</c:v>
                </c:pt>
                <c:pt idx="3">
                  <c:v>9.0277777777778012E-3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1.5277777777777835E-2</c:v>
                </c:pt>
                <c:pt idx="1">
                  <c:v>8.3333333333333037E-3</c:v>
                </c:pt>
                <c:pt idx="2">
                  <c:v>-1.6666666666666663E-2</c:v>
                </c:pt>
                <c:pt idx="3">
                  <c:v>2.2916666666666696E-2</c:v>
                </c:pt>
                <c:pt idx="4">
                  <c:v>5.5555555555556468E-3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0.2312499999999999</c:v>
                </c:pt>
                <c:pt idx="1">
                  <c:v>0.21319444444444441</c:v>
                </c:pt>
                <c:pt idx="2">
                  <c:v>0.19722222222222224</c:v>
                </c:pt>
                <c:pt idx="3">
                  <c:v>0.22847222222222219</c:v>
                </c:pt>
                <c:pt idx="4">
                  <c:v>0.21249999999999997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4.1666666666666519E-3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1.5277777777777724E-2</c:v>
                </c:pt>
                <c:pt idx="1">
                  <c:v>3.125E-2</c:v>
                </c:pt>
                <c:pt idx="2">
                  <c:v>4.1666666666666408E-2</c:v>
                </c:pt>
                <c:pt idx="3">
                  <c:v>2.7777777777777568E-2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1.1805555555555625E-2</c:v>
                </c:pt>
                <c:pt idx="2">
                  <c:v>8.3333333333333037E-3</c:v>
                </c:pt>
                <c:pt idx="3">
                  <c:v>1.736111111111116E-2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0.20833333333333326</c:v>
                </c:pt>
                <c:pt idx="1">
                  <c:v>0.22083333333333344</c:v>
                </c:pt>
                <c:pt idx="2">
                  <c:v>0.20625000000000004</c:v>
                </c:pt>
                <c:pt idx="3">
                  <c:v>0.22222222222222221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9.0277777777776347E-3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2.7083333333333459E-2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3.6805555555555536E-2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1.6666666666666718E-2</c:v>
                </c:pt>
                <c:pt idx="2">
                  <c:v>1.5277777777777724E-2</c:v>
                </c:pt>
                <c:pt idx="3">
                  <c:v>2.430555555555558E-2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0.22083333333333338</c:v>
                </c:pt>
                <c:pt idx="1">
                  <c:v>0.23680555555555555</c:v>
                </c:pt>
                <c:pt idx="2">
                  <c:v>0.24513888888888891</c:v>
                </c:pt>
                <c:pt idx="3">
                  <c:v>0.21249999999999997</c:v>
                </c:pt>
                <c:pt idx="4">
                  <c:v>0.18749999999999994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1.388888888888884E-2</c:v>
                </c:pt>
                <c:pt idx="2">
                  <c:v>1.388888888888884E-2</c:v>
                </c:pt>
                <c:pt idx="3">
                  <c:v>1.6666666666666718E-2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2.7777777777778012E-2</c:v>
                </c:pt>
                <c:pt idx="2">
                  <c:v>1.8750000000000266E-2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10</xdr:row>
      <xdr:rowOff>76200</xdr:rowOff>
    </xdr:from>
    <xdr:to>
      <xdr:col>3</xdr:col>
      <xdr:colOff>201930</xdr:colOff>
      <xdr:row>17</xdr:row>
      <xdr:rowOff>38100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2085975" y="294322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1615440</xdr:colOff>
      <xdr:row>15</xdr:row>
      <xdr:rowOff>137160</xdr:rowOff>
    </xdr:from>
    <xdr:to>
      <xdr:col>11</xdr:col>
      <xdr:colOff>45720</xdr:colOff>
      <xdr:row>18</xdr:row>
      <xdr:rowOff>152400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851660" y="345948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13</xdr:col>
      <xdr:colOff>251460</xdr:colOff>
      <xdr:row>1</xdr:row>
      <xdr:rowOff>99060</xdr:rowOff>
    </xdr:from>
    <xdr:to>
      <xdr:col>25</xdr:col>
      <xdr:colOff>45720</xdr:colOff>
      <xdr:row>4</xdr:row>
      <xdr:rowOff>167640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5539740" y="29718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13</xdr:col>
      <xdr:colOff>121920</xdr:colOff>
      <xdr:row>3</xdr:row>
      <xdr:rowOff>34290</xdr:rowOff>
    </xdr:from>
    <xdr:to>
      <xdr:col>13</xdr:col>
      <xdr:colOff>251460</xdr:colOff>
      <xdr:row>9</xdr:row>
      <xdr:rowOff>190500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4787265" y="125158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5:31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10:46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zoomScale="60" zoomScaleNormal="60" workbookViewId="0">
      <selection activeCell="D14" sqref="D14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44830</v>
      </c>
      <c r="D3" s="37">
        <v>0.33680555555555558</v>
      </c>
      <c r="E3" s="37">
        <v>0.36388888888888887</v>
      </c>
      <c r="F3" s="37">
        <v>0.37777777777777777</v>
      </c>
      <c r="G3" s="37">
        <v>0.61319444444444449</v>
      </c>
      <c r="H3" s="37">
        <v>0.62291666666666667</v>
      </c>
      <c r="I3" s="37">
        <v>0.64583333333333337</v>
      </c>
      <c r="J3" s="46">
        <v>0.65972222222222221</v>
      </c>
      <c r="K3" s="47"/>
      <c r="L3" s="48"/>
      <c r="M3" s="48"/>
      <c r="N3" s="49" t="s">
        <v>15</v>
      </c>
      <c r="O3" s="4">
        <f>Tabla5[[#This Row],[FECHA]]</f>
        <v>44830</v>
      </c>
      <c r="P3" s="7">
        <f>D3</f>
        <v>0.33680555555555558</v>
      </c>
      <c r="Q3" s="7">
        <f>E3-D3</f>
        <v>2.7083333333333293E-2</v>
      </c>
      <c r="R3" s="7">
        <f>F3-E3</f>
        <v>1.3888888888888895E-2</v>
      </c>
      <c r="S3" s="7">
        <f>G3-F3</f>
        <v>0.23541666666666672</v>
      </c>
      <c r="T3" s="7">
        <f>+Tabla5[[#This Row],[ALMUERZO]]-Tabla5[[#This Row],[TERMINO ACT. AM]]</f>
        <v>9.7222222222221877E-3</v>
      </c>
      <c r="U3" s="7">
        <f>+Tabla5[[#This Row],[INICIO ACTIVIDADES PM]]-Tabla5[[#This Row],[ALMUERZO]]</f>
        <v>2.2916666666666696E-2</v>
      </c>
      <c r="V3" s="7">
        <f>+Tabla5[[#This Row],[TERMINO ACTIVIDADES PM]]-Tabla5[[#This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44831</v>
      </c>
      <c r="D4" s="37">
        <v>0.33749999999999997</v>
      </c>
      <c r="E4" s="37">
        <v>0.36249999999999999</v>
      </c>
      <c r="F4" s="37">
        <v>0.37777777777777777</v>
      </c>
      <c r="G4" s="37">
        <v>0.61944444444444446</v>
      </c>
      <c r="H4" s="37">
        <v>0.62847222222222221</v>
      </c>
      <c r="I4" s="37">
        <v>0.65138888888888891</v>
      </c>
      <c r="J4" s="46">
        <v>0.65972222222222199</v>
      </c>
      <c r="K4" s="47"/>
      <c r="M4" s="5"/>
      <c r="N4" s="5" t="s">
        <v>16</v>
      </c>
      <c r="O4" s="4">
        <f>Tabla5[[#This Row],[FECHA]]</f>
        <v>44831</v>
      </c>
      <c r="P4" s="7">
        <f>D4</f>
        <v>0.33749999999999997</v>
      </c>
      <c r="Q4" s="7">
        <f t="shared" ref="Q4:Q7" si="0">E4-D4</f>
        <v>2.5000000000000022E-2</v>
      </c>
      <c r="R4" s="7">
        <f t="shared" ref="R4:R7" si="1">F4-E4</f>
        <v>1.5277777777777779E-2</v>
      </c>
      <c r="S4" s="7">
        <f t="shared" ref="S4:S7" si="2">G4-F4</f>
        <v>0.2416666666666667</v>
      </c>
      <c r="T4" s="7">
        <f>+Tabla5[[#This Row],[ALMUERZO]]-Tabla5[[#This Row],[TERMINO ACT. AM]]</f>
        <v>9.0277777777777457E-3</v>
      </c>
      <c r="U4" s="7">
        <f>+Tabla5[[#This Row],[INICIO ACTIVIDADES PM]]-Tabla5[[#This Row],[ALMUERZO]]</f>
        <v>2.2916666666666696E-2</v>
      </c>
      <c r="V4" s="7">
        <f>+Tabla5[[#This Row],[TERMINO ACTIVIDADES PM]]-Tabla5[[#This Row],[INICIO ACTIVIDADES PM]]</f>
        <v>8.3333333333330817E-3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44832</v>
      </c>
      <c r="D5" s="37">
        <v>0.33958333333333335</v>
      </c>
      <c r="E5" s="37">
        <v>0.3611111111111111</v>
      </c>
      <c r="F5" s="37">
        <v>0.375</v>
      </c>
      <c r="G5" s="37">
        <v>0.61388888888888882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44832</v>
      </c>
      <c r="P5" s="7">
        <f>D5</f>
        <v>0.33958333333333335</v>
      </c>
      <c r="Q5" s="7">
        <f t="shared" si="0"/>
        <v>2.1527777777777757E-2</v>
      </c>
      <c r="R5" s="7">
        <f t="shared" si="1"/>
        <v>1.3888888888888895E-2</v>
      </c>
      <c r="S5" s="7">
        <f t="shared" si="2"/>
        <v>0.23888888888888882</v>
      </c>
      <c r="T5" s="7">
        <f>+Tabla5[[#This Row],[ALMUERZO]]-Tabla5[[#This Row],[TERMINO ACT. AM]]</f>
        <v>5.5555555555556468E-3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44833</v>
      </c>
      <c r="D6" s="37">
        <v>0.33749999999999997</v>
      </c>
      <c r="E6" s="37">
        <v>0.36458333333333331</v>
      </c>
      <c r="F6" s="37">
        <v>0.38055555555555554</v>
      </c>
      <c r="G6" s="37">
        <v>0.61319444444444449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44833</v>
      </c>
      <c r="P6" s="7">
        <f>D6</f>
        <v>0.33749999999999997</v>
      </c>
      <c r="Q6" s="7">
        <f t="shared" si="0"/>
        <v>2.7083333333333348E-2</v>
      </c>
      <c r="R6" s="7">
        <f t="shared" si="1"/>
        <v>1.5972222222222221E-2</v>
      </c>
      <c r="S6" s="7">
        <f t="shared" si="2"/>
        <v>0.23263888888888895</v>
      </c>
      <c r="T6" s="7">
        <f>+Tabla5[[#This Row],[ALMUERZO]]-Tabla5[[#This Row],[TERMINO ACT. AM]]</f>
        <v>6.2499999999999778E-3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44834</v>
      </c>
      <c r="D7" s="37">
        <v>0.33958333333333335</v>
      </c>
      <c r="E7" s="37">
        <v>0.3611111111111111</v>
      </c>
      <c r="F7" s="37">
        <v>0.38194444444444442</v>
      </c>
      <c r="G7" s="37">
        <v>0.61111111111111105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44834</v>
      </c>
      <c r="P7" s="7">
        <f>D7</f>
        <v>0.33958333333333335</v>
      </c>
      <c r="Q7" s="7">
        <f t="shared" si="0"/>
        <v>2.1527777777777757E-2</v>
      </c>
      <c r="R7" s="7">
        <f t="shared" si="1"/>
        <v>2.0833333333333315E-2</v>
      </c>
      <c r="S7" s="7">
        <f t="shared" si="2"/>
        <v>0.22916666666666663</v>
      </c>
      <c r="T7" s="7">
        <f>+Tabla5[[#This Row],[ALMUERZO]]-Tabla5[[#This Row],[TERMINO ACT. AM]]</f>
        <v>1.1805555555555625E-2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44835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44836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0.24930555555555556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0.24999999999999978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0.24930555555555522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0.24305555555555536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0.24305555555555547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0.24694444444444427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0.98777777777777709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G7" sqref="G7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44830</v>
      </c>
      <c r="D3" s="37">
        <v>0.31597222222222221</v>
      </c>
      <c r="E3" s="37">
        <v>0.3263888888888889</v>
      </c>
      <c r="F3" s="37">
        <v>0.34861111111111115</v>
      </c>
      <c r="G3" s="37">
        <v>0.58680555555555558</v>
      </c>
      <c r="H3" s="37">
        <v>0.59861111111111109</v>
      </c>
      <c r="I3" s="37">
        <v>0.625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0.31597222222222221</v>
      </c>
      <c r="Q3" s="7">
        <f t="shared" ref="Q3:S7" si="0">E3-D3</f>
        <v>1.0416666666666685E-2</v>
      </c>
      <c r="R3" s="7">
        <f t="shared" si="0"/>
        <v>2.2222222222222254E-2</v>
      </c>
      <c r="S3" s="7">
        <f t="shared" si="0"/>
        <v>0.23819444444444443</v>
      </c>
      <c r="T3" s="7">
        <f>+Tabla538394041[[#This Row],[ALMUERZO]]-Tabla538394041[[#This Row],[TERMINO ACT. AM]]</f>
        <v>1.1805555555555514E-2</v>
      </c>
      <c r="U3" s="7">
        <f>+Tabla538394041[[#This Row],[INICIO ACTIVIDADES PM]]-Tabla538394041[[#This Row],[ALMUERZO]]</f>
        <v>2.6388888888888906E-2</v>
      </c>
      <c r="V3" s="7">
        <f>+Tabla538394041[[#This Row],[TERMINO ACTIVIDADES PM]]-Tabla538394041[[#This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44831</v>
      </c>
      <c r="D4" s="37">
        <v>0.3125</v>
      </c>
      <c r="E4" s="37">
        <v>0.32291666666666669</v>
      </c>
      <c r="F4" s="37">
        <v>0.35069444444444442</v>
      </c>
      <c r="G4" s="37">
        <v>0.51041666666666663</v>
      </c>
      <c r="H4" s="37">
        <v>0.51388888888888895</v>
      </c>
      <c r="I4" s="37">
        <v>0.54166666666666663</v>
      </c>
      <c r="J4" s="46">
        <v>0.65277777777777801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si="0"/>
        <v>1.0416666666666685E-2</v>
      </c>
      <c r="R4" s="7">
        <f t="shared" si="0"/>
        <v>2.7777777777777735E-2</v>
      </c>
      <c r="S4" s="7">
        <f t="shared" si="0"/>
        <v>0.15972222222222221</v>
      </c>
      <c r="T4" s="7">
        <f>+Tabla538394041[[#This Row],[ALMUERZO]]-Tabla538394041[[#This Row],[TERMINO ACT. AM]]</f>
        <v>3.4722222222223209E-3</v>
      </c>
      <c r="U4" s="7">
        <f>+Tabla538394041[[#This Row],[INICIO ACTIVIDADES PM]]-Tabla538394041[[#This Row],[ALMUERZO]]</f>
        <v>2.7777777777777679E-2</v>
      </c>
      <c r="V4" s="7">
        <f>+Tabla538394041[[#This Row],[TERMINO ACTIVIDADES PM]]-Tabla538394041[[#This Row],[INICIO ACTIVIDADES PM]]</f>
        <v>0.11111111111111138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44832</v>
      </c>
      <c r="D5" s="37">
        <v>0.31111111111111112</v>
      </c>
      <c r="E5" s="37">
        <v>0.32083333333333336</v>
      </c>
      <c r="F5" s="37">
        <v>0.35069444444444442</v>
      </c>
      <c r="G5" s="37">
        <v>0.55555555555555558</v>
      </c>
      <c r="H5" s="37">
        <v>0.56597222222222221</v>
      </c>
      <c r="I5" s="37">
        <v>0.59375</v>
      </c>
      <c r="J5" s="46">
        <v>0.65277777777777801</v>
      </c>
      <c r="K5" s="47" t="s">
        <v>91</v>
      </c>
      <c r="M5" s="5"/>
      <c r="N5" s="5" t="s">
        <v>16</v>
      </c>
      <c r="O5" s="4">
        <v>44412</v>
      </c>
      <c r="P5" s="7">
        <f>D5</f>
        <v>0.31111111111111112</v>
      </c>
      <c r="Q5" s="7">
        <f t="shared" si="0"/>
        <v>9.7222222222222432E-3</v>
      </c>
      <c r="R5" s="7">
        <f t="shared" si="0"/>
        <v>2.9861111111111061E-2</v>
      </c>
      <c r="S5" s="7">
        <f t="shared" si="0"/>
        <v>0.20486111111111116</v>
      </c>
      <c r="T5" s="7">
        <f>+Tabla538394041[[#This Row],[ALMUERZO]]-Tabla538394041[[#This Row],[TERMINO ACT. AM]]</f>
        <v>1.041666666666663E-2</v>
      </c>
      <c r="U5" s="7">
        <f>+Tabla538394041[[#This Row],[INICIO ACTIVIDADES PM]]-Tabla538394041[[#This Row],[ALMUERZO]]</f>
        <v>2.777777777777779E-2</v>
      </c>
      <c r="V5" s="7">
        <f>+Tabla538394041[[#This Row],[TERMINO ACTIVIDADES PM]]-Tabla538394041[[#This Row],[INICIO ACTIVIDADES PM]]</f>
        <v>5.9027777777778012E-2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44833</v>
      </c>
      <c r="D6" s="37">
        <v>0.31597222222222221</v>
      </c>
      <c r="E6" s="37">
        <v>0.3298611111111111</v>
      </c>
      <c r="F6" s="37">
        <v>0.35416666666666669</v>
      </c>
      <c r="G6" s="37">
        <v>0.5229166666666667</v>
      </c>
      <c r="H6" s="37">
        <v>0.53819444444444442</v>
      </c>
      <c r="I6" s="37">
        <v>0.56805555555555554</v>
      </c>
      <c r="J6" s="46">
        <v>0.65277777777777801</v>
      </c>
      <c r="K6" s="47" t="s">
        <v>91</v>
      </c>
      <c r="M6" s="5"/>
      <c r="N6" s="5" t="s">
        <v>17</v>
      </c>
      <c r="O6" s="4">
        <v>44413</v>
      </c>
      <c r="P6" s="7">
        <f>D6</f>
        <v>0.31597222222222221</v>
      </c>
      <c r="Q6" s="7">
        <f t="shared" si="0"/>
        <v>1.3888888888888895E-2</v>
      </c>
      <c r="R6" s="7">
        <f t="shared" si="0"/>
        <v>2.430555555555558E-2</v>
      </c>
      <c r="S6" s="7">
        <f t="shared" si="0"/>
        <v>0.16875000000000001</v>
      </c>
      <c r="T6" s="7">
        <f>+Tabla538394041[[#This Row],[ALMUERZO]]-Tabla538394041[[#This Row],[TERMINO ACT. AM]]</f>
        <v>1.5277777777777724E-2</v>
      </c>
      <c r="U6" s="7">
        <f>+Tabla538394041[[#This Row],[INICIO ACTIVIDADES PM]]-Tabla538394041[[#This Row],[ALMUERZO]]</f>
        <v>2.9861111111111116E-2</v>
      </c>
      <c r="V6" s="7">
        <f>+Tabla538394041[[#This Row],[TERMINO ACTIVIDADES PM]]-Tabla538394041[[#This Row],[INICIO ACTIVIDADES PM]]</f>
        <v>8.4722222222222476E-2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44834</v>
      </c>
      <c r="D7" s="37">
        <v>0.31597222222222221</v>
      </c>
      <c r="E7" s="37">
        <v>0.33333333333333331</v>
      </c>
      <c r="F7" s="37">
        <v>0.3576388888888889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1.7361111111111105E-2</v>
      </c>
      <c r="R7" s="7">
        <f t="shared" si="0"/>
        <v>2.430555555555558E-2</v>
      </c>
      <c r="S7" s="7">
        <f t="shared" si="0"/>
        <v>0.16319444444444448</v>
      </c>
      <c r="T7" s="7">
        <f>+Tabla538394041[[#This Row],[ALMUERZO]]-Tabla538394041[[#This Row],[TERMINO ACT. AM]]</f>
        <v>9.0277777777777457E-3</v>
      </c>
      <c r="U7" s="7">
        <f>+Tabla538394041[[#This Row],[INICIO ACTIVIDADES PM]]-Tabla538394041[[#This Row],[ALMUERZO]]</f>
        <v>3.819444444444442E-2</v>
      </c>
      <c r="V7" s="7">
        <f>+Tabla538394041[[#This Row],[TERMINO ACTIVIDADES PM]]-Tabla538394041[[#This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0.26597222222222222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0.27083333333333359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0.26388888888888917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0.25347222222222249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0.24791666666666695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0.26041666666666685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1.0416666666666674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8" t="s">
        <v>105</v>
      </c>
      <c r="J28" s="179" t="s">
        <v>103</v>
      </c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0"/>
      <c r="T30" s="3"/>
    </row>
    <row r="31" spans="1:20" ht="15.6" customHeight="1" x14ac:dyDescent="0.25">
      <c r="I31" s="178"/>
      <c r="J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G4" sqref="G4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44830</v>
      </c>
      <c r="D3" s="37">
        <v>0.64583333333333337</v>
      </c>
      <c r="E3" s="37">
        <v>0.68888888888888899</v>
      </c>
      <c r="F3" s="37">
        <v>0.70486111111111116</v>
      </c>
      <c r="G3" s="56">
        <v>0.92013888888888884</v>
      </c>
      <c r="H3" s="37">
        <v>0.92708333333333337</v>
      </c>
      <c r="I3" s="37">
        <v>0.95138888888888884</v>
      </c>
      <c r="J3" s="46">
        <v>0.98611111111111105</v>
      </c>
      <c r="K3" s="47"/>
      <c r="L3" s="53"/>
      <c r="M3" s="53"/>
      <c r="N3" s="57" t="s">
        <v>15</v>
      </c>
      <c r="O3" s="4">
        <f>Tabla53839404142[[#This Row],[FECHA]]</f>
        <v>44830</v>
      </c>
      <c r="P3" s="7">
        <f>D3</f>
        <v>0.64583333333333337</v>
      </c>
      <c r="Q3" s="7">
        <f t="shared" ref="Q3:S7" si="0">E3-D3</f>
        <v>4.3055555555555625E-2</v>
      </c>
      <c r="R3" s="7">
        <f t="shared" si="0"/>
        <v>1.5972222222222165E-2</v>
      </c>
      <c r="S3" s="7">
        <f t="shared" si="0"/>
        <v>0.21527777777777768</v>
      </c>
      <c r="T3" s="7">
        <f>+Tabla53839404142[[#This Row],[ALMUERZO]]-Tabla53839404142[[#This Row],[TERMINO ACT. AM]]</f>
        <v>6.9444444444445308E-3</v>
      </c>
      <c r="U3" s="7">
        <f>+Tabla53839404142[[#This Row],[INICIO ACTIVIDADES PM]]-Tabla53839404142[[#This Row],[ALMUERZO]]</f>
        <v>2.4305555555555469E-2</v>
      </c>
      <c r="V3" s="7">
        <f>+Tabla53839404142[[#This Row],[TERMINO ACTIVIDADES PM]]-Tabla53839404142[[#This Row],[INICIO ACTIVIDADES PM]]</f>
        <v>3.472222222222221E-2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44831</v>
      </c>
      <c r="D4" s="37">
        <v>0.64583333333333337</v>
      </c>
      <c r="E4" s="37">
        <v>0.68402777777777779</v>
      </c>
      <c r="F4" s="37">
        <v>0.69097222222222221</v>
      </c>
      <c r="G4" s="56">
        <v>0.91319444444444453</v>
      </c>
      <c r="H4" s="37">
        <v>0.92222222222222217</v>
      </c>
      <c r="I4" s="37">
        <v>0.94930555555555562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44831</v>
      </c>
      <c r="P4" s="7">
        <f>D4</f>
        <v>0.64583333333333337</v>
      </c>
      <c r="Q4" s="7">
        <f t="shared" si="0"/>
        <v>3.819444444444442E-2</v>
      </c>
      <c r="R4" s="7">
        <f t="shared" si="0"/>
        <v>6.9444444444444198E-3</v>
      </c>
      <c r="S4" s="7">
        <f t="shared" si="0"/>
        <v>0.22222222222222232</v>
      </c>
      <c r="T4" s="7">
        <f>+Tabla53839404142[[#This Row],[ALMUERZO]]-Tabla53839404142[[#This Row],[TERMINO ACT. AM]]</f>
        <v>9.0277777777776347E-3</v>
      </c>
      <c r="U4" s="7">
        <f>+Tabla53839404142[[#This Row],[INICIO ACTIVIDADES PM]]-Tabla53839404142[[#This Row],[ALMUERZO]]</f>
        <v>2.7083333333333459E-2</v>
      </c>
      <c r="V4" s="7">
        <f>+Tabla53839404142[[#This Row],[TERMINO ACTIVIDADES PM]]-Tabla53839404142[[#This Row],[INICIO ACTIVIDADES PM]]</f>
        <v>3.6805555555555536E-2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44832</v>
      </c>
      <c r="D5" s="37">
        <v>0.64583333333333337</v>
      </c>
      <c r="E5" s="37">
        <v>0.69097222222222221</v>
      </c>
      <c r="F5" s="37">
        <v>0.69444444444444453</v>
      </c>
      <c r="G5" s="56">
        <v>0.90416666666666667</v>
      </c>
      <c r="H5" s="37">
        <v>0.90972222222222221</v>
      </c>
      <c r="I5" s="37">
        <v>0.94097222222222221</v>
      </c>
      <c r="J5" s="46">
        <v>0.98611111111111105</v>
      </c>
      <c r="K5" s="47"/>
      <c r="M5" s="5"/>
      <c r="N5" s="5" t="s">
        <v>16</v>
      </c>
      <c r="O5" s="4">
        <f>Tabla53839404142[[#This Row],[FECHA]]</f>
        <v>44832</v>
      </c>
      <c r="P5" s="7">
        <f>D5</f>
        <v>0.64583333333333337</v>
      </c>
      <c r="Q5" s="7">
        <f t="shared" si="0"/>
        <v>4.513888888888884E-2</v>
      </c>
      <c r="R5" s="7">
        <f t="shared" si="0"/>
        <v>3.4722222222223209E-3</v>
      </c>
      <c r="S5" s="7">
        <f t="shared" si="0"/>
        <v>0.20972222222222214</v>
      </c>
      <c r="T5" s="7">
        <f>+Tabla53839404142[[#This Row],[ALMUERZO]]-Tabla53839404142[[#This Row],[TERMINO ACT. AM]]</f>
        <v>5.5555555555555358E-3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44833</v>
      </c>
      <c r="D6" s="37">
        <v>0.64583333333333337</v>
      </c>
      <c r="E6" s="37">
        <v>0.68611111111111101</v>
      </c>
      <c r="F6" s="37">
        <v>0.70277777777777783</v>
      </c>
      <c r="G6" s="37">
        <v>0.84375</v>
      </c>
      <c r="H6" s="37">
        <v>0.85416666666666663</v>
      </c>
      <c r="I6" s="37">
        <v>0.88541666666666663</v>
      </c>
      <c r="J6" s="46">
        <v>0.98611111111111105</v>
      </c>
      <c r="K6" s="47"/>
      <c r="M6" s="5"/>
      <c r="N6" s="5" t="s">
        <v>17</v>
      </c>
      <c r="O6" s="4">
        <f>Tabla53839404142[[#This Row],[FECHA]]</f>
        <v>44833</v>
      </c>
      <c r="P6" s="7">
        <f>D6</f>
        <v>0.64583333333333337</v>
      </c>
      <c r="Q6" s="7">
        <f t="shared" si="0"/>
        <v>4.0277777777777635E-2</v>
      </c>
      <c r="R6" s="7">
        <f t="shared" si="0"/>
        <v>1.6666666666666829E-2</v>
      </c>
      <c r="S6" s="7">
        <f t="shared" si="0"/>
        <v>0.14097222222222217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0.10069444444444442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44834</v>
      </c>
      <c r="D7" s="37">
        <v>0.64583333333333337</v>
      </c>
      <c r="E7" s="37">
        <v>0.68402777777777779</v>
      </c>
      <c r="F7" s="37">
        <v>0.69305555555555554</v>
      </c>
      <c r="G7" s="56">
        <v>0.91111111111111109</v>
      </c>
      <c r="H7" s="37">
        <v>0.92013888888888884</v>
      </c>
      <c r="I7" s="37">
        <v>0.94791666666666663</v>
      </c>
      <c r="J7" s="46">
        <v>0.98611111111111105</v>
      </c>
      <c r="K7" s="47"/>
      <c r="M7" s="5"/>
      <c r="N7" s="5" t="s">
        <v>18</v>
      </c>
      <c r="O7" s="4">
        <f>Tabla53839404142[[#This Row],[FECHA]]</f>
        <v>44834</v>
      </c>
      <c r="P7" s="7">
        <f>D7</f>
        <v>0.64583333333333337</v>
      </c>
      <c r="Q7" s="7">
        <f t="shared" si="0"/>
        <v>3.819444444444442E-2</v>
      </c>
      <c r="R7" s="7">
        <f t="shared" si="0"/>
        <v>9.0277777777777457E-3</v>
      </c>
      <c r="S7" s="7">
        <f t="shared" si="0"/>
        <v>0.21805555555555556</v>
      </c>
      <c r="T7" s="7">
        <f>+Tabla53839404142[[#This Row],[ALMUERZO]]-Tabla53839404142[[#This Row],[TERMINO ACT. AM]]</f>
        <v>9.0277777777777457E-3</v>
      </c>
      <c r="U7" s="7">
        <f>+Tabla53839404142[[#This Row],[INICIO ACTIVIDADES PM]]-Tabla53839404142[[#This Row],[ALMUERZO]]</f>
        <v>2.777777777777779E-2</v>
      </c>
      <c r="V7" s="7">
        <f>+Tabla53839404142[[#This Row],[TERMINO ACTIVIDADES PM]]-Tabla53839404142[[#This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0.24999999999999989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0.25902777777777786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0.25486111111111098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0.24166666666666659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0.25624999999999998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0.25236111111111104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177">
        <f>G21/G22</f>
        <v>1.0094444444444441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104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44830</v>
      </c>
      <c r="D3" s="37">
        <v>0.3125</v>
      </c>
      <c r="E3" s="37">
        <v>0.31944444444444448</v>
      </c>
      <c r="F3" s="37">
        <v>0.34375</v>
      </c>
      <c r="G3" s="37">
        <v>0.51736111111111105</v>
      </c>
      <c r="H3" s="37">
        <v>0.52430555555555558</v>
      </c>
      <c r="I3" s="37">
        <v>0.54861111111111105</v>
      </c>
      <c r="J3" s="46">
        <v>0.65972222222222199</v>
      </c>
      <c r="K3" s="47"/>
      <c r="L3" s="53"/>
      <c r="M3" s="53"/>
      <c r="N3" s="57" t="s">
        <v>15</v>
      </c>
      <c r="O3" s="4">
        <f>Tabla5383940414243[[#This Row],[FECHA]]</f>
        <v>44830</v>
      </c>
      <c r="P3" s="7">
        <f>D3</f>
        <v>0.3125</v>
      </c>
      <c r="Q3" s="7">
        <f>E3-D3</f>
        <v>6.9444444444444753E-3</v>
      </c>
      <c r="R3" s="7">
        <f>F3-E3</f>
        <v>2.4305555555555525E-2</v>
      </c>
      <c r="S3" s="7">
        <f>G3-F3</f>
        <v>0.17361111111111105</v>
      </c>
      <c r="T3" s="7">
        <f>+Tabla5383940414243[[#This Row],[ALMUERZO]]-Tabla5383940414243[[#This Row],[TERMINO ACT. AM]]</f>
        <v>6.9444444444445308E-3</v>
      </c>
      <c r="U3" s="7">
        <f>+Tabla5383940414243[[#This Row],[INICIO ACTIVIDADES PM]]-Tabla5383940414243[[#This Row],[ALMUERZO]]</f>
        <v>2.4305555555555469E-2</v>
      </c>
      <c r="V3" s="7">
        <f>+Tabla5383940414243[[#This Row],[TERMINO ACTIVIDADES PM]]-Tabla5383940414243[[#This Row],[INICIO ACTIVIDADES PM]]</f>
        <v>0.11111111111111094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44831</v>
      </c>
      <c r="D4" s="37">
        <v>0.31805555555555554</v>
      </c>
      <c r="E4" s="37">
        <v>0.3263888888888889</v>
      </c>
      <c r="F4" s="37">
        <v>0.34722222222222227</v>
      </c>
      <c r="G4" s="37">
        <v>0.50347222222222221</v>
      </c>
      <c r="H4" s="37">
        <v>0.50694444444444442</v>
      </c>
      <c r="I4" s="37">
        <v>0.53125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44831</v>
      </c>
      <c r="P4" s="7">
        <f>D4</f>
        <v>0.31805555555555554</v>
      </c>
      <c r="Q4" s="7">
        <f t="shared" ref="Q4:S7" si="0">E4-D4</f>
        <v>8.3333333333333592E-3</v>
      </c>
      <c r="R4" s="7">
        <f t="shared" si="0"/>
        <v>2.083333333333337E-2</v>
      </c>
      <c r="S4" s="7">
        <f t="shared" si="0"/>
        <v>0.15624999999999994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2.430555555555558E-2</v>
      </c>
      <c r="V4" s="7">
        <f>+Tabla5383940414243[[#This Row],[TERMINO ACTIVIDADES PM]]-Tabla5383940414243[[#This Row],[INICIO ACTIVIDADES PM]]</f>
        <v>0.12847222222222221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44832</v>
      </c>
      <c r="D5" s="37">
        <v>0.3125</v>
      </c>
      <c r="E5" s="37">
        <v>0.3263888888888889</v>
      </c>
      <c r="F5" s="37">
        <v>0.34375</v>
      </c>
      <c r="G5" s="37">
        <v>0.52222222222222225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44832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0.17847222222222225</v>
      </c>
      <c r="T5" s="7">
        <f>+Tabla5383940414243[[#This Row],[ALMUERZO]]-Tabla5383940414243[[#This Row],[TERMINO ACT. AM]]</f>
        <v>5.5555555555555358E-3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44833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44833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44834</v>
      </c>
      <c r="D7" s="37">
        <v>0.30902777777777779</v>
      </c>
      <c r="E7" s="37">
        <v>0.32291666666666669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44834</v>
      </c>
      <c r="P7" s="7">
        <f>D7</f>
        <v>0.30902777777777779</v>
      </c>
      <c r="Q7" s="7">
        <f t="shared" si="0"/>
        <v>1.3888888888888895E-2</v>
      </c>
      <c r="R7" s="7">
        <f t="shared" si="0"/>
        <v>1.7361111111111049E-2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0.28472222222222199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0.28472222222222215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0.28611111111111087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0.28708333333333319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0.98428571428571376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Q11" sqref="Q10:Q11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44830</v>
      </c>
      <c r="D3" s="37">
        <v>0.3347222222222222</v>
      </c>
      <c r="E3" s="37">
        <v>0.37152777777777773</v>
      </c>
      <c r="F3" s="37">
        <v>0.38263888888888892</v>
      </c>
      <c r="G3" s="46">
        <v>0.60069444444444442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44830</v>
      </c>
      <c r="P3" s="7">
        <f>D3</f>
        <v>0.3347222222222222</v>
      </c>
      <c r="Q3" s="7">
        <f>E3-D3</f>
        <v>3.6805555555555536E-2</v>
      </c>
      <c r="R3" s="7">
        <f>F3-E3</f>
        <v>1.1111111111111183E-2</v>
      </c>
      <c r="S3" s="7">
        <f>G3-F3</f>
        <v>0.2180555555555555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44831</v>
      </c>
      <c r="D4" s="37">
        <v>0.33680555555555558</v>
      </c>
      <c r="E4" s="37">
        <v>0.3611111111111111</v>
      </c>
      <c r="F4" s="37">
        <v>0.37847222222222227</v>
      </c>
      <c r="G4" s="46">
        <v>0.61111111111111105</v>
      </c>
      <c r="H4" s="46">
        <v>0.62152777777777779</v>
      </c>
      <c r="I4" s="46">
        <v>0.64583333333333337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44831</v>
      </c>
      <c r="P4" s="7">
        <f>D4</f>
        <v>0.33680555555555558</v>
      </c>
      <c r="Q4" s="7">
        <f t="shared" ref="Q4:S7" si="0">E4-D4</f>
        <v>2.4305555555555525E-2</v>
      </c>
      <c r="R4" s="7">
        <f t="shared" si="0"/>
        <v>1.736111111111116E-2</v>
      </c>
      <c r="S4" s="7">
        <f t="shared" si="0"/>
        <v>0.23263888888888878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2.430555555555558E-2</v>
      </c>
      <c r="V4" s="7">
        <f>+Tabla538394041424344[[#This Row],[TERMINO ACTIVIDADES PM]]-Tabla538394041424344[[#This Row],[INICIO ACTIVIDADES PM]]</f>
        <v>1.388888888888884E-2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44832</v>
      </c>
      <c r="D5" s="37">
        <v>0.33680555555555558</v>
      </c>
      <c r="E5" s="37">
        <v>0.37152777777777773</v>
      </c>
      <c r="F5" s="37">
        <v>0.38472222222222219</v>
      </c>
      <c r="G5" s="46">
        <v>0.58680555555555558</v>
      </c>
      <c r="H5" s="46">
        <v>0.59722222222222221</v>
      </c>
      <c r="I5" s="46">
        <v>0.62152777777777779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44832</v>
      </c>
      <c r="P5" s="7">
        <f>D5</f>
        <v>0.33680555555555558</v>
      </c>
      <c r="Q5" s="7">
        <f t="shared" si="0"/>
        <v>3.4722222222222154E-2</v>
      </c>
      <c r="R5" s="7">
        <f t="shared" si="0"/>
        <v>1.3194444444444453E-2</v>
      </c>
      <c r="S5" s="7">
        <f t="shared" si="0"/>
        <v>0.20208333333333339</v>
      </c>
      <c r="T5" s="7">
        <f>+Tabla538394041424344[[#This Row],[ALMUERZO]]-Tabla538394041424344[[#This Row],[TERMINO ACT. AM]]</f>
        <v>1.041666666666663E-2</v>
      </c>
      <c r="U5" s="7">
        <f>+Tabla538394041424344[[#This Row],[INICIO ACTIVIDADES PM]]-Tabla538394041424344[[#This Row],[ALMUERZO]]</f>
        <v>2.430555555555558E-2</v>
      </c>
      <c r="V5" s="7">
        <f>+Tabla538394041424344[[#This Row],[TERMINO ACTIVIDADES PM]]-Tabla538394041424344[[#This Row],[INICIO ACTIVIDADES PM]]</f>
        <v>3.819444444444442E-2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44833</v>
      </c>
      <c r="D6" s="37">
        <v>0.34027777777777773</v>
      </c>
      <c r="E6" s="37">
        <v>0.36805555555555558</v>
      </c>
      <c r="F6" s="37">
        <v>0.37847222222222227</v>
      </c>
      <c r="G6" s="46">
        <v>0.58333333333333337</v>
      </c>
      <c r="H6" s="37">
        <v>0.59166666666666667</v>
      </c>
      <c r="I6" s="46">
        <v>0.60902777777777783</v>
      </c>
      <c r="J6" s="46">
        <v>0.65972222222222299</v>
      </c>
      <c r="K6" s="47"/>
      <c r="M6" s="5"/>
      <c r="N6" s="5" t="s">
        <v>17</v>
      </c>
      <c r="O6" s="4">
        <f>Tabla538394041424344[[#This Row],[FECHA]]</f>
        <v>44833</v>
      </c>
      <c r="P6" s="7">
        <f>D6</f>
        <v>0.34027777777777773</v>
      </c>
      <c r="Q6" s="7">
        <f t="shared" si="0"/>
        <v>2.7777777777777846E-2</v>
      </c>
      <c r="R6" s="7">
        <f t="shared" si="0"/>
        <v>1.0416666666666685E-2</v>
      </c>
      <c r="S6" s="7">
        <f t="shared" si="0"/>
        <v>0.2048611111111111</v>
      </c>
      <c r="T6" s="7">
        <f>+Tabla538394041424344[[#This Row],[ALMUERZO]]-Tabla538394041424344[[#This Row],[TERMINO ACT. AM]]</f>
        <v>8.3333333333333037E-3</v>
      </c>
      <c r="U6" s="7">
        <f>+Tabla538394041424344[[#This Row],[INICIO ACTIVIDADES PM]]-Tabla538394041424344[[#This Row],[ALMUERZO]]</f>
        <v>1.736111111111116E-2</v>
      </c>
      <c r="V6" s="7">
        <f>+Tabla538394041424344[[#This Row],[TERMINO ACTIVIDADES PM]]-Tabla538394041424344[[#This Row],[INICIO ACTIVIDADES PM]]</f>
        <v>5.0694444444445153E-2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44834</v>
      </c>
      <c r="D7" s="37">
        <v>0.33680555555555558</v>
      </c>
      <c r="E7" s="37">
        <v>0.36458333333333331</v>
      </c>
      <c r="F7" s="37">
        <v>0.38194444444444442</v>
      </c>
      <c r="G7" s="46">
        <v>0.51041666666666663</v>
      </c>
      <c r="H7" s="46">
        <v>0.52083333333333337</v>
      </c>
      <c r="I7" s="46">
        <v>0.54166666666666663</v>
      </c>
      <c r="J7" s="46">
        <v>0.65972222222222299</v>
      </c>
      <c r="K7" s="47"/>
      <c r="M7" s="5"/>
      <c r="N7" s="5" t="s">
        <v>18</v>
      </c>
      <c r="O7" s="4">
        <f>Tabla538394041424344[[#This Row],[FECHA]]</f>
        <v>44834</v>
      </c>
      <c r="P7" s="7">
        <f>D7</f>
        <v>0.33680555555555558</v>
      </c>
      <c r="Q7" s="7">
        <f t="shared" si="0"/>
        <v>2.7777777777777735E-2</v>
      </c>
      <c r="R7" s="7">
        <f t="shared" si="0"/>
        <v>1.7361111111111105E-2</v>
      </c>
      <c r="S7" s="7">
        <f t="shared" si="0"/>
        <v>0.12847222222222221</v>
      </c>
      <c r="T7" s="7">
        <f>+Tabla538394041424344[[#This Row],[ALMUERZO]]-Tabla538394041424344[[#This Row],[TERMINO ACT. AM]]</f>
        <v>1.0416666666666741E-2</v>
      </c>
      <c r="U7" s="7">
        <f>+Tabla538394041424344[[#This Row],[INICIO ACTIVIDADES PM]]-Tabla538394041424344[[#This Row],[ALMUERZO]]</f>
        <v>2.0833333333333259E-2</v>
      </c>
      <c r="V7" s="7">
        <f>+Tabla538394041424344[[#This Row],[TERMINO ACTIVIDADES PM]]-Tabla538394041424344[[#This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0.24236111111111108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0.24652777777777762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0.24027777777777781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0.25555555555555626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0.24652777777777857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0.24625000000000025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0.98500000000000099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44830</v>
      </c>
      <c r="D3" s="37">
        <v>0.30902777777777779</v>
      </c>
      <c r="E3" s="37">
        <v>0.32083333333333336</v>
      </c>
      <c r="F3" s="37">
        <v>0.34375</v>
      </c>
      <c r="G3" s="37">
        <v>0.50208333333333333</v>
      </c>
      <c r="H3" s="37">
        <v>0.51250000000000007</v>
      </c>
      <c r="I3" s="37">
        <v>0.54166666666666663</v>
      </c>
      <c r="J3" s="46">
        <v>0.65277777777777801</v>
      </c>
      <c r="K3" s="47"/>
      <c r="L3" s="53"/>
      <c r="M3" s="53"/>
      <c r="N3" s="57" t="s">
        <v>15</v>
      </c>
      <c r="O3" s="4">
        <f>Tabla5383940414243444546[[#This Row],[FECHA]]</f>
        <v>44830</v>
      </c>
      <c r="P3" s="7">
        <f>D3</f>
        <v>0.30902777777777779</v>
      </c>
      <c r="Q3" s="7">
        <f>E3-D3</f>
        <v>1.1805555555555569E-2</v>
      </c>
      <c r="R3" s="7">
        <f>F3-E3</f>
        <v>2.2916666666666641E-2</v>
      </c>
      <c r="S3" s="7">
        <f>G3-F3</f>
        <v>0.15833333333333333</v>
      </c>
      <c r="T3" s="7">
        <f>+Tabla5383940414243444546[[#This Row],[ALMUERZO]]-Tabla5383940414243444546[[#This Row],[TERMINO ACT. AM]]</f>
        <v>1.0416666666666741E-2</v>
      </c>
      <c r="U3" s="7">
        <f>+Tabla5383940414243444546[[#This Row],[INICIO ACTIVIDADES PM]]-Tabla5383940414243444546[[#This Row],[ALMUERZO]]</f>
        <v>2.9166666666666563E-2</v>
      </c>
      <c r="V3" s="7">
        <f>+Tabla5383940414243444546[[#This Row],[TERMINO ACTIVIDADES PM]]-Tabla5383940414243444546[[#This Row],[INICIO ACTIVIDADES PM]]</f>
        <v>0.11111111111111138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44831</v>
      </c>
      <c r="D4" s="37">
        <v>0.31388888888888888</v>
      </c>
      <c r="E4" s="37">
        <v>0.3263888888888889</v>
      </c>
      <c r="F4" s="37">
        <v>0.34861111111111115</v>
      </c>
      <c r="G4" s="37">
        <v>0.58680555555555558</v>
      </c>
      <c r="H4" s="37">
        <v>0.59861111111111109</v>
      </c>
      <c r="I4" s="37">
        <v>0.625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44831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2.2222222222222254E-2</v>
      </c>
      <c r="S4" s="7">
        <f t="shared" si="0"/>
        <v>0.23819444444444443</v>
      </c>
      <c r="T4" s="7">
        <f>+Tabla5383940414243444546[[#This Row],[ALMUERZO]]-Tabla5383940414243444546[[#This Row],[TERMINO ACT. AM]]</f>
        <v>1.1805555555555514E-2</v>
      </c>
      <c r="U4" s="7">
        <f>+Tabla5383940414243444546[[#This Row],[INICIO ACTIVIDADES PM]]-Tabla5383940414243444546[[#This Row],[ALMUERZO]]</f>
        <v>2.6388888888888906E-2</v>
      </c>
      <c r="V4" s="7">
        <f>+Tabla5383940414243444546[[#This Row],[TERMINO ACTIVIDADES PM]]-Tabla5383940414243444546[[#This Row],[INICIO ACTIVIDADES PM]]</f>
        <v>2.777777777777779E-2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44832</v>
      </c>
      <c r="D5" s="37">
        <v>0.3125</v>
      </c>
      <c r="E5" s="37">
        <v>0.32291666666666669</v>
      </c>
      <c r="F5" s="37">
        <v>0.35069444444444442</v>
      </c>
      <c r="G5" s="37">
        <v>0.50138888888888888</v>
      </c>
      <c r="H5" s="37">
        <v>0.50972222222222219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44832</v>
      </c>
      <c r="P5" s="7">
        <f>D5</f>
        <v>0.3125</v>
      </c>
      <c r="Q5" s="7">
        <f t="shared" si="0"/>
        <v>1.0416666666666685E-2</v>
      </c>
      <c r="R5" s="7">
        <f t="shared" si="0"/>
        <v>2.7777777777777735E-2</v>
      </c>
      <c r="S5" s="7">
        <f t="shared" si="0"/>
        <v>0.15069444444444446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3.1944444444444442E-2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44833</v>
      </c>
      <c r="D6" s="37">
        <v>0.30902777777777779</v>
      </c>
      <c r="E6" s="37">
        <v>0.32083333333333336</v>
      </c>
      <c r="F6" s="37">
        <v>0.34375</v>
      </c>
      <c r="G6" s="37">
        <v>0.51736111111111105</v>
      </c>
      <c r="H6" s="37">
        <v>0.53125</v>
      </c>
      <c r="I6" s="37">
        <v>0.56111111111111112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44833</v>
      </c>
      <c r="P6" s="7">
        <f>D6</f>
        <v>0.30902777777777779</v>
      </c>
      <c r="Q6" s="7">
        <f t="shared" si="0"/>
        <v>1.1805555555555569E-2</v>
      </c>
      <c r="R6" s="7">
        <f t="shared" si="0"/>
        <v>2.2916666666666641E-2</v>
      </c>
      <c r="S6" s="7">
        <f t="shared" si="0"/>
        <v>0.17361111111111105</v>
      </c>
      <c r="T6" s="7">
        <f>+Tabla5383940414243444546[[#This Row],[ALMUERZO]]-Tabla5383940414243444546[[#This Row],[TERMINO ACT. AM]]</f>
        <v>1.3888888888888951E-2</v>
      </c>
      <c r="U6" s="7">
        <f>+Tabla5383940414243444546[[#This Row],[INICIO ACTIVIDADES PM]]-Tabla5383940414243444546[[#This Row],[ALMUERZO]]</f>
        <v>2.9861111111111116E-2</v>
      </c>
      <c r="V6" s="7">
        <f>+Tabla5383940414243444546[[#This Row],[TERMINO ACTIVIDADES PM]]-Tabla5383940414243444546[[#This Row],[INICIO ACTIVIDADES PM]]</f>
        <v>9.1666666666666896E-2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44834</v>
      </c>
      <c r="D7" s="37">
        <v>0.3125</v>
      </c>
      <c r="E7" s="37">
        <v>0.3298611111111111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44834</v>
      </c>
      <c r="P7" s="7">
        <f>D7</f>
        <v>0.3125</v>
      </c>
      <c r="Q7" s="7">
        <f t="shared" si="0"/>
        <v>1.7361111111111105E-2</v>
      </c>
      <c r="R7" s="7">
        <f t="shared" si="0"/>
        <v>2.430555555555558E-2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0.26944444444444471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0.26597222222222222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0.26180555555555585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0.26527777777777795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0.26277777777777794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1.0511111111111118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J12" sqref="J12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+'TTE 7'!G21</f>
        <v>0.24625000000000025</v>
      </c>
      <c r="D2" s="69">
        <f t="shared" ref="D2:D9" si="0">+C2/$C$17</f>
        <v>0.98500000000000099</v>
      </c>
      <c r="F2" s="79"/>
    </row>
    <row r="3" spans="2:16" x14ac:dyDescent="0.25">
      <c r="B3" s="72" t="s">
        <v>56</v>
      </c>
      <c r="C3" s="73">
        <f>+'SUB 6'!G21</f>
        <v>0.24305555555555552</v>
      </c>
      <c r="D3" s="69">
        <f t="shared" si="0"/>
        <v>0.9722222222222221</v>
      </c>
      <c r="F3" s="79"/>
    </row>
    <row r="4" spans="2:16" x14ac:dyDescent="0.25">
      <c r="B4" s="72" t="s">
        <v>55</v>
      </c>
      <c r="C4" s="73">
        <f>+'SUB 5'!G21</f>
        <v>0.24583333333333357</v>
      </c>
      <c r="D4" s="69">
        <f t="shared" si="0"/>
        <v>0.98333333333333428</v>
      </c>
      <c r="F4" s="79"/>
    </row>
    <row r="5" spans="2:16" x14ac:dyDescent="0.25">
      <c r="B5" s="72" t="s">
        <v>54</v>
      </c>
      <c r="C5" s="73">
        <f>+'TTE 6 '!G21</f>
        <v>0.24694444444444427</v>
      </c>
      <c r="D5" s="69">
        <f t="shared" si="0"/>
        <v>0.98777777777777709</v>
      </c>
      <c r="F5" s="79"/>
    </row>
    <row r="6" spans="2:16" x14ac:dyDescent="0.25">
      <c r="B6" s="72" t="s">
        <v>58</v>
      </c>
      <c r="C6" s="73">
        <f>+DIABLO!G21</f>
        <v>0.24902777777777779</v>
      </c>
      <c r="D6" s="69">
        <f t="shared" si="0"/>
        <v>0.99611111111111117</v>
      </c>
      <c r="F6" s="79"/>
    </row>
    <row r="7" spans="2:16" x14ac:dyDescent="0.25">
      <c r="B7" s="72" t="s">
        <v>57</v>
      </c>
      <c r="C7" s="73">
        <f>+'PIPA N'!G21</f>
        <v>0.24708333333333332</v>
      </c>
      <c r="D7" s="69">
        <f t="shared" si="0"/>
        <v>0.98833333333333329</v>
      </c>
      <c r="F7" s="79"/>
    </row>
    <row r="8" spans="2:16" x14ac:dyDescent="0.25">
      <c r="B8" s="72" t="s">
        <v>66</v>
      </c>
      <c r="C8" s="73">
        <f>+'CH colon'!G21</f>
        <v>0.26277777777777794</v>
      </c>
      <c r="D8" s="69">
        <f t="shared" si="0"/>
        <v>1.0511111111111118</v>
      </c>
      <c r="F8" s="79"/>
    </row>
    <row r="9" spans="2:16" x14ac:dyDescent="0.25">
      <c r="B9" s="74" t="s">
        <v>92</v>
      </c>
      <c r="C9" s="73">
        <f>+Salvataje!G21</f>
        <v>0.24666666666666645</v>
      </c>
      <c r="D9" s="69">
        <f t="shared" si="0"/>
        <v>0.9866666666666658</v>
      </c>
      <c r="F9" s="79"/>
    </row>
    <row r="10" spans="2:16" x14ac:dyDescent="0.25">
      <c r="B10" s="72" t="s">
        <v>64</v>
      </c>
      <c r="C10" s="73">
        <f>+'LA JUNTA'!G21</f>
        <v>0.28708333333333319</v>
      </c>
      <c r="D10" s="69">
        <f>+C10/$C$19</f>
        <v>0.98428571428571376</v>
      </c>
      <c r="F10" s="79"/>
    </row>
    <row r="11" spans="2:16" x14ac:dyDescent="0.25">
      <c r="B11" s="72" t="s">
        <v>62</v>
      </c>
      <c r="C11" s="73">
        <f>+AC!G21</f>
        <v>0.26041666666666685</v>
      </c>
      <c r="D11" s="69">
        <f>+C11/$C$17</f>
        <v>1.0416666666666674</v>
      </c>
      <c r="F11" s="79"/>
      <c r="P11" s="80"/>
    </row>
    <row r="12" spans="2:16" x14ac:dyDescent="0.25">
      <c r="B12" s="72" t="s">
        <v>63</v>
      </c>
      <c r="C12" s="73">
        <f>+Colec!G21</f>
        <v>0.25236111111111104</v>
      </c>
      <c r="D12" s="69">
        <f>+C12/$C$17</f>
        <v>1.0094444444444441</v>
      </c>
      <c r="F12" s="79"/>
    </row>
    <row r="13" spans="2:16" x14ac:dyDescent="0.25">
      <c r="B13" s="72" t="s">
        <v>61</v>
      </c>
      <c r="C13" s="73">
        <f>+'P M'!G21</f>
        <v>0.25763888888888903</v>
      </c>
      <c r="D13" s="69">
        <f>+C13/$C$17</f>
        <v>1.0305555555555561</v>
      </c>
      <c r="F13" s="79"/>
    </row>
    <row r="14" spans="2:16" x14ac:dyDescent="0.25">
      <c r="B14" s="72" t="s">
        <v>60</v>
      </c>
      <c r="C14" s="73">
        <f>+'Vent '!G21</f>
        <v>0.25194444444444447</v>
      </c>
      <c r="D14" s="69">
        <f>+C14/$C$17</f>
        <v>1.0077777777777779</v>
      </c>
      <c r="F14" s="79"/>
    </row>
    <row r="15" spans="2:16" x14ac:dyDescent="0.25">
      <c r="B15" s="72" t="s">
        <v>59</v>
      </c>
      <c r="C15" s="73">
        <f>+ACCU!G21</f>
        <v>0.43805555555555536</v>
      </c>
      <c r="D15" s="69">
        <f>+C15/$C$18</f>
        <v>1.0340983606557372</v>
      </c>
      <c r="F15" s="79"/>
    </row>
    <row r="16" spans="2:16" x14ac:dyDescent="0.25">
      <c r="B16" s="72" t="s">
        <v>51</v>
      </c>
      <c r="C16" s="73">
        <f>AVERAGE(C2:C15)</f>
        <v>0.26679563492063496</v>
      </c>
    </row>
    <row r="17" spans="2:4" x14ac:dyDescent="0.25">
      <c r="B17" s="72" t="s">
        <v>52</v>
      </c>
      <c r="C17" s="73">
        <v>0.25</v>
      </c>
      <c r="D17" s="55">
        <f>+AVERAGE(D2:D16)</f>
        <v>1.0041702910672465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3">
        <f>+'TTE 6 '!C3</f>
        <v>44830</v>
      </c>
      <c r="C4" s="194"/>
      <c r="D4" s="194"/>
      <c r="E4" s="195">
        <f>+'TTE 6 '!C4</f>
        <v>44831</v>
      </c>
      <c r="F4" s="196"/>
      <c r="G4" s="196"/>
      <c r="H4" s="197">
        <f>+'TTE 6 '!C5</f>
        <v>44832</v>
      </c>
      <c r="I4" s="198"/>
      <c r="J4" s="199"/>
      <c r="K4" s="195">
        <f>+'TTE 6 '!C6</f>
        <v>44833</v>
      </c>
      <c r="L4" s="196"/>
      <c r="M4" s="196"/>
      <c r="N4" s="187">
        <f>+'TTE 6 '!C7</f>
        <v>44834</v>
      </c>
      <c r="O4" s="188"/>
      <c r="P4" s="200"/>
      <c r="Q4" s="195">
        <f>+'TTE 6 '!C8</f>
        <v>44835</v>
      </c>
      <c r="R4" s="196"/>
      <c r="S4" s="196"/>
      <c r="T4" s="187">
        <f>+'TTE 6 '!C9</f>
        <v>44836</v>
      </c>
      <c r="U4" s="188"/>
      <c r="V4" s="189"/>
      <c r="W4" s="190" t="s">
        <v>107</v>
      </c>
      <c r="X4" s="191"/>
      <c r="Y4" s="192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85" t="s">
        <v>110</v>
      </c>
      <c r="X6" s="183"/>
      <c r="Y6" s="186"/>
    </row>
    <row r="7" spans="1:25" x14ac:dyDescent="0.25">
      <c r="A7" s="96" t="s">
        <v>111</v>
      </c>
      <c r="B7" s="117"/>
      <c r="C7" s="118"/>
      <c r="D7" s="118">
        <f>+'TTE 7'!D3</f>
        <v>0.3347222222222222</v>
      </c>
      <c r="E7" s="97"/>
      <c r="F7" s="143"/>
      <c r="G7" s="143">
        <f>+'TTE 7'!D4</f>
        <v>0.33680555555555558</v>
      </c>
      <c r="H7" s="117"/>
      <c r="I7" s="174"/>
      <c r="J7" s="174">
        <f>+'TTE 7'!D5</f>
        <v>0.33680555555555558</v>
      </c>
      <c r="K7" s="97"/>
      <c r="L7" s="143"/>
      <c r="M7" s="143">
        <f>+'TTE 7'!D6</f>
        <v>0.34027777777777773</v>
      </c>
      <c r="N7" s="97"/>
      <c r="O7" s="143"/>
      <c r="P7" s="143">
        <f>+'TTE 7'!D7</f>
        <v>0.33680555555555558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0.33708333333333329</v>
      </c>
    </row>
    <row r="8" spans="1:25" x14ac:dyDescent="0.25">
      <c r="A8" s="96" t="s">
        <v>112</v>
      </c>
      <c r="B8" s="117"/>
      <c r="C8" s="118"/>
      <c r="D8" s="118">
        <f>+'TTE 7'!J3</f>
        <v>0.65972222222222221</v>
      </c>
      <c r="E8" s="97"/>
      <c r="F8" s="98"/>
      <c r="G8" s="98">
        <f>+'TTE 7'!J4</f>
        <v>0.65972222222222221</v>
      </c>
      <c r="H8" s="117"/>
      <c r="I8" s="118"/>
      <c r="J8" s="118">
        <f>+'TTE 7'!J5</f>
        <v>0.65972222222222221</v>
      </c>
      <c r="K8" s="97"/>
      <c r="L8" s="98"/>
      <c r="M8" s="98">
        <f>+'TTE 7'!J6</f>
        <v>0.65972222222222299</v>
      </c>
      <c r="N8" s="97"/>
      <c r="O8" s="98"/>
      <c r="P8" s="98">
        <f>+'TTE 7'!J7</f>
        <v>0.65972222222222299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0.65972222222222254</v>
      </c>
    </row>
    <row r="9" spans="1:25" ht="16.5" thickBot="1" x14ac:dyDescent="0.3">
      <c r="A9" s="109" t="s">
        <v>113</v>
      </c>
      <c r="B9" s="127"/>
      <c r="C9" s="119"/>
      <c r="D9" s="119">
        <f>+'TTE 7'!G16</f>
        <v>0.24236111111111108</v>
      </c>
      <c r="E9" s="110"/>
      <c r="F9" s="139"/>
      <c r="G9" s="139">
        <f>+'TTE 7'!G17</f>
        <v>0.24652777777777762</v>
      </c>
      <c r="H9" s="127"/>
      <c r="I9" s="128"/>
      <c r="J9" s="128">
        <f>+'TTE 7'!G18</f>
        <v>0.24027777777777781</v>
      </c>
      <c r="K9" s="110"/>
      <c r="L9" s="139"/>
      <c r="M9" s="139">
        <f>+'TTE 7'!G19</f>
        <v>0.25555555555555626</v>
      </c>
      <c r="N9" s="110"/>
      <c r="O9" s="139"/>
      <c r="P9" s="139">
        <f>+'TTE 7'!G20</f>
        <v>0.24652777777777857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0.24625000000000025</v>
      </c>
    </row>
    <row r="10" spans="1:25" ht="16.5" thickBot="1" x14ac:dyDescent="0.3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85" t="s">
        <v>110</v>
      </c>
      <c r="X10" s="183"/>
      <c r="Y10" s="186"/>
    </row>
    <row r="11" spans="1:25" x14ac:dyDescent="0.25">
      <c r="A11" s="96" t="s">
        <v>111</v>
      </c>
      <c r="B11" s="117"/>
      <c r="C11" s="118">
        <f>+'SUB 6'!D3</f>
        <v>0.68611111111111101</v>
      </c>
      <c r="D11" s="118"/>
      <c r="E11" s="97"/>
      <c r="F11" s="98">
        <f>+'SUB 6'!D4</f>
        <v>0.68958333333333333</v>
      </c>
      <c r="G11" s="98"/>
      <c r="H11" s="117"/>
      <c r="I11" s="118">
        <f>+'SUB 6'!D5</f>
        <v>0.68402777777777779</v>
      </c>
      <c r="J11" s="118"/>
      <c r="K11" s="97"/>
      <c r="L11" s="98">
        <f>+'SUB 6'!D6</f>
        <v>0.68402777777777779</v>
      </c>
      <c r="M11" s="98"/>
      <c r="N11" s="97"/>
      <c r="O11" s="98">
        <f>+'SUB 6'!D7</f>
        <v>0.68541666666666667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0.68583333333333329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0.23819444444444426</v>
      </c>
      <c r="D13" s="118"/>
      <c r="E13" s="110"/>
      <c r="F13" s="98">
        <f>+'SUB 6'!G17</f>
        <v>0.24375000000000002</v>
      </c>
      <c r="G13" s="98"/>
      <c r="H13" s="127"/>
      <c r="I13" s="118">
        <f>+'SUB 6'!G18</f>
        <v>0.24861111111111123</v>
      </c>
      <c r="J13" s="118"/>
      <c r="K13" s="110"/>
      <c r="L13" s="98">
        <f>+'SUB 6'!G19</f>
        <v>0.23958333333333326</v>
      </c>
      <c r="M13" s="98"/>
      <c r="N13" s="110"/>
      <c r="O13" s="98">
        <f>+'SUB 6'!G20</f>
        <v>0.2451388888888888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0.24305555555555552</v>
      </c>
      <c r="Y13" s="153" t="str">
        <f t="shared" si="1"/>
        <v/>
      </c>
    </row>
    <row r="14" spans="1:25" ht="16.5" thickBot="1" x14ac:dyDescent="0.3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85" t="s">
        <v>110</v>
      </c>
      <c r="X14" s="183"/>
      <c r="Y14" s="186"/>
    </row>
    <row r="15" spans="1:25" x14ac:dyDescent="0.25">
      <c r="A15" s="96" t="s">
        <v>111</v>
      </c>
      <c r="B15" s="117"/>
      <c r="C15" s="119">
        <f>+'SUB 5'!D3</f>
        <v>0.3347222222222222</v>
      </c>
      <c r="D15" s="119"/>
      <c r="E15" s="117"/>
      <c r="F15" s="118">
        <f>+'SUB 5'!D4</f>
        <v>0.33680555555555558</v>
      </c>
      <c r="G15" s="118"/>
      <c r="H15" s="117"/>
      <c r="I15" s="118">
        <f>+'SUB 5'!D5</f>
        <v>0.33680555555555558</v>
      </c>
      <c r="J15" s="118"/>
      <c r="K15" s="117"/>
      <c r="L15" s="118">
        <f>+'SUB 5'!D6</f>
        <v>0.34027777777777773</v>
      </c>
      <c r="M15" s="118"/>
      <c r="N15" s="117"/>
      <c r="O15" s="118">
        <f>+'SUB 5'!D7</f>
        <v>0.33680555555555558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0.33708333333333329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0.65972222222222299</v>
      </c>
      <c r="M16" s="118"/>
      <c r="N16" s="117"/>
      <c r="O16" s="118">
        <f>+'SUB 5'!J7</f>
        <v>0.65972222222222299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0.65972222222222254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0.24722222222222218</v>
      </c>
      <c r="D17" s="119"/>
      <c r="E17" s="127"/>
      <c r="F17" s="118">
        <f>+'SUB 5'!G17</f>
        <v>0.2402777777777777</v>
      </c>
      <c r="G17" s="118"/>
      <c r="H17" s="127"/>
      <c r="I17" s="118">
        <f>+'SUB 5'!G18</f>
        <v>0.24374999999999986</v>
      </c>
      <c r="J17" s="118"/>
      <c r="K17" s="127"/>
      <c r="L17" s="118">
        <f>+'SUB 5'!G19</f>
        <v>0.25277777777777849</v>
      </c>
      <c r="M17" s="118"/>
      <c r="N17" s="127"/>
      <c r="O17" s="118">
        <f>+'SUB 5'!G20</f>
        <v>0.24513888888888968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0.24583333333333357</v>
      </c>
      <c r="Y17" s="150" t="str">
        <f t="shared" si="2"/>
        <v/>
      </c>
    </row>
    <row r="18" spans="1:25" ht="16.5" thickBot="1" x14ac:dyDescent="0.3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85" t="s">
        <v>110</v>
      </c>
      <c r="X18" s="183"/>
      <c r="Y18" s="186"/>
    </row>
    <row r="19" spans="1:25" x14ac:dyDescent="0.25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0.33749999999999997</v>
      </c>
      <c r="G19" s="101"/>
      <c r="H19" s="117"/>
      <c r="I19" s="118">
        <f>+'TTE 6 '!D5</f>
        <v>0.33958333333333335</v>
      </c>
      <c r="J19" s="121"/>
      <c r="K19" s="97"/>
      <c r="L19" s="98">
        <f>+'TTE 6 '!D6</f>
        <v>0.33749999999999997</v>
      </c>
      <c r="M19" s="101"/>
      <c r="N19" s="97"/>
      <c r="O19" s="98">
        <f>+'TTE 6 '!D7</f>
        <v>0.33958333333333335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0.33819444444444441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0.65972222222222221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0.24930555555555556</v>
      </c>
      <c r="D21" s="130"/>
      <c r="E21" s="110"/>
      <c r="F21" s="98">
        <f>+'TTE 6 '!G17</f>
        <v>0.24999999999999978</v>
      </c>
      <c r="G21" s="112"/>
      <c r="H21" s="127"/>
      <c r="I21" s="118">
        <f>+'TTE 6 '!G18</f>
        <v>0.24930555555555522</v>
      </c>
      <c r="J21" s="130"/>
      <c r="K21" s="110"/>
      <c r="L21" s="98">
        <f>+'TTE 6 '!G19</f>
        <v>0.24305555555555536</v>
      </c>
      <c r="M21" s="112"/>
      <c r="N21" s="110"/>
      <c r="O21" s="98">
        <f>+'TTE 6 '!G20</f>
        <v>0.24305555555555547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0.24694444444444427</v>
      </c>
      <c r="Y21" s="116" t="str">
        <f t="shared" si="3"/>
        <v/>
      </c>
    </row>
    <row r="22" spans="1:25" ht="16.5" thickBot="1" x14ac:dyDescent="0.3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85" t="s">
        <v>110</v>
      </c>
      <c r="X22" s="183"/>
      <c r="Y22" s="186"/>
    </row>
    <row r="23" spans="1:25" x14ac:dyDescent="0.25">
      <c r="A23" s="96" t="s">
        <v>111</v>
      </c>
      <c r="B23" s="117"/>
      <c r="C23" s="118"/>
      <c r="D23" s="118">
        <f>+DIABLO!D3</f>
        <v>0.67499999999999993</v>
      </c>
      <c r="E23" s="97"/>
      <c r="F23" s="98"/>
      <c r="G23" s="98">
        <f>+DIABLO!D4</f>
        <v>0.67708333333333337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0.67013888888888884</v>
      </c>
      <c r="N23" s="97"/>
      <c r="O23" s="98"/>
      <c r="P23" s="98">
        <f>+DIABLO!D7</f>
        <v>0.67708333333333337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0.67458333333333331</v>
      </c>
    </row>
    <row r="24" spans="1:25" x14ac:dyDescent="0.25">
      <c r="A24" s="96" t="s">
        <v>112</v>
      </c>
      <c r="B24" s="117"/>
      <c r="C24" s="118"/>
      <c r="D24" s="118">
        <f>+DIABLO!J3</f>
        <v>0.98611111111111105</v>
      </c>
      <c r="E24" s="97"/>
      <c r="F24" s="98"/>
      <c r="G24" s="98">
        <f>+DIABLO!D4</f>
        <v>0.67708333333333337</v>
      </c>
      <c r="H24" s="117"/>
      <c r="I24" s="118"/>
      <c r="J24" s="118">
        <f>+DIABLO!J5</f>
        <v>0.98611111111111105</v>
      </c>
      <c r="K24" s="97"/>
      <c r="L24" s="98"/>
      <c r="M24" s="98">
        <f>+DIABLO!J6</f>
        <v>0.98611111111111105</v>
      </c>
      <c r="N24" s="97"/>
      <c r="O24" s="98"/>
      <c r="P24" s="98">
        <f>+DIABLO!J7</f>
        <v>0.98611111111111105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0.92430555555555549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0.24305555555555547</v>
      </c>
      <c r="E25" s="110"/>
      <c r="F25" s="98"/>
      <c r="G25" s="98">
        <f>+DIABLO!G17</f>
        <v>0.25347222222222232</v>
      </c>
      <c r="H25" s="127"/>
      <c r="I25" s="118"/>
      <c r="J25" s="118">
        <f>+DIABLO!G18</f>
        <v>0.24791666666666667</v>
      </c>
      <c r="K25" s="110"/>
      <c r="L25" s="98"/>
      <c r="M25" s="98">
        <f>+DIABLO!G19</f>
        <v>0.24930555555555567</v>
      </c>
      <c r="N25" s="110"/>
      <c r="O25" s="98"/>
      <c r="P25" s="98">
        <f>+DIABLO!G20</f>
        <v>0.25138888888888888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0.24902777777777779</v>
      </c>
    </row>
    <row r="26" spans="1:25" ht="16.5" thickBot="1" x14ac:dyDescent="0.3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85" t="s">
        <v>110</v>
      </c>
      <c r="X26" s="183"/>
      <c r="Y26" s="186"/>
    </row>
    <row r="27" spans="1:25" x14ac:dyDescent="0.25">
      <c r="A27" s="96" t="s">
        <v>111</v>
      </c>
      <c r="B27" s="117"/>
      <c r="C27" s="118">
        <f>+'PIPA N'!D3</f>
        <v>0.33680555555555558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0.40416666666666667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0.22986111111111113</v>
      </c>
      <c r="D29" s="118"/>
      <c r="E29" s="110"/>
      <c r="F29" s="98">
        <f>+'PIPA N'!G17</f>
        <v>0.24791666666666667</v>
      </c>
      <c r="G29" s="98"/>
      <c r="H29" s="127"/>
      <c r="I29" s="118">
        <f>+'PIPA N'!G18</f>
        <v>0.25069444444444439</v>
      </c>
      <c r="J29" s="118"/>
      <c r="K29" s="110"/>
      <c r="L29" s="98">
        <f>+'PIPA N'!G19</f>
        <v>0.25555555555555559</v>
      </c>
      <c r="M29" s="98"/>
      <c r="N29" s="110"/>
      <c r="O29" s="98">
        <f>+'PIPA N'!G20</f>
        <v>0.25138888888888883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0.24708333333333332</v>
      </c>
      <c r="Y29" s="153" t="str">
        <f t="shared" si="6"/>
        <v/>
      </c>
    </row>
    <row r="30" spans="1:25" ht="16.5" thickBot="1" x14ac:dyDescent="0.3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85" t="s">
        <v>110</v>
      </c>
      <c r="X30" s="183"/>
      <c r="Y30" s="186"/>
    </row>
    <row r="31" spans="1:25" x14ac:dyDescent="0.25">
      <c r="A31" s="96" t="s">
        <v>111</v>
      </c>
      <c r="B31" s="117"/>
      <c r="C31" s="118">
        <f>+'CH colon'!D3</f>
        <v>0.30902777777777779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0.3125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0.31138888888888888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0.65277777777777801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0.65277777777777801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0.26944444444444471</v>
      </c>
      <c r="D33" s="118"/>
      <c r="E33" s="110"/>
      <c r="F33" s="98">
        <f>+'CH colon'!G17</f>
        <v>0.26597222222222222</v>
      </c>
      <c r="G33" s="98"/>
      <c r="H33" s="127"/>
      <c r="I33" s="118">
        <f>+'CH colon'!G18</f>
        <v>0.26180555555555585</v>
      </c>
      <c r="J33" s="118"/>
      <c r="K33" s="110"/>
      <c r="L33" s="98">
        <f>+'CH colon'!G19</f>
        <v>0.26527777777777795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0.26277777777777794</v>
      </c>
      <c r="Y33" s="116" t="str">
        <f t="shared" si="7"/>
        <v/>
      </c>
    </row>
    <row r="34" spans="1:25" ht="16.5" thickBot="1" x14ac:dyDescent="0.3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85" t="s">
        <v>110</v>
      </c>
      <c r="X34" s="183"/>
      <c r="Y34" s="186"/>
    </row>
    <row r="35" spans="1:25" x14ac:dyDescent="0.25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0.33819444444444441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0.65972222222222221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0.6597222222222221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0.24652777777777762</v>
      </c>
      <c r="D37" s="130"/>
      <c r="E37" s="110"/>
      <c r="F37" s="98">
        <f>+Salvataje!G17</f>
        <v>0.24444444444444441</v>
      </c>
      <c r="G37" s="112"/>
      <c r="H37" s="127"/>
      <c r="I37" s="118">
        <f>+Salvataje!G18</f>
        <v>0.23888888888888865</v>
      </c>
      <c r="J37" s="130"/>
      <c r="K37" s="110"/>
      <c r="L37" s="98">
        <f>+Salvataje!G19</f>
        <v>0.25624999999999976</v>
      </c>
      <c r="M37" s="112"/>
      <c r="N37" s="110"/>
      <c r="O37" s="98">
        <f>+Salvataje!G20</f>
        <v>0.24722222222222195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0.24666666666666645</v>
      </c>
      <c r="Y37" s="116" t="str">
        <f t="shared" si="8"/>
        <v/>
      </c>
    </row>
    <row r="38" spans="1:25" ht="16.5" thickBot="1" x14ac:dyDescent="0.3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85" t="s">
        <v>110</v>
      </c>
      <c r="X38" s="183"/>
      <c r="Y38" s="186"/>
    </row>
    <row r="39" spans="1:25" x14ac:dyDescent="0.25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0.31805555555555554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0.30902777777777779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0.31291666666666662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0.65972222222222199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0.65972222222222199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0.28472222222222199</v>
      </c>
      <c r="D41" s="130"/>
      <c r="E41" s="110"/>
      <c r="F41" s="139">
        <f>+'LA JUNTA'!G17</f>
        <v>0.28472222222222215</v>
      </c>
      <c r="G41" s="99"/>
      <c r="H41" s="127"/>
      <c r="I41" s="128">
        <f>+'LA JUNTA'!G18</f>
        <v>0.28611111111111087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0.28708333333333319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85" t="s">
        <v>110</v>
      </c>
      <c r="X42" s="183"/>
      <c r="Y42" s="186"/>
    </row>
    <row r="43" spans="1:25" x14ac:dyDescent="0.25">
      <c r="A43" s="96" t="s">
        <v>111</v>
      </c>
      <c r="B43" s="117"/>
      <c r="C43" s="174">
        <f>+AC!D3</f>
        <v>0.31597222222222221</v>
      </c>
      <c r="D43" s="174"/>
      <c r="E43" s="97"/>
      <c r="F43" s="143">
        <f>+AC!D4</f>
        <v>0.3125</v>
      </c>
      <c r="G43" s="143"/>
      <c r="H43" s="117"/>
      <c r="I43" s="174">
        <f>+AC!D5</f>
        <v>0.31111111111111112</v>
      </c>
      <c r="J43" s="174"/>
      <c r="K43" s="97"/>
      <c r="L43" s="143">
        <f>+AC!D6</f>
        <v>0.31597222222222221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0.31430555555555556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0.65277777777777801</v>
      </c>
      <c r="G44" s="98"/>
      <c r="H44" s="117"/>
      <c r="I44" s="118">
        <f>+AC!J5</f>
        <v>0.65277777777777801</v>
      </c>
      <c r="J44" s="118"/>
      <c r="K44" s="97"/>
      <c r="L44" s="98">
        <f>+AC!J6</f>
        <v>0.65277777777777801</v>
      </c>
      <c r="M44" s="98"/>
      <c r="N44" s="97"/>
      <c r="O44" s="98">
        <f>+AC!J7</f>
        <v>0.65277777777777801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0.65277777777777801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0.26597222222222222</v>
      </c>
      <c r="D45" s="128"/>
      <c r="E45" s="110"/>
      <c r="F45" s="139">
        <f>+AC!G17</f>
        <v>0.27083333333333359</v>
      </c>
      <c r="G45" s="139"/>
      <c r="H45" s="127"/>
      <c r="I45" s="128">
        <f>+AC!G18</f>
        <v>0.26388888888888917</v>
      </c>
      <c r="J45" s="128"/>
      <c r="K45" s="110"/>
      <c r="L45" s="139">
        <f>+AC!G19</f>
        <v>0.25347222222222249</v>
      </c>
      <c r="M45" s="139"/>
      <c r="N45" s="110"/>
      <c r="O45" s="139">
        <f>+AC!G20</f>
        <v>0.24791666666666695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0.26041666666666685</v>
      </c>
      <c r="Y45" s="115" t="str">
        <f t="shared" si="10"/>
        <v/>
      </c>
    </row>
    <row r="46" spans="1:25" ht="16.5" thickBot="1" x14ac:dyDescent="0.3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85" t="s">
        <v>110</v>
      </c>
      <c r="X46" s="183"/>
      <c r="Y46" s="186"/>
    </row>
    <row r="47" spans="1:25" x14ac:dyDescent="0.25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25">
      <c r="A48" s="96" t="s">
        <v>112</v>
      </c>
      <c r="B48" s="117"/>
      <c r="C48" s="118"/>
      <c r="D48" s="118">
        <f>+Colec!J3</f>
        <v>0.98611111111111105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0.98611111111111105</v>
      </c>
      <c r="K48" s="117"/>
      <c r="L48" s="118"/>
      <c r="M48" s="118">
        <f>+Colec!J6</f>
        <v>0.98611111111111105</v>
      </c>
      <c r="N48" s="117"/>
      <c r="O48" s="118"/>
      <c r="P48" s="118">
        <f>+Colec!J7</f>
        <v>0.98611111111111105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0.24999999999999989</v>
      </c>
      <c r="E49" s="127"/>
      <c r="F49" s="118"/>
      <c r="G49" s="118">
        <f>+Colec!G17</f>
        <v>0.25902777777777786</v>
      </c>
      <c r="H49" s="127"/>
      <c r="I49" s="118"/>
      <c r="J49" s="118">
        <f>+Colec!G18</f>
        <v>0.25486111111111098</v>
      </c>
      <c r="K49" s="127"/>
      <c r="L49" s="118"/>
      <c r="M49" s="118">
        <f>+Colec!G19</f>
        <v>0.24166666666666659</v>
      </c>
      <c r="N49" s="127"/>
      <c r="O49" s="118"/>
      <c r="P49" s="118">
        <f>+Colec!G20</f>
        <v>0.25624999999999998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0.25236111111111104</v>
      </c>
    </row>
    <row r="50" spans="1:25" ht="16.5" thickBot="1" x14ac:dyDescent="0.3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85" t="s">
        <v>110</v>
      </c>
      <c r="X50" s="183"/>
      <c r="Y50" s="186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0.31336805555555558</v>
      </c>
      <c r="Y51" s="104">
        <f t="shared" si="12"/>
        <v>0.3125</v>
      </c>
    </row>
    <row r="52" spans="1:25" x14ac:dyDescent="0.25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0.6527777777777779</v>
      </c>
      <c r="Y52" s="107">
        <f t="shared" si="12"/>
        <v>0.65277777777777779</v>
      </c>
    </row>
    <row r="53" spans="1:25" ht="16.5" thickBot="1" x14ac:dyDescent="0.3">
      <c r="A53" s="109" t="s">
        <v>113</v>
      </c>
      <c r="B53" s="127"/>
      <c r="C53" s="119">
        <f>+'P M'!G16</f>
        <v>0.24861111111111117</v>
      </c>
      <c r="D53" s="119"/>
      <c r="E53" s="110"/>
      <c r="F53" s="139">
        <f>+'P M'!G17</f>
        <v>0.26458333333333356</v>
      </c>
      <c r="G53" s="139"/>
      <c r="H53" s="127"/>
      <c r="I53" s="128">
        <f>+'P M'!G18</f>
        <v>0.26388888888888917</v>
      </c>
      <c r="J53" s="128"/>
      <c r="K53" s="110"/>
      <c r="L53" s="139">
        <f>+'P M'!G19</f>
        <v>0.25069444444444439</v>
      </c>
      <c r="M53" s="139"/>
      <c r="N53" s="110"/>
      <c r="O53" s="139"/>
      <c r="P53" s="139">
        <f>+'P M'!G20</f>
        <v>0.26041666666666669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0.25694444444444459</v>
      </c>
      <c r="Y53" s="115">
        <f t="shared" si="12"/>
        <v>0.26041666666666669</v>
      </c>
    </row>
    <row r="54" spans="1:25" ht="16.5" thickBot="1" x14ac:dyDescent="0.3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85" t="s">
        <v>110</v>
      </c>
      <c r="X54" s="183"/>
      <c r="Y54" s="186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0.90416666666666667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0.69750000000000001</v>
      </c>
    </row>
    <row r="56" spans="1:25" x14ac:dyDescent="0.25">
      <c r="A56" s="96" t="s">
        <v>112</v>
      </c>
      <c r="B56" s="117"/>
      <c r="C56" s="118"/>
      <c r="D56" s="118">
        <f>+'Vent '!J3</f>
        <v>0.98611111111111105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0.98611111111111105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0.24305555555555547</v>
      </c>
      <c r="E57" s="127"/>
      <c r="F57" s="118"/>
      <c r="G57" s="118">
        <f>+'Vent '!G17</f>
        <v>0.25763888888888897</v>
      </c>
      <c r="H57" s="127"/>
      <c r="I57" s="118"/>
      <c r="J57" s="118">
        <f>+'Vent '!G18</f>
        <v>0.25138888888888888</v>
      </c>
      <c r="K57" s="127"/>
      <c r="L57" s="118"/>
      <c r="M57" s="118">
        <f>+'Vent '!G19</f>
        <v>0.25138888888888888</v>
      </c>
      <c r="N57" s="127"/>
      <c r="O57" s="118"/>
      <c r="P57" s="118">
        <f>+'Vent '!G20</f>
        <v>0.25624999999999998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0.25194444444444447</v>
      </c>
    </row>
    <row r="58" spans="1:25" ht="16.5" thickBot="1" x14ac:dyDescent="0.3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85" t="s">
        <v>110</v>
      </c>
      <c r="X58" s="183"/>
      <c r="Y58" s="184"/>
    </row>
    <row r="59" spans="1:25" x14ac:dyDescent="0.25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0.43958333333333338</v>
      </c>
      <c r="D61" s="130"/>
      <c r="E61" s="110"/>
      <c r="F61" s="139">
        <f>+ACCU!G17</f>
        <v>0.43749999999999994</v>
      </c>
      <c r="G61" s="112"/>
      <c r="H61" s="127"/>
      <c r="I61" s="128">
        <f>+ACCU!G18</f>
        <v>0.44861111111111085</v>
      </c>
      <c r="J61" s="130"/>
      <c r="K61" s="110"/>
      <c r="L61" s="139">
        <f>+ACCU!G19</f>
        <v>0.43402777777777751</v>
      </c>
      <c r="M61" s="112"/>
      <c r="N61" s="110"/>
      <c r="O61" s="139">
        <f>+ACCU!G20</f>
        <v>0.43055555555555519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0.43805555555555536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AF6" sqref="AF6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1">
        <f>'TTE 6 '!C3</f>
        <v>44830</v>
      </c>
      <c r="D7" s="202"/>
      <c r="E7" s="202"/>
      <c r="F7" s="201">
        <f>+'TTE 6 '!C4</f>
        <v>44831</v>
      </c>
      <c r="G7" s="202"/>
      <c r="H7" s="202"/>
      <c r="I7" s="201">
        <f>'TTE 6 '!C5</f>
        <v>44832</v>
      </c>
      <c r="J7" s="202"/>
      <c r="K7" s="202"/>
      <c r="L7" s="201">
        <f>'TTE 6 '!C6</f>
        <v>44833</v>
      </c>
      <c r="M7" s="202"/>
      <c r="N7" s="202"/>
      <c r="O7" s="201">
        <f>+'TTE 6 '!C7</f>
        <v>44834</v>
      </c>
      <c r="P7" s="202"/>
      <c r="Q7" s="202"/>
      <c r="R7" s="201">
        <f>'TTE 6 '!C8</f>
        <v>44835</v>
      </c>
      <c r="S7" s="202"/>
      <c r="T7" s="202"/>
      <c r="U7" s="201">
        <f>'TTE 6 '!C9</f>
        <v>44836</v>
      </c>
      <c r="V7" s="202"/>
      <c r="W7" s="202"/>
      <c r="X7" s="209" t="s">
        <v>107</v>
      </c>
      <c r="Y7" s="210"/>
      <c r="Z7" s="211"/>
      <c r="AA7" s="212" t="s">
        <v>122</v>
      </c>
      <c r="AC7" s="206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3"/>
      <c r="AC8" s="207"/>
    </row>
    <row r="9" spans="2:29" ht="16.5" thickBot="1" x14ac:dyDescent="0.3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8"/>
    </row>
    <row r="10" spans="2:29" ht="27.75" thickBot="1" x14ac:dyDescent="0.3">
      <c r="B10" s="159" t="s">
        <v>126</v>
      </c>
      <c r="C10" s="167"/>
      <c r="D10" s="168"/>
      <c r="E10" s="169"/>
      <c r="F10" s="167"/>
      <c r="G10" s="168"/>
      <c r="H10" s="169">
        <v>2</v>
      </c>
      <c r="I10" s="167"/>
      <c r="J10" s="168"/>
      <c r="K10" s="169">
        <v>4</v>
      </c>
      <c r="L10" s="167"/>
      <c r="M10" s="168"/>
      <c r="N10" s="169">
        <v>0</v>
      </c>
      <c r="O10" s="167"/>
      <c r="P10" s="168"/>
      <c r="Q10" s="169">
        <v>6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12</v>
      </c>
      <c r="AA10" s="173">
        <f>X10+Y10+Z10</f>
        <v>12</v>
      </c>
      <c r="AB10">
        <f>AA10/AC10</f>
        <v>0.8</v>
      </c>
      <c r="AC10" s="175">
        <v>15</v>
      </c>
    </row>
    <row r="11" spans="2:29" ht="27.75" thickBot="1" x14ac:dyDescent="0.3">
      <c r="B11" s="160" t="s">
        <v>127</v>
      </c>
      <c r="C11" s="164"/>
      <c r="D11" s="165">
        <v>1</v>
      </c>
      <c r="E11" s="166"/>
      <c r="F11" s="164"/>
      <c r="G11" s="165">
        <v>3</v>
      </c>
      <c r="H11" s="166"/>
      <c r="I11" s="164"/>
      <c r="J11" s="165">
        <v>4</v>
      </c>
      <c r="K11" s="166"/>
      <c r="L11" s="164"/>
      <c r="M11" s="165">
        <v>3</v>
      </c>
      <c r="N11" s="166"/>
      <c r="O11" s="164"/>
      <c r="P11" s="165">
        <v>4</v>
      </c>
      <c r="Q11" s="166"/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15</v>
      </c>
      <c r="Z11" s="155">
        <f>E11+H11+K11+N11+Q11+T11+W11</f>
        <v>0</v>
      </c>
      <c r="AA11" s="172">
        <f>X11+Y11+Z11</f>
        <v>15</v>
      </c>
      <c r="AB11">
        <f>AA11/AC11</f>
        <v>1</v>
      </c>
      <c r="AC11" s="176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E13" sqref="E13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44830</v>
      </c>
      <c r="D3" s="37">
        <v>0.3347222222222222</v>
      </c>
      <c r="E3" s="37">
        <v>0.37152777777777773</v>
      </c>
      <c r="F3" s="37">
        <v>0.38263888888888892</v>
      </c>
      <c r="G3" s="46">
        <v>0.51527777777777783</v>
      </c>
      <c r="H3" s="46">
        <v>0.52083333333333337</v>
      </c>
      <c r="I3" s="46">
        <v>0.54513888888888895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44830</v>
      </c>
      <c r="P3" s="7">
        <f>D3</f>
        <v>0.3347222222222222</v>
      </c>
      <c r="Q3" s="7">
        <f>E3-D3</f>
        <v>3.6805555555555536E-2</v>
      </c>
      <c r="R3" s="7">
        <f>F3-E3</f>
        <v>1.1111111111111183E-2</v>
      </c>
      <c r="S3" s="7">
        <f>G3-F3</f>
        <v>0.13263888888888892</v>
      </c>
      <c r="T3" s="7">
        <f>+Tabla513[[#This Row],[ALMUERZO]]-Tabla513[[#This Row],[TERMINO ACT. AM]]</f>
        <v>5.5555555555555358E-3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0.11458333333333326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44831</v>
      </c>
      <c r="D4" s="37">
        <v>0.33680555555555558</v>
      </c>
      <c r="E4" s="37">
        <v>0.375</v>
      </c>
      <c r="F4" s="37">
        <v>0.38472222222222219</v>
      </c>
      <c r="G4" s="46">
        <v>0.61111111111111105</v>
      </c>
      <c r="H4" s="46">
        <v>0.62152777777777779</v>
      </c>
      <c r="I4" s="46">
        <v>0.64583333333333337</v>
      </c>
      <c r="J4" s="46">
        <v>0.65972222222222221</v>
      </c>
      <c r="K4" s="47" t="s">
        <v>90</v>
      </c>
      <c r="M4" s="5"/>
      <c r="N4" s="5" t="s">
        <v>16</v>
      </c>
      <c r="O4" s="4">
        <f>Tabla513[[#This Row],[FECHA]]</f>
        <v>44831</v>
      </c>
      <c r="P4" s="7">
        <f>D4</f>
        <v>0.33680555555555558</v>
      </c>
      <c r="Q4" s="7">
        <f t="shared" ref="Q4:S7" si="0">E4-D4</f>
        <v>3.819444444444442E-2</v>
      </c>
      <c r="R4" s="7">
        <f t="shared" si="0"/>
        <v>9.7222222222221877E-3</v>
      </c>
      <c r="S4" s="7">
        <f t="shared" si="0"/>
        <v>0.22638888888888886</v>
      </c>
      <c r="T4" s="7">
        <f>+Tabla513[[#This Row],[ALMUERZO]]-Tabla513[[#This Row],[TERMINO ACT. AM]]</f>
        <v>1.0416666666666741E-2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44832</v>
      </c>
      <c r="D5" s="37">
        <v>0.33680555555555558</v>
      </c>
      <c r="E5" s="37">
        <v>0.37152777777777773</v>
      </c>
      <c r="F5" s="37">
        <v>0.38819444444444445</v>
      </c>
      <c r="G5" s="46">
        <v>0.51736111111111105</v>
      </c>
      <c r="H5" s="46">
        <v>0.52083333333333337</v>
      </c>
      <c r="I5" s="46">
        <v>0.54513888888888895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44832</v>
      </c>
      <c r="P5" s="7">
        <f>D5</f>
        <v>0.33680555555555558</v>
      </c>
      <c r="Q5" s="7">
        <f t="shared" si="0"/>
        <v>3.4722222222222154E-2</v>
      </c>
      <c r="R5" s="7">
        <f t="shared" si="0"/>
        <v>1.6666666666666718E-2</v>
      </c>
      <c r="S5" s="7">
        <f t="shared" si="0"/>
        <v>0.1291666666666666</v>
      </c>
      <c r="T5" s="7">
        <f>+Tabla513[[#This Row],[ALMUERZO]]-Tabla513[[#This Row],[TERMINO ACT. AM]]</f>
        <v>3.4722222222223209E-3</v>
      </c>
      <c r="U5" s="7">
        <f>+Tabla513[[#This Row],[INICIO ACTIVIDADES PM]]-Tabla513[[#This Row],[ALMUERZO]]</f>
        <v>2.430555555555558E-2</v>
      </c>
      <c r="V5" s="7">
        <f>+Tabla513[[#This Row],[TERMINO ACTIVIDADES PM]]-Tabla513[[#This Row],[INICIO ACTIVIDADES PM]]</f>
        <v>0.11458333333333326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44833</v>
      </c>
      <c r="D6" s="37">
        <v>0.34027777777777773</v>
      </c>
      <c r="E6" s="37">
        <v>0.36805555555555558</v>
      </c>
      <c r="F6" s="37">
        <v>0.38125000000000003</v>
      </c>
      <c r="G6" s="46">
        <v>0.58333333333333337</v>
      </c>
      <c r="H6" s="37">
        <v>0.59166666666666667</v>
      </c>
      <c r="I6" s="46">
        <v>0.60902777777777783</v>
      </c>
      <c r="J6" s="46">
        <v>0.65972222222222299</v>
      </c>
      <c r="K6" s="47" t="s">
        <v>90</v>
      </c>
      <c r="M6" s="5"/>
      <c r="N6" s="5" t="s">
        <v>17</v>
      </c>
      <c r="O6" s="4">
        <f>Tabla513[[#This Row],[FECHA]]</f>
        <v>44833</v>
      </c>
      <c r="P6" s="7">
        <f>D6</f>
        <v>0.34027777777777773</v>
      </c>
      <c r="Q6" s="7">
        <f t="shared" si="0"/>
        <v>2.7777777777777846E-2</v>
      </c>
      <c r="R6" s="7">
        <f t="shared" si="0"/>
        <v>1.3194444444444453E-2</v>
      </c>
      <c r="S6" s="7">
        <f t="shared" si="0"/>
        <v>0.20208333333333334</v>
      </c>
      <c r="T6" s="7">
        <f>+Tabla513[[#This Row],[ALMUERZO]]-Tabla513[[#This Row],[TERMINO ACT. AM]]</f>
        <v>8.3333333333333037E-3</v>
      </c>
      <c r="U6" s="7">
        <f>+Tabla513[[#This Row],[INICIO ACTIVIDADES PM]]-Tabla513[[#This Row],[ALMUERZO]]</f>
        <v>1.736111111111116E-2</v>
      </c>
      <c r="V6" s="7">
        <f>+Tabla513[[#This Row],[TERMINO ACTIVIDADES PM]]-Tabla513[[#This Row],[INICIO ACTIVIDADES PM]]</f>
        <v>5.0694444444445153E-2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44834</v>
      </c>
      <c r="D7" s="37">
        <v>0.33680555555555558</v>
      </c>
      <c r="E7" s="37">
        <v>0.36458333333333331</v>
      </c>
      <c r="F7" s="37">
        <v>0.3833333333333333</v>
      </c>
      <c r="G7" s="46">
        <v>0.51041666666666663</v>
      </c>
      <c r="H7" s="46">
        <v>0.52083333333333337</v>
      </c>
      <c r="I7" s="46">
        <v>0.54166666666666663</v>
      </c>
      <c r="J7" s="46">
        <v>0.65972222222222299</v>
      </c>
      <c r="K7" s="47" t="s">
        <v>90</v>
      </c>
      <c r="M7" s="5"/>
      <c r="N7" s="5" t="s">
        <v>18</v>
      </c>
      <c r="O7" s="4">
        <f>Tabla513[[#This Row],[FECHA]]</f>
        <v>44834</v>
      </c>
      <c r="P7" s="7">
        <f>D7</f>
        <v>0.33680555555555558</v>
      </c>
      <c r="Q7" s="7">
        <f t="shared" si="0"/>
        <v>2.7777777777777735E-2</v>
      </c>
      <c r="R7" s="7">
        <f t="shared" si="0"/>
        <v>1.8749999999999989E-2</v>
      </c>
      <c r="S7" s="7">
        <f t="shared" si="0"/>
        <v>0.12708333333333333</v>
      </c>
      <c r="T7" s="7">
        <f>+Tabla513[[#This Row],[ALMUERZO]]-Tabla513[[#This Row],[TERMINO ACT. AM]]</f>
        <v>1.0416666666666741E-2</v>
      </c>
      <c r="U7" s="7">
        <f>+Tabla513[[#This Row],[INICIO ACTIVIDADES PM]]-Tabla513[[#This Row],[ALMUERZO]]</f>
        <v>2.0833333333333259E-2</v>
      </c>
      <c r="V7" s="7">
        <f>+Tabla513[[#This Row],[TERMINO ACTIVIDADES PM]]-Tabla513[[#This Row],[INICIO ACTIVIDADES PM]]</f>
        <v>0.11805555555555636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7"/>
      <c r="E8" s="37"/>
      <c r="F8" s="37"/>
      <c r="G8" s="37"/>
      <c r="H8" s="37"/>
      <c r="I8" s="37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46"/>
      <c r="H12" s="37"/>
      <c r="I12" s="37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0.24722222222222218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0.2402777777777777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0.24374999999999986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0.25277777777777849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0.24513888888888968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0.24583333333333357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0.98333333333333428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C22" sqref="C22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44830</v>
      </c>
      <c r="D3" s="37">
        <v>0.68611111111111101</v>
      </c>
      <c r="E3" s="37">
        <v>0.71875</v>
      </c>
      <c r="F3" s="37">
        <v>0.72569444444444453</v>
      </c>
      <c r="G3" s="37">
        <v>0.94305555555555554</v>
      </c>
      <c r="H3" s="37">
        <v>0.95000000000000007</v>
      </c>
      <c r="I3" s="37">
        <v>0.97222222222222221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44830</v>
      </c>
      <c r="P3" s="7">
        <f>D3</f>
        <v>0.68611111111111101</v>
      </c>
      <c r="Q3" s="7">
        <f>E3-D3</f>
        <v>3.2638888888888995E-2</v>
      </c>
      <c r="R3" s="7">
        <f>F3-E3</f>
        <v>6.9444444444445308E-3</v>
      </c>
      <c r="S3" s="7">
        <f>G3-F3</f>
        <v>0.21736111111111101</v>
      </c>
      <c r="T3" s="7">
        <f>+Tabla51334[[#This Row],[ALMUERZO]]-Tabla51334[[#This Row],[TERMINO ACT. AM]]</f>
        <v>6.9444444444445308E-3</v>
      </c>
      <c r="U3" s="7">
        <f>+Tabla51334[[#This Row],[INICIO ACTIVIDADES PM]]-Tabla51334[[#This Row],[ALMUERZO]]</f>
        <v>2.2222222222222143E-2</v>
      </c>
      <c r="V3" s="7">
        <f>+Tabla51334[[#This Row],[TERMINO ACTIVIDADES PM]]-Tabla51334[[#This Row],[INICIO ACTIVIDADES PM]]</f>
        <v>2.0833333333333259E-2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44831</v>
      </c>
      <c r="D4" s="37">
        <v>0.68958333333333333</v>
      </c>
      <c r="E4" s="37">
        <v>0.7104166666666667</v>
      </c>
      <c r="F4" s="37">
        <v>0.71875</v>
      </c>
      <c r="G4" s="37">
        <v>0.94166666666666676</v>
      </c>
      <c r="H4" s="37">
        <v>0.94791666666666663</v>
      </c>
      <c r="I4" s="37">
        <v>0.97222222222222221</v>
      </c>
      <c r="J4" s="46">
        <v>0.99305555555555547</v>
      </c>
      <c r="K4" s="47"/>
      <c r="M4" s="5"/>
      <c r="N4" s="5" t="s">
        <v>16</v>
      </c>
      <c r="O4" s="4">
        <f>Tabla51334[[#This Row],[FECHA]]</f>
        <v>44831</v>
      </c>
      <c r="P4" s="7">
        <f>D4</f>
        <v>0.68958333333333333</v>
      </c>
      <c r="Q4" s="7">
        <f t="shared" ref="Q4:S7" si="0">E4-D4</f>
        <v>2.083333333333337E-2</v>
      </c>
      <c r="R4" s="7">
        <f t="shared" si="0"/>
        <v>8.3333333333333037E-3</v>
      </c>
      <c r="S4" s="7">
        <f t="shared" si="0"/>
        <v>0.22291666666666676</v>
      </c>
      <c r="T4" s="7">
        <f>+Tabla51334[[#This Row],[ALMUERZO]]-Tabla51334[[#This Row],[TERMINO ACT. AM]]</f>
        <v>6.2499999999998668E-3</v>
      </c>
      <c r="U4" s="7">
        <f>+Tabla51334[[#This Row],[INICIO ACTIVIDADES PM]]-Tabla51334[[#This Row],[ALMUERZO]]</f>
        <v>2.430555555555558E-2</v>
      </c>
      <c r="V4" s="7">
        <f>+Tabla51334[[#This Row],[TERMINO ACTIVIDADES PM]]-Tabla51334[[#This Row],[INICIO ACTIVIDADES PM]]</f>
        <v>2.0833333333333259E-2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44832</v>
      </c>
      <c r="D5" s="37">
        <v>0.68402777777777779</v>
      </c>
      <c r="E5" s="37">
        <v>0.70138888888888884</v>
      </c>
      <c r="F5" s="37">
        <v>0.71458333333333324</v>
      </c>
      <c r="G5" s="37">
        <v>0.94930555555555562</v>
      </c>
      <c r="H5" s="37">
        <v>0.95486111111111116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44832</v>
      </c>
      <c r="P5" s="7">
        <f>D5</f>
        <v>0.68402777777777779</v>
      </c>
      <c r="Q5" s="7">
        <f t="shared" si="0"/>
        <v>1.7361111111111049E-2</v>
      </c>
      <c r="R5" s="7">
        <f t="shared" si="0"/>
        <v>1.3194444444444398E-2</v>
      </c>
      <c r="S5" s="7">
        <f t="shared" si="0"/>
        <v>0.23472222222222239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2.4305555555555469E-2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44833</v>
      </c>
      <c r="D6" s="37">
        <v>0.68402777777777779</v>
      </c>
      <c r="E6" s="37">
        <v>0.71527777777777779</v>
      </c>
      <c r="F6" s="37">
        <v>0.72291666666666676</v>
      </c>
      <c r="G6" s="37">
        <v>0.94166666666666676</v>
      </c>
      <c r="H6" s="37">
        <v>0.94791666666666663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44833</v>
      </c>
      <c r="P6" s="7">
        <f>D6</f>
        <v>0.68402777777777779</v>
      </c>
      <c r="Q6" s="7">
        <f t="shared" si="0"/>
        <v>3.125E-2</v>
      </c>
      <c r="R6" s="7">
        <f t="shared" si="0"/>
        <v>7.6388888888889728E-3</v>
      </c>
      <c r="S6" s="7">
        <f t="shared" si="0"/>
        <v>0.21875</v>
      </c>
      <c r="T6" s="7">
        <f>+Tabla51334[[#This Row],[ALMUERZO]]-Tabla51334[[#This Row],[TERMINO ACT. AM]]</f>
        <v>6.2499999999998668E-3</v>
      </c>
      <c r="U6" s="7">
        <f>+Tabla51334[[#This Row],[INICIO ACTIVIDADES PM]]-Tabla51334[[#This Row],[ALMUERZO]]</f>
        <v>2.430555555555558E-2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44834</v>
      </c>
      <c r="D7" s="37">
        <v>0.68541666666666667</v>
      </c>
      <c r="E7" s="37">
        <v>0.70138888888888884</v>
      </c>
      <c r="F7" s="37">
        <v>0.71666666666666667</v>
      </c>
      <c r="G7" s="46">
        <v>0.94791666666666663</v>
      </c>
      <c r="H7" s="37">
        <v>0.95486111111111116</v>
      </c>
      <c r="I7" s="37">
        <v>0.97916666666666663</v>
      </c>
      <c r="J7" s="46">
        <v>0.99305555555555547</v>
      </c>
      <c r="K7" s="47"/>
      <c r="M7" s="5"/>
      <c r="N7" s="5" t="s">
        <v>18</v>
      </c>
      <c r="O7" s="4">
        <f>Tabla51334[[#This Row],[FECHA]]</f>
        <v>44834</v>
      </c>
      <c r="P7" s="7">
        <f>D7</f>
        <v>0.68541666666666667</v>
      </c>
      <c r="Q7" s="7">
        <f t="shared" si="0"/>
        <v>1.5972222222222165E-2</v>
      </c>
      <c r="R7" s="7">
        <f t="shared" si="0"/>
        <v>1.5277777777777835E-2</v>
      </c>
      <c r="S7" s="7">
        <f t="shared" si="0"/>
        <v>0.23124999999999996</v>
      </c>
      <c r="T7" s="7">
        <f>+Tabla51334[[#This Row],[ALMUERZO]]-Tabla51334[[#This Row],[TERMINO ACT. AM]]</f>
        <v>6.9444444444445308E-3</v>
      </c>
      <c r="U7" s="7">
        <f>+Tabla51334[[#This Row],[INICIO ACTIVIDADES PM]]-Tabla51334[[#This Row],[ALMUERZO]]</f>
        <v>2.4305555555555469E-2</v>
      </c>
      <c r="V7" s="7">
        <f>+Tabla51334[[#This Row],[TERMINO ACTIVIDADES PM]]-Tabla51334[[#This Row],[INICIO ACTIVIDADES PM]]</f>
        <v>1.388888888888884E-2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0.23819444444444426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0.24861111111111123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0.23958333333333326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0.24305555555555552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0.9722222222222221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D13" sqref="D13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44830</v>
      </c>
      <c r="D3" s="37">
        <v>0.33680555555555558</v>
      </c>
      <c r="E3" s="37">
        <v>0.37152777777777773</v>
      </c>
      <c r="F3" s="37">
        <v>0.38819444444444445</v>
      </c>
      <c r="G3" s="37">
        <v>0.58333333333333337</v>
      </c>
      <c r="H3" s="37">
        <v>0.60069444444444442</v>
      </c>
      <c r="I3" s="37">
        <v>0.625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44830</v>
      </c>
      <c r="P3" s="7">
        <f>D3</f>
        <v>0.33680555555555558</v>
      </c>
      <c r="Q3" s="7">
        <f>E3-D3</f>
        <v>3.4722222222222154E-2</v>
      </c>
      <c r="R3" s="7">
        <f>F3-E3</f>
        <v>1.6666666666666718E-2</v>
      </c>
      <c r="S3" s="7">
        <f>G3-F3</f>
        <v>0.19513888888888892</v>
      </c>
      <c r="T3" s="7">
        <f>+Tabla536[[#This Row],[ALMUERZO]]-Tabla536[[#This Row],[TERMINO ACT. AM]]</f>
        <v>1.7361111111111049E-2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3.472222222222221E-2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44831</v>
      </c>
      <c r="D4" s="37">
        <v>0.34027777777777773</v>
      </c>
      <c r="E4" s="37">
        <v>0.37152777777777773</v>
      </c>
      <c r="F4" s="37">
        <v>0.37777777777777777</v>
      </c>
      <c r="G4" s="37">
        <v>0.60625000000000007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44831</v>
      </c>
      <c r="P4" s="7">
        <f>D4</f>
        <v>0.34027777777777773</v>
      </c>
      <c r="Q4" s="7">
        <f t="shared" ref="Q4:S7" si="0">E4-D4</f>
        <v>3.125E-2</v>
      </c>
      <c r="R4" s="7">
        <f t="shared" si="0"/>
        <v>6.2500000000000333E-3</v>
      </c>
      <c r="S4" s="7">
        <f t="shared" si="0"/>
        <v>0.2284722222222223</v>
      </c>
      <c r="T4" s="7">
        <f>+Tabla536[[#This Row],[ALMUERZO]]-Tabla536[[#This Row],[TERMINO ACT. AM]]</f>
        <v>1.1805555555555514E-2</v>
      </c>
      <c r="U4" s="7">
        <f>+Tabla536[[#This Row],[INICIO ACTIVIDADES PM]]-Tabla536[[#This Row],[ALMUERZO]]</f>
        <v>2.2222222222222254E-2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44832</v>
      </c>
      <c r="D5" s="37">
        <v>0.33680555555555558</v>
      </c>
      <c r="E5" s="37">
        <v>0.36458333333333331</v>
      </c>
      <c r="F5" s="37">
        <v>0.37986111111111115</v>
      </c>
      <c r="G5" s="37">
        <v>0.61527777777777781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Tabla536[[#This Row],[FECHA]]</f>
        <v>44832</v>
      </c>
      <c r="P5" s="7">
        <f>D5</f>
        <v>0.33680555555555558</v>
      </c>
      <c r="Q5" s="7">
        <f t="shared" si="0"/>
        <v>2.7777777777777735E-2</v>
      </c>
      <c r="R5" s="7">
        <f t="shared" si="0"/>
        <v>1.5277777777777835E-2</v>
      </c>
      <c r="S5" s="7">
        <f t="shared" si="0"/>
        <v>0.23541666666666666</v>
      </c>
      <c r="T5" s="7">
        <f>+Tabla536[[#This Row],[ALMUERZO]]-Tabla536[[#This Row],[TERMINO ACT. AM]]</f>
        <v>6.2499999999999778E-3</v>
      </c>
      <c r="U5" s="7">
        <f>+Tabla536[[#This Row],[INICIO ACTIVIDADES PM]]-Tabla536[[#This Row],[ALMUERZO]]</f>
        <v>2.2916666666666696E-2</v>
      </c>
      <c r="V5" s="7">
        <f>+Tabla536[[#This Row],[TERMINO ACTIVIDADES PM]]-Tabla536[[#This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44833</v>
      </c>
      <c r="D6" s="37">
        <v>0.34375</v>
      </c>
      <c r="E6" s="37">
        <v>0.36458333333333331</v>
      </c>
      <c r="F6" s="37">
        <v>0.3743055555555555</v>
      </c>
      <c r="G6" s="37">
        <v>0.60902777777777783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44833</v>
      </c>
      <c r="P6" s="7">
        <f>D6</f>
        <v>0.34375</v>
      </c>
      <c r="Q6" s="7">
        <f t="shared" si="0"/>
        <v>2.0833333333333315E-2</v>
      </c>
      <c r="R6" s="7">
        <f t="shared" si="0"/>
        <v>9.7222222222221877E-3</v>
      </c>
      <c r="S6" s="7">
        <f t="shared" si="0"/>
        <v>0.23472222222222233</v>
      </c>
      <c r="T6" s="7">
        <f>+Tabla536[[#This Row],[ALMUERZO]]-Tabla536[[#This Row],[TERMINO ACT. AM]]</f>
        <v>5.5555555555555358E-3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44834</v>
      </c>
      <c r="D7" s="37">
        <v>0.34375</v>
      </c>
      <c r="E7" s="37">
        <v>0.36805555555555558</v>
      </c>
      <c r="F7" s="37">
        <v>0.37847222222222227</v>
      </c>
      <c r="G7" s="37">
        <v>0.60555555555555551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44834</v>
      </c>
      <c r="P7" s="7">
        <f>D7</f>
        <v>0.34375</v>
      </c>
      <c r="Q7" s="7">
        <f t="shared" si="0"/>
        <v>2.430555555555558E-2</v>
      </c>
      <c r="R7" s="7">
        <f t="shared" si="0"/>
        <v>1.0416666666666685E-2</v>
      </c>
      <c r="S7" s="7">
        <f t="shared" si="0"/>
        <v>0.22708333333333325</v>
      </c>
      <c r="T7" s="7">
        <f>+Tabla536[[#This Row],[ALMUERZO]]-Tabla536[[#This Row],[TERMINO ACT. AM]]</f>
        <v>5.5555555555555358E-3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0.22986111111111113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0.24791666666666667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0.25069444444444439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0.25555555555555559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0.25138888888888883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0.24708333333333332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0.98833333333333329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103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F9" sqref="F9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44830</v>
      </c>
      <c r="D3" s="37">
        <v>0.67499999999999993</v>
      </c>
      <c r="E3" s="37">
        <v>0.69097222222222221</v>
      </c>
      <c r="F3" s="37">
        <v>0.70833333333333337</v>
      </c>
      <c r="G3" s="37">
        <v>0.91666666666666663</v>
      </c>
      <c r="H3" s="37">
        <v>0.92708333333333337</v>
      </c>
      <c r="I3" s="37">
        <v>0.95138888888888884</v>
      </c>
      <c r="J3" s="46">
        <v>0.98611111111111105</v>
      </c>
      <c r="K3" s="47"/>
      <c r="L3" s="53"/>
      <c r="M3" s="53"/>
      <c r="N3" s="57" t="s">
        <v>15</v>
      </c>
      <c r="O3" s="4">
        <f>Tabla537[[#This Row],[FECHA]]</f>
        <v>44830</v>
      </c>
      <c r="P3" s="7">
        <f>D3</f>
        <v>0.67499999999999993</v>
      </c>
      <c r="Q3" s="7">
        <f>E3-D3</f>
        <v>1.5972222222222276E-2</v>
      </c>
      <c r="R3" s="7">
        <f>F3-E3</f>
        <v>1.736111111111116E-2</v>
      </c>
      <c r="S3" s="7">
        <f>G3-F3</f>
        <v>0.20833333333333326</v>
      </c>
      <c r="T3" s="7">
        <f>+Tabla537[[#This Row],[ALMUERZO]]-Tabla537[[#This Row],[TERMINO ACT. AM]]</f>
        <v>1.0416666666666741E-2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3.472222222222221E-2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44831</v>
      </c>
      <c r="D4" s="37">
        <v>0.67708333333333337</v>
      </c>
      <c r="E4" s="37">
        <v>0.68055555555555547</v>
      </c>
      <c r="F4" s="37">
        <v>0.69652777777777775</v>
      </c>
      <c r="G4" s="37">
        <v>0.91319444444444453</v>
      </c>
      <c r="H4" s="37">
        <v>0.92222222222222217</v>
      </c>
      <c r="I4" s="37">
        <v>0.94930555555555562</v>
      </c>
      <c r="J4" s="46">
        <v>0.98611111111111116</v>
      </c>
      <c r="K4" s="47"/>
      <c r="M4" s="5"/>
      <c r="N4" s="5" t="s">
        <v>16</v>
      </c>
      <c r="O4" s="4">
        <f>Tabla537[[#This Row],[FECHA]]</f>
        <v>44831</v>
      </c>
      <c r="P4" s="7">
        <f>D4</f>
        <v>0.67708333333333337</v>
      </c>
      <c r="Q4" s="7">
        <f t="shared" ref="Q4:S7" si="0">E4-D4</f>
        <v>3.4722222222220989E-3</v>
      </c>
      <c r="R4" s="7">
        <f t="shared" si="0"/>
        <v>1.5972222222222276E-2</v>
      </c>
      <c r="S4" s="7">
        <f t="shared" si="0"/>
        <v>0.21666666666666679</v>
      </c>
      <c r="T4" s="7">
        <f>+Tabla537[[#This Row],[ALMUERZO]]-Tabla537[[#This Row],[TERMINO ACT. AM]]</f>
        <v>9.0277777777776347E-3</v>
      </c>
      <c r="U4" s="7">
        <f>+Tabla537[[#This Row],[INICIO ACTIVIDADES PM]]-Tabla537[[#This Row],[ALMUERZO]]</f>
        <v>2.7083333333333459E-2</v>
      </c>
      <c r="V4" s="7">
        <f>+Tabla537[[#This Row],[TERMINO ACTIVIDADES PM]]-Tabla537[[#This Row],[INICIO ACTIVIDADES PM]]</f>
        <v>3.6805555555555536E-2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44832</v>
      </c>
      <c r="D5" s="37">
        <v>0.67361111111111116</v>
      </c>
      <c r="E5" s="37">
        <v>0.68958333333333333</v>
      </c>
      <c r="F5" s="37">
        <v>0.70138888888888884</v>
      </c>
      <c r="G5" s="37">
        <v>0.90416666666666667</v>
      </c>
      <c r="H5" s="37">
        <v>0.90972222222222221</v>
      </c>
      <c r="I5" s="37">
        <v>0.94097222222222221</v>
      </c>
      <c r="J5" s="46">
        <v>0.98611111111111105</v>
      </c>
      <c r="K5" s="47"/>
      <c r="M5" s="5"/>
      <c r="N5" s="5" t="s">
        <v>16</v>
      </c>
      <c r="O5" s="4">
        <f>Tabla537[[#This Row],[FECHA]]</f>
        <v>44832</v>
      </c>
      <c r="P5" s="7">
        <f>D5</f>
        <v>0.67361111111111116</v>
      </c>
      <c r="Q5" s="7">
        <f t="shared" si="0"/>
        <v>1.5972222222222165E-2</v>
      </c>
      <c r="R5" s="7">
        <f t="shared" si="0"/>
        <v>1.1805555555555514E-2</v>
      </c>
      <c r="S5" s="7">
        <f t="shared" si="0"/>
        <v>0.20277777777777783</v>
      </c>
      <c r="T5" s="7">
        <f>+Tabla537[[#This Row],[ALMUERZO]]-Tabla537[[#This Row],[TERMINO ACT. AM]]</f>
        <v>5.5555555555555358E-3</v>
      </c>
      <c r="U5" s="7">
        <f>+Tabla537[[#This Row],[INICIO ACTIVIDADES PM]]-Tabla537[[#This Row],[ALMUERZO]]</f>
        <v>3.125E-2</v>
      </c>
      <c r="V5" s="7">
        <f>+Tabla537[[#This Row],[TERMINO ACTIVIDADES PM]]-Tabla537[[#This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44833</v>
      </c>
      <c r="D6" s="37">
        <v>0.67013888888888884</v>
      </c>
      <c r="E6" s="37">
        <v>0.6875</v>
      </c>
      <c r="F6" s="37">
        <v>0.70694444444444438</v>
      </c>
      <c r="G6" s="37">
        <v>0.92708333333333337</v>
      </c>
      <c r="H6" s="37">
        <v>0.93402777777777779</v>
      </c>
      <c r="I6" s="37">
        <v>0.95694444444444438</v>
      </c>
      <c r="J6" s="46">
        <v>0.98611111111111105</v>
      </c>
      <c r="K6" s="47"/>
      <c r="M6" s="5"/>
      <c r="N6" s="5" t="s">
        <v>17</v>
      </c>
      <c r="O6" s="4">
        <f>Tabla537[[#This Row],[FECHA]]</f>
        <v>44833</v>
      </c>
      <c r="P6" s="7">
        <f>D6</f>
        <v>0.67013888888888884</v>
      </c>
      <c r="Q6" s="7">
        <f t="shared" si="0"/>
        <v>1.736111111111116E-2</v>
      </c>
      <c r="R6" s="7">
        <f t="shared" si="0"/>
        <v>1.9444444444444375E-2</v>
      </c>
      <c r="S6" s="7">
        <f t="shared" si="0"/>
        <v>0.22013888888888899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2.2916666666666585E-2</v>
      </c>
      <c r="V6" s="7">
        <f>+Tabla537[[#This Row],[TERMINO ACTIVIDADES PM]]-Tabla537[[#This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44834</v>
      </c>
      <c r="D7" s="37">
        <v>0.67708333333333337</v>
      </c>
      <c r="E7" s="37">
        <v>0.68055555555555547</v>
      </c>
      <c r="F7" s="37">
        <v>0.69791666666666663</v>
      </c>
      <c r="G7" s="37">
        <v>0.91111111111111109</v>
      </c>
      <c r="H7" s="37">
        <v>0.92013888888888884</v>
      </c>
      <c r="I7" s="37">
        <v>0.94791666666666663</v>
      </c>
      <c r="J7" s="46">
        <v>0.98611111111111105</v>
      </c>
      <c r="K7" s="47"/>
      <c r="M7" s="5"/>
      <c r="N7" s="5" t="s">
        <v>18</v>
      </c>
      <c r="O7" s="4">
        <f>Tabla537[[#This Row],[FECHA]]</f>
        <v>44834</v>
      </c>
      <c r="P7" s="7">
        <f>D7</f>
        <v>0.67708333333333337</v>
      </c>
      <c r="Q7" s="7">
        <f t="shared" si="0"/>
        <v>3.4722222222220989E-3</v>
      </c>
      <c r="R7" s="7">
        <f t="shared" si="0"/>
        <v>1.736111111111116E-2</v>
      </c>
      <c r="S7" s="7">
        <f t="shared" si="0"/>
        <v>0.21319444444444446</v>
      </c>
      <c r="T7" s="7">
        <f>+Tabla537[[#This Row],[ALMUERZO]]-Tabla537[[#This Row],[TERMINO ACT. AM]]</f>
        <v>9.0277777777777457E-3</v>
      </c>
      <c r="U7" s="7">
        <f>+Tabla537[[#This Row],[INICIO ACTIVIDADES PM]]-Tabla537[[#This Row],[ALMUERZO]]</f>
        <v>2.777777777777779E-2</v>
      </c>
      <c r="V7" s="7">
        <f>+Tabla537[[#This Row],[TERMINO ACTIVIDADES PM]]-Tabla537[[#This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0.25347222222222232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0.24791666666666667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0.24930555555555567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0.25138888888888888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0.24902777777777779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0.99611111111111117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104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G11" sqref="G11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44830</v>
      </c>
      <c r="D3" s="37">
        <v>0.33680555555555558</v>
      </c>
      <c r="E3" s="37">
        <v>0.34652777777777777</v>
      </c>
      <c r="F3" s="37">
        <v>0.35555555555555557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44830</v>
      </c>
      <c r="P3" s="7">
        <f>D3</f>
        <v>0.33680555555555558</v>
      </c>
      <c r="Q3" s="7">
        <f>E3-D3</f>
        <v>9.7222222222221877E-3</v>
      </c>
      <c r="R3" s="7">
        <f>F3-E3</f>
        <v>9.0277777777778012E-3</v>
      </c>
      <c r="S3" s="7">
        <f>G3-F3</f>
        <v>0.18611111111111106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44831</v>
      </c>
      <c r="D4" s="37">
        <v>0.33680555555555558</v>
      </c>
      <c r="E4" s="37">
        <v>0.3444444444444445</v>
      </c>
      <c r="F4" s="37">
        <v>0.3576388888888889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44831</v>
      </c>
      <c r="P4" s="7">
        <f>D4</f>
        <v>0.33680555555555558</v>
      </c>
      <c r="Q4" s="7">
        <f t="shared" ref="Q4:S7" si="0">E4-D4</f>
        <v>7.6388888888889173E-3</v>
      </c>
      <c r="R4" s="7">
        <f t="shared" si="0"/>
        <v>1.3194444444444398E-2</v>
      </c>
      <c r="S4" s="7">
        <f t="shared" si="0"/>
        <v>0.18055555555555552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44832</v>
      </c>
      <c r="D5" s="37">
        <v>0.33680555555555558</v>
      </c>
      <c r="E5" s="37">
        <v>0.34375</v>
      </c>
      <c r="F5" s="37">
        <v>0.35347222222222219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44832</v>
      </c>
      <c r="P5" s="7">
        <f>D5</f>
        <v>0.33680555555555558</v>
      </c>
      <c r="Q5" s="7">
        <f t="shared" si="0"/>
        <v>6.9444444444444198E-3</v>
      </c>
      <c r="R5" s="7">
        <f t="shared" si="0"/>
        <v>9.7222222222221877E-3</v>
      </c>
      <c r="S5" s="7">
        <f t="shared" si="0"/>
        <v>0.18819444444444444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44833</v>
      </c>
      <c r="D6" s="37">
        <v>0.33680555555555602</v>
      </c>
      <c r="E6" s="37">
        <v>0.34513888888888888</v>
      </c>
      <c r="F6" s="37">
        <v>0.3576388888888889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44833</v>
      </c>
      <c r="P6" s="7">
        <f>D6</f>
        <v>0.33680555555555602</v>
      </c>
      <c r="Q6" s="7">
        <f t="shared" si="0"/>
        <v>8.3333333333328596E-3</v>
      </c>
      <c r="R6" s="7">
        <f t="shared" si="0"/>
        <v>1.2500000000000011E-2</v>
      </c>
      <c r="S6" s="7">
        <f t="shared" si="0"/>
        <v>0.1736111111111111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44834</v>
      </c>
      <c r="D7" s="37">
        <v>0.33680555555555602</v>
      </c>
      <c r="E7" s="37">
        <v>0.34861111111111115</v>
      </c>
      <c r="F7" s="37">
        <v>0.3576388888888889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44834</v>
      </c>
      <c r="P7" s="7">
        <f>D7</f>
        <v>0.33680555555555602</v>
      </c>
      <c r="Q7" s="7">
        <f t="shared" si="0"/>
        <v>1.1805555555555125E-2</v>
      </c>
      <c r="R7" s="7">
        <f t="shared" si="0"/>
        <v>9.0277777777777457E-3</v>
      </c>
      <c r="S7" s="7">
        <f t="shared" si="0"/>
        <v>0.1736111111111111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0.43958333333333338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0.43749999999999994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0.44861111111111085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0.43402777777777751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0.43055555555555519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0.43805555555555536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1.0340983606557372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103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I6" sqref="I6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44830</v>
      </c>
      <c r="D3" s="37">
        <v>0.33680555555555558</v>
      </c>
      <c r="E3" s="37">
        <v>0.36458333333333331</v>
      </c>
      <c r="F3" s="37">
        <v>0.37986111111111115</v>
      </c>
      <c r="G3" s="37">
        <v>0.61111111111111105</v>
      </c>
      <c r="H3" s="37">
        <v>0.62152777777777779</v>
      </c>
      <c r="I3" s="37">
        <v>0.64444444444444449</v>
      </c>
      <c r="J3" s="46">
        <v>0.65972222222222221</v>
      </c>
      <c r="K3" s="47"/>
      <c r="L3" s="53"/>
      <c r="M3" s="53"/>
      <c r="N3" s="57" t="s">
        <v>15</v>
      </c>
      <c r="O3" s="4">
        <f>Tabla53[[#This Row],[FECHA]]</f>
        <v>44830</v>
      </c>
      <c r="P3" s="7">
        <f>D3</f>
        <v>0.33680555555555558</v>
      </c>
      <c r="Q3" s="7">
        <f>E3-D3</f>
        <v>2.7777777777777735E-2</v>
      </c>
      <c r="R3" s="7">
        <f>F3-E3</f>
        <v>1.5277777777777835E-2</v>
      </c>
      <c r="S3" s="7">
        <f>G3-F3</f>
        <v>0.2312499999999999</v>
      </c>
      <c r="T3" s="7">
        <f>+Tabla53[[#This Row],[ALMUERZO]]-Tabla53[[#This Row],[TERMINO ACT. AM]]</f>
        <v>1.0416666666666741E-2</v>
      </c>
      <c r="U3" s="7">
        <f>+Tabla53[[#This Row],[INICIO ACTIVIDADES PM]]-Tabla53[[#This Row],[ALMUERZO]]</f>
        <v>2.2916666666666696E-2</v>
      </c>
      <c r="V3" s="7">
        <f>+Tabla53[[#This Row],[TERMINO ACTIVIDADES PM]]-Tabla53[[#This Row],[INICIO ACTIVIDADES PM]]</f>
        <v>1.5277777777777724E-2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44831</v>
      </c>
      <c r="D4" s="37">
        <v>0.34027777777777773</v>
      </c>
      <c r="E4" s="37">
        <v>0.37847222222222227</v>
      </c>
      <c r="F4" s="37">
        <v>0.38680555555555557</v>
      </c>
      <c r="G4" s="37">
        <v>0.6</v>
      </c>
      <c r="H4" s="37">
        <v>0.60416666666666663</v>
      </c>
      <c r="I4" s="37">
        <v>0.62847222222222221</v>
      </c>
      <c r="J4" s="46">
        <v>0.65972222222222221</v>
      </c>
      <c r="K4" s="47"/>
      <c r="M4" s="5"/>
      <c r="N4" s="5" t="s">
        <v>16</v>
      </c>
      <c r="O4" s="4">
        <f>Tabla53[[#This Row],[FECHA]]</f>
        <v>44831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8.3333333333333037E-3</v>
      </c>
      <c r="S4" s="7">
        <f t="shared" si="0"/>
        <v>0.21319444444444441</v>
      </c>
      <c r="T4" s="7">
        <f>+Tabla53[[#This Row],[ALMUERZO]]-Tabla53[[#This Row],[TERMINO ACT. AM]]</f>
        <v>4.1666666666666519E-3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44832</v>
      </c>
      <c r="D5" s="37">
        <v>0.33680555555555558</v>
      </c>
      <c r="E5" s="37">
        <v>0.40625</v>
      </c>
      <c r="F5" s="37">
        <v>0.38958333333333334</v>
      </c>
      <c r="G5" s="37">
        <v>0.58680555555555558</v>
      </c>
      <c r="H5" s="37">
        <v>0.59375</v>
      </c>
      <c r="I5" s="37">
        <v>0.61805555555555558</v>
      </c>
      <c r="J5" s="46">
        <v>0.65972222222222199</v>
      </c>
      <c r="K5" s="47"/>
      <c r="M5" s="5"/>
      <c r="N5" s="5" t="s">
        <v>16</v>
      </c>
      <c r="O5" s="4">
        <f>Tabla53[[#This Row],[FECHA]]</f>
        <v>44832</v>
      </c>
      <c r="P5" s="7">
        <f>D5</f>
        <v>0.33680555555555558</v>
      </c>
      <c r="Q5" s="7">
        <f t="shared" si="0"/>
        <v>6.944444444444442E-2</v>
      </c>
      <c r="R5" s="7">
        <f t="shared" si="0"/>
        <v>-1.6666666666666663E-2</v>
      </c>
      <c r="S5" s="7">
        <f t="shared" si="0"/>
        <v>0.19722222222222224</v>
      </c>
      <c r="T5" s="7">
        <f>+Tabla53[[#This Row],[ALMUERZO]]-Tabla53[[#This Row],[TERMINO ACT. AM]]</f>
        <v>6.9444444444444198E-3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4.1666666666666408E-2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44833</v>
      </c>
      <c r="D6" s="37">
        <v>0.34027777777777773</v>
      </c>
      <c r="E6" s="37">
        <v>0.34930555555555554</v>
      </c>
      <c r="F6" s="37">
        <v>0.37222222222222223</v>
      </c>
      <c r="G6" s="37">
        <v>0.60069444444444442</v>
      </c>
      <c r="H6" s="37">
        <v>0.60763888888888895</v>
      </c>
      <c r="I6" s="37">
        <v>0.63194444444444442</v>
      </c>
      <c r="J6" s="46">
        <v>0.65972222222222199</v>
      </c>
      <c r="K6" s="47"/>
      <c r="M6" s="5"/>
      <c r="N6" s="5" t="s">
        <v>17</v>
      </c>
      <c r="O6" s="4">
        <f>Tabla53[[#This Row],[FECHA]]</f>
        <v>44833</v>
      </c>
      <c r="P6" s="7">
        <f>D6</f>
        <v>0.34027777777777773</v>
      </c>
      <c r="Q6" s="7">
        <f t="shared" si="0"/>
        <v>9.0277777777778012E-3</v>
      </c>
      <c r="R6" s="7">
        <f t="shared" si="0"/>
        <v>2.2916666666666696E-2</v>
      </c>
      <c r="S6" s="7">
        <f t="shared" si="0"/>
        <v>0.22847222222222219</v>
      </c>
      <c r="T6" s="7">
        <f>+Tabla53[[#This Row],[ALMUERZO]]-Tabla53[[#This Row],[TERMINO ACT. AM]]</f>
        <v>6.9444444444445308E-3</v>
      </c>
      <c r="U6" s="7">
        <f>+Tabla53[[#This Row],[INICIO ACTIVIDADES PM]]-Tabla53[[#This Row],[ALMUERZO]]</f>
        <v>2.4305555555555469E-2</v>
      </c>
      <c r="V6" s="7">
        <f>+Tabla53[[#This Row],[TERMINO ACTIVIDADES PM]]-Tabla53[[#This Row],[INICIO ACTIVIDADES PM]]</f>
        <v>2.7777777777777568E-2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44834</v>
      </c>
      <c r="D7" s="37">
        <v>0.33680555555555558</v>
      </c>
      <c r="E7" s="37">
        <v>0.37152777777777773</v>
      </c>
      <c r="F7" s="37">
        <v>0.37708333333333338</v>
      </c>
      <c r="G7" s="37">
        <v>0.58958333333333335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44834</v>
      </c>
      <c r="P7" s="7">
        <f>D7</f>
        <v>0.33680555555555558</v>
      </c>
      <c r="Q7" s="7">
        <f t="shared" si="0"/>
        <v>3.4722222222222154E-2</v>
      </c>
      <c r="R7" s="7">
        <f t="shared" si="0"/>
        <v>5.5555555555556468E-3</v>
      </c>
      <c r="S7" s="7">
        <f t="shared" si="0"/>
        <v>0.21249999999999997</v>
      </c>
      <c r="T7" s="7">
        <f>+Tabla53[[#This Row],[ALMUERZO]]-Tabla53[[#This Row],[TERMINO ACT. AM]]</f>
        <v>1.1111111111111072E-2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0.24652777777777762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0.24444444444444441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0.23888888888888865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0.25624999999999976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0.24722222222222195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0.24666666666666645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0.9866666666666658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8" t="s">
        <v>105</v>
      </c>
      <c r="K27" s="179" t="s">
        <v>103</v>
      </c>
      <c r="T27" s="3"/>
    </row>
    <row r="28" spans="1:20" ht="15.6" customHeight="1" x14ac:dyDescent="0.25">
      <c r="J28" s="178"/>
      <c r="K28" s="180"/>
      <c r="T28" s="3"/>
    </row>
    <row r="29" spans="1:20" ht="15.6" customHeight="1" x14ac:dyDescent="0.25">
      <c r="J29" s="178"/>
      <c r="K29" s="180"/>
      <c r="T29" s="3"/>
    </row>
    <row r="30" spans="1:20" ht="15.6" customHeight="1" x14ac:dyDescent="0.25">
      <c r="J30" s="178"/>
      <c r="K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tabSelected="1" zoomScale="60" zoomScaleNormal="60" workbookViewId="0">
      <selection activeCell="F7" sqref="F7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44830</v>
      </c>
      <c r="D3" s="37">
        <v>0.64583333333333337</v>
      </c>
      <c r="E3" s="37">
        <v>0.69097222222222221</v>
      </c>
      <c r="F3" s="37">
        <v>0.70833333333333337</v>
      </c>
      <c r="G3" s="37">
        <v>0.91666666666666663</v>
      </c>
      <c r="H3" s="37">
        <v>0.92708333333333337</v>
      </c>
      <c r="I3" s="37">
        <v>0.95138888888888884</v>
      </c>
      <c r="J3" s="46">
        <v>0.98611111111111105</v>
      </c>
      <c r="K3" s="81" t="s">
        <v>94</v>
      </c>
      <c r="L3" s="53"/>
      <c r="M3" s="53"/>
      <c r="N3" s="57" t="s">
        <v>15</v>
      </c>
      <c r="O3" s="4">
        <f>Tabla53839[[#This Row],[FECHA]]</f>
        <v>44830</v>
      </c>
      <c r="P3" s="7">
        <f>D3</f>
        <v>0.64583333333333337</v>
      </c>
      <c r="Q3" s="7">
        <f>E3-D3</f>
        <v>4.513888888888884E-2</v>
      </c>
      <c r="R3" s="7">
        <f>F3-E3</f>
        <v>1.736111111111116E-2</v>
      </c>
      <c r="S3" s="7">
        <f>G3-F3</f>
        <v>0.20833333333333326</v>
      </c>
      <c r="T3" s="7">
        <f>+Tabla53839[[#This Row],[ALMUERZO]]-Tabla53839[[#This Row],[TERMINO ACT. AM]]</f>
        <v>1.0416666666666741E-2</v>
      </c>
      <c r="U3" s="7">
        <f>+Tabla53839[[#This Row],[INICIO ACTIVIDADES PM]]-Tabla53839[[#This Row],[ALMUERZO]]</f>
        <v>2.4305555555555469E-2</v>
      </c>
      <c r="V3" s="7">
        <f>+Tabla53839[[#This Row],[TERMINO ACTIVIDADES PM]]-Tabla53839[[#This Row],[INICIO ACTIVIDADES PM]]</f>
        <v>3.472222222222221E-2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44831</v>
      </c>
      <c r="D4" s="37">
        <v>0.64583333333333337</v>
      </c>
      <c r="E4" s="37">
        <v>0.68055555555555547</v>
      </c>
      <c r="F4" s="37">
        <v>0.69236111111111109</v>
      </c>
      <c r="G4" s="37">
        <v>0.91319444444444453</v>
      </c>
      <c r="H4" s="37">
        <v>0.92222222222222217</v>
      </c>
      <c r="I4" s="37">
        <v>0.94930555555555562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44831</v>
      </c>
      <c r="P4" s="7">
        <f>D4</f>
        <v>0.64583333333333337</v>
      </c>
      <c r="Q4" s="7">
        <f t="shared" ref="Q4:S7" si="0">E4-D4</f>
        <v>3.4722222222222099E-2</v>
      </c>
      <c r="R4" s="7">
        <f t="shared" si="0"/>
        <v>1.1805555555555625E-2</v>
      </c>
      <c r="S4" s="7">
        <f t="shared" si="0"/>
        <v>0.22083333333333344</v>
      </c>
      <c r="T4" s="7">
        <f>+Tabla53839[[#This Row],[ALMUERZO]]-Tabla53839[[#This Row],[TERMINO ACT. AM]]</f>
        <v>9.0277777777776347E-3</v>
      </c>
      <c r="U4" s="7">
        <f>+Tabla53839[[#This Row],[INICIO ACTIVIDADES PM]]-Tabla53839[[#This Row],[ALMUERZO]]</f>
        <v>2.7083333333333459E-2</v>
      </c>
      <c r="V4" s="7">
        <f>+Tabla53839[[#This Row],[TERMINO ACTIVIDADES PM]]-Tabla53839[[#This Row],[INICIO ACTIVIDADES PM]]</f>
        <v>3.6805555555555536E-2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44832</v>
      </c>
      <c r="D5" s="37">
        <v>0.64583333333333337</v>
      </c>
      <c r="E5" s="37">
        <v>0.68958333333333333</v>
      </c>
      <c r="F5" s="37">
        <v>0.69791666666666663</v>
      </c>
      <c r="G5" s="37">
        <v>0.90416666666666667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44832</v>
      </c>
      <c r="P5" s="7">
        <f>D5</f>
        <v>0.64583333333333337</v>
      </c>
      <c r="Q5" s="7">
        <f t="shared" si="0"/>
        <v>4.3749999999999956E-2</v>
      </c>
      <c r="R5" s="7">
        <f t="shared" si="0"/>
        <v>8.3333333333333037E-3</v>
      </c>
      <c r="S5" s="7">
        <f t="shared" si="0"/>
        <v>0.20625000000000004</v>
      </c>
      <c r="T5" s="7">
        <f>+Tabla53839[[#This Row],[ALMUERZO]]-Tabla53839[[#This Row],[TERMINO ACT. AM]]</f>
        <v>5.5555555555555358E-3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44833</v>
      </c>
      <c r="D6" s="37">
        <v>0.64583333333333337</v>
      </c>
      <c r="E6" s="37">
        <v>0.6875</v>
      </c>
      <c r="F6" s="37">
        <v>0.70486111111111116</v>
      </c>
      <c r="G6" s="37">
        <v>0.92708333333333337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44833</v>
      </c>
      <c r="P6" s="7">
        <f>D6</f>
        <v>0.64583333333333337</v>
      </c>
      <c r="Q6" s="7">
        <f t="shared" si="0"/>
        <v>4.166666666666663E-2</v>
      </c>
      <c r="R6" s="7">
        <f t="shared" si="0"/>
        <v>1.736111111111116E-2</v>
      </c>
      <c r="S6" s="7">
        <f t="shared" si="0"/>
        <v>0.22222222222222221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44834</v>
      </c>
      <c r="D7" s="37">
        <v>0.64583333333333337</v>
      </c>
      <c r="E7" s="37">
        <v>0.68055555555555547</v>
      </c>
      <c r="F7" s="37">
        <v>0.69305555555555554</v>
      </c>
      <c r="G7" s="37">
        <v>0.91111111111111109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44834</v>
      </c>
      <c r="P7" s="7">
        <f>D7</f>
        <v>0.64583333333333337</v>
      </c>
      <c r="Q7" s="7">
        <f t="shared" si="0"/>
        <v>3.4722222222222099E-2</v>
      </c>
      <c r="R7" s="7">
        <f t="shared" si="0"/>
        <v>1.2500000000000067E-2</v>
      </c>
      <c r="S7" s="7">
        <f t="shared" si="0"/>
        <v>0.21805555555555556</v>
      </c>
      <c r="T7" s="7">
        <f>+Tabla53839[[#This Row],[ALMUERZO]]-Tabla53839[[#This Row],[TERMINO ACT. AM]]</f>
        <v>9.0277777777777457E-3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0.25763888888888897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0.25138888888888888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0.25138888888888888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0.25624999999999998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0.25194444444444447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1.0077777777777779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F7" sqref="F7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44830</v>
      </c>
      <c r="D3" s="37">
        <v>0.3125</v>
      </c>
      <c r="E3" s="37">
        <v>0.33333333333333331</v>
      </c>
      <c r="F3" s="37">
        <v>0.3611111111111111</v>
      </c>
      <c r="G3" s="37">
        <v>0.58194444444444449</v>
      </c>
      <c r="H3" s="37">
        <v>0.59375</v>
      </c>
      <c r="I3" s="37">
        <v>0.625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44830</v>
      </c>
      <c r="P3" s="7">
        <f>D3</f>
        <v>0.3125</v>
      </c>
      <c r="Q3" s="7">
        <f>E3-D3</f>
        <v>2.0833333333333315E-2</v>
      </c>
      <c r="R3" s="7">
        <f>F3-E3</f>
        <v>2.777777777777779E-2</v>
      </c>
      <c r="S3" s="7">
        <f>G3-F3</f>
        <v>0.22083333333333338</v>
      </c>
      <c r="T3" s="7">
        <f>+Tabla5383940[[#This Row],[ALMUERZO]]-Tabla5383940[[#This Row],[TERMINO ACT. AM]]</f>
        <v>1.1805555555555514E-2</v>
      </c>
      <c r="U3" s="7">
        <f>+Tabla5383940[[#This Row],[INICIO ACTIVIDADES PM]]-Tabla5383940[[#This Row],[ALMUERZO]]</f>
        <v>3.125E-2</v>
      </c>
      <c r="V3" s="7">
        <f>+Tabla5383940[[#This Row],[TERMINO ACTIVIDADES PM]]-Tabla5383940[[#This Row],[INICIO ACTIVIDADES PM]]</f>
        <v>2.777777777777779E-2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44831</v>
      </c>
      <c r="D4" s="37">
        <v>0.3125</v>
      </c>
      <c r="E4" s="37">
        <v>0.33333333333333331</v>
      </c>
      <c r="F4" s="37">
        <v>0.35000000000000003</v>
      </c>
      <c r="G4" s="37">
        <v>0.58680555555555558</v>
      </c>
      <c r="H4" s="37">
        <v>0.60069444444444442</v>
      </c>
      <c r="I4" s="37">
        <v>0.625</v>
      </c>
      <c r="J4" s="46">
        <v>0.65277777777777801</v>
      </c>
      <c r="K4" s="47"/>
      <c r="M4" s="5"/>
      <c r="N4" s="5" t="s">
        <v>16</v>
      </c>
      <c r="O4" s="4">
        <f>Tabla5383940[[#This Row],[FECHA]]</f>
        <v>44831</v>
      </c>
      <c r="P4" s="7">
        <f>D4</f>
        <v>0.3125</v>
      </c>
      <c r="Q4" s="7">
        <f t="shared" ref="Q4:S7" si="0">E4-D4</f>
        <v>2.0833333333333315E-2</v>
      </c>
      <c r="R4" s="7">
        <f t="shared" si="0"/>
        <v>1.6666666666666718E-2</v>
      </c>
      <c r="S4" s="7">
        <f t="shared" si="0"/>
        <v>0.23680555555555555</v>
      </c>
      <c r="T4" s="7">
        <f>+Tabla5383940[[#This Row],[ALMUERZO]]-Tabla5383940[[#This Row],[TERMINO ACT. AM]]</f>
        <v>1.388888888888884E-2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2.7777777777778012E-2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44832</v>
      </c>
      <c r="D5" s="37">
        <v>0.31597222222222221</v>
      </c>
      <c r="E5" s="37">
        <v>0.33680555555555558</v>
      </c>
      <c r="F5" s="37">
        <v>0.3520833333333333</v>
      </c>
      <c r="G5" s="37">
        <v>0.59722222222222221</v>
      </c>
      <c r="H5" s="37">
        <v>0.61111111111111105</v>
      </c>
      <c r="I5" s="37">
        <v>0.63402777777777775</v>
      </c>
      <c r="J5" s="46">
        <v>0.65277777777777801</v>
      </c>
      <c r="K5" s="47"/>
      <c r="M5" s="5"/>
      <c r="N5" s="5" t="s">
        <v>16</v>
      </c>
      <c r="O5" s="4">
        <f>Tabla5383940[[#This Row],[FECHA]]</f>
        <v>44832</v>
      </c>
      <c r="P5" s="7">
        <f>D5</f>
        <v>0.31597222222222221</v>
      </c>
      <c r="Q5" s="7">
        <f t="shared" si="0"/>
        <v>2.083333333333337E-2</v>
      </c>
      <c r="R5" s="7">
        <f t="shared" si="0"/>
        <v>1.5277777777777724E-2</v>
      </c>
      <c r="S5" s="7">
        <f t="shared" si="0"/>
        <v>0.24513888888888891</v>
      </c>
      <c r="T5" s="7">
        <f>+Tabla5383940[[#This Row],[ALMUERZO]]-Tabla5383940[[#This Row],[TERMINO ACT. AM]]</f>
        <v>1.388888888888884E-2</v>
      </c>
      <c r="U5" s="7">
        <f>+Tabla5383940[[#This Row],[INICIO ACTIVIDADES PM]]-Tabla5383940[[#This Row],[ALMUERZO]]</f>
        <v>2.2916666666666696E-2</v>
      </c>
      <c r="V5" s="7">
        <f>+Tabla5383940[[#This Row],[TERMINO ACTIVIDADES PM]]-Tabla5383940[[#This Row],[INICIO ACTIVIDADES PM]]</f>
        <v>1.8750000000000266E-2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44833</v>
      </c>
      <c r="D6" s="37">
        <v>0.3125</v>
      </c>
      <c r="E6" s="37">
        <v>0.33333333333333331</v>
      </c>
      <c r="F6" s="37">
        <v>0.3576388888888889</v>
      </c>
      <c r="G6" s="37">
        <v>0.57013888888888886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44833</v>
      </c>
      <c r="P6" s="7">
        <f>D6</f>
        <v>0.3125</v>
      </c>
      <c r="Q6" s="7">
        <f t="shared" si="0"/>
        <v>2.0833333333333315E-2</v>
      </c>
      <c r="R6" s="7">
        <f t="shared" si="0"/>
        <v>2.430555555555558E-2</v>
      </c>
      <c r="S6" s="7">
        <f t="shared" si="0"/>
        <v>0.21249999999999997</v>
      </c>
      <c r="T6" s="7">
        <f>+Tabla5383940[[#This Row],[ALMUERZO]]-Tabla5383940[[#This Row],[TERMINO ACT. AM]]</f>
        <v>1.6666666666666718E-2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44834</v>
      </c>
      <c r="D7" s="37">
        <v>0.3125</v>
      </c>
      <c r="E7" s="37">
        <v>0.33333333333333331</v>
      </c>
      <c r="F7" s="37">
        <v>0.35416666666666669</v>
      </c>
      <c r="G7" s="37">
        <v>0.54166666666666663</v>
      </c>
      <c r="H7" s="37">
        <v>0.55555555555555558</v>
      </c>
      <c r="I7" s="37">
        <v>0.57986111111111105</v>
      </c>
      <c r="J7" s="46">
        <v>0.65277777777777779</v>
      </c>
      <c r="K7" s="47"/>
      <c r="M7" s="5"/>
      <c r="N7" s="5" t="s">
        <v>18</v>
      </c>
      <c r="O7" s="4">
        <f>Tabla5383940[[#This Row],[FECHA]]</f>
        <v>44834</v>
      </c>
      <c r="P7" s="7">
        <f>D7</f>
        <v>0.3125</v>
      </c>
      <c r="Q7" s="7">
        <f t="shared" si="0"/>
        <v>2.0833333333333315E-2</v>
      </c>
      <c r="R7" s="7">
        <f t="shared" si="0"/>
        <v>2.083333333333337E-2</v>
      </c>
      <c r="S7" s="7">
        <f t="shared" si="0"/>
        <v>0.18749999999999994</v>
      </c>
      <c r="T7" s="7">
        <f>+Tabla5383940[[#This Row],[ALMUERZO]]-Tabla5383940[[#This Row],[TERMINO ACT. AM]]</f>
        <v>1.3888888888888951E-2</v>
      </c>
      <c r="U7" s="7">
        <f>+Tabla5383940[[#This Row],[INICIO ACTIVIDADES PM]]-Tabla5383940[[#This Row],[ALMUERZO]]</f>
        <v>2.4305555555555469E-2</v>
      </c>
      <c r="V7" s="7">
        <f>+Tabla5383940[[#This Row],[TERMINO ACTIVIDADES PM]]-Tabla5383940[[#This Row],[INICIO ACTIVIDADES PM]]</f>
        <v>7.2916666666666741E-2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0.24861111111111117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0.26458333333333356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0.26388888888888917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0.25069444444444439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0.26041666666666669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0.25763888888888903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1.0305555555555561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2022-10-05T18:54:14Z</dcterms:modified>
</cp:coreProperties>
</file>