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X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<sst xmlns="http://schemas.openxmlformats.org/spreadsheetml/2006/main" count="1120" uniqueCount="132">
  <si>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</si>
  <si>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</si>
  <si>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</si>
  <si>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</si>
  <si>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</si>
  <si>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</si>
  <si>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</si>
  <si>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</si>
  <si>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</si>
  <si>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</si>
  <si>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</si>
  <si>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</si>
  <si>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</si>
  <si>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</si>
  <si>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</si>
  <si>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</si>
  <si>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</si>
  <si>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</si>
  <si>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</si>
  <si>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</si>
  <si>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</si>
  <si>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</si>
  <si>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</si>
  <si>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</si>
  <si>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</si>
  <si>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</si>
  <si>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</si>
  <si>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</si>
  <si>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</si>
  <si>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</si>
  <si>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</si>
  <si>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</si>
  <si>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</si>
  <si>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</si>
  <si>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</si>
  <si>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</si>
  <si>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</si>
  <si>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</si>
  <si>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</si>
  <si>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</si>
  <si>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</si>
  <si>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</si>
  <si>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</si>
  <si>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</si>
  <si>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</si>
  <si>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</si>
  <si>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</si>
  <si>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</si>
  <si>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</si>
  <si>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</si>
  <si>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</si>
  <si>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</si>
  <si>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</si>
  <si>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</si>
  <si>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</si>
  <si>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</si>
  <si>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</si>
  <si>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</si>
  <si>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</si>
  <si>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</si>
  <si>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</si>
  <si>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</si>
  <si>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</si>
  <si>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</si>
  <si>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</si>
  <si>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</si>
  <si>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</si>
  <si>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</si>
  <si>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</si>
  <si>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</si>
  <si>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</si>
  <si>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</si>
  <si>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</si>
  <si>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</si>
  <si>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</si>
  <si>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</si>
  <si>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</si>
  <si>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</si>
  <si>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</si>
  <si>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</si>
  <si>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</si>
  <si>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</si>
  <si>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</si>
  <si>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</si>
  <si>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</si>
  <si>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</si>
  <si>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</si>
  <si>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</si>
  <si>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</si>
  <si>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</si>
  <si>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</si>
  <si>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</si>
  <si>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</si>
  <si>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</si>
  <si>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</si>
  <si>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</si>
  <si>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</si>
  <si>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</si>
  <si>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</si>
  <si>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</si>
  <si>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</si>
  <si>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</si>
  <si>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</si>
  <si>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</si>
  <si>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</si>
  <si>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</si>
  <si>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</si>
  <si>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</si>
  <si>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</si>
  <si>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</si>
  <si>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</si>
  <si>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</si>
  <si>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</si>
  <si>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</si>
  <si>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</si>
  <si>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</si>
  <si>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</si>
  <si>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</si>
  <si>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</si>
  <si>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</si>
  <si>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</si>
  <si>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</si>
  <si>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</si>
  <si>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</si>
  <si>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</si>
  <si>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</si>
  <si>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</si>
  <si>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</si>
  <si>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</si>
  <si>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</si>
  <si>
    <t>Feriado</t>
  </si>
  <si>
    <t>A solicitud de usuario se trabaja dia 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</si>
</sst>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2.7083333333333293E-2</c:v>
                </c:pt>
                <c:pt idx="2">
                  <c:v>3.1944444444444497E-2</c:v>
                </c:pt>
                <c:pt idx="3">
                  <c:v>0</c:v>
                </c:pt>
                <c:pt idx="4">
                  <c:v>2.5694444444444409E-2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1.4583333333333393E-2</c:v>
                </c:pt>
                <c:pt idx="1">
                  <c:v>1.3194444444444509E-2</c:v>
                </c:pt>
                <c:pt idx="2">
                  <c:v>7.6388888888888062E-3</c:v>
                </c:pt>
                <c:pt idx="3">
                  <c:v>0</c:v>
                </c:pt>
                <c:pt idx="4">
                  <c:v>2.0138888888888928E-2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0.23958333333333331</c:v>
                </c:pt>
                <c:pt idx="1">
                  <c:v>0.23402777777777767</c:v>
                </c:pt>
                <c:pt idx="2">
                  <c:v>0.23888888888888898</c:v>
                </c:pt>
                <c:pt idx="3">
                  <c:v>0</c:v>
                </c:pt>
                <c:pt idx="4">
                  <c:v>0.22500000000000003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1.0416666666666741E-2</c:v>
                </c:pt>
                <c:pt idx="2">
                  <c:v>6.2499999999999778E-3</c:v>
                </c:pt>
                <c:pt idx="3">
                  <c:v>0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1.3888888888888618E-2</c:v>
                </c:pt>
                <c:pt idx="2">
                  <c:v>1.736111111111116E-2</c:v>
                </c:pt>
                <c:pt idx="3">
                  <c:v>0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0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9.0277777777777457E-3</c:v>
                </c:pt>
                <c:pt idx="2">
                  <c:v>1.041666666666663E-2</c:v>
                </c:pt>
                <c:pt idx="3">
                  <c:v>0</c:v>
                </c:pt>
                <c:pt idx="4">
                  <c:v>1.1111111111111127E-2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0.17916666666666675</c:v>
                </c:pt>
                <c:pt idx="1">
                  <c:v>0.18194444444444452</c:v>
                </c:pt>
                <c:pt idx="2">
                  <c:v>0.18055555555555564</c:v>
                </c:pt>
                <c:pt idx="3">
                  <c:v>0</c:v>
                </c:pt>
                <c:pt idx="4">
                  <c:v>0.17986111111111114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0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2.2222222222222143E-2</c:v>
                </c:pt>
                <c:pt idx="2">
                  <c:v>2.5694444444444464E-2</c:v>
                </c:pt>
                <c:pt idx="3">
                  <c:v>0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0.10972222222222228</c:v>
                </c:pt>
                <c:pt idx="2">
                  <c:v>0.10624999999999996</c:v>
                </c:pt>
                <c:pt idx="3">
                  <c:v>0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1.3888888888888895E-2</c:v>
                </c:pt>
                <c:pt idx="2">
                  <c:v>2.7777777777777735E-2</c:v>
                </c:pt>
                <c:pt idx="3">
                  <c:v>0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2.4305555555555525E-2</c:v>
                </c:pt>
                <c:pt idx="2">
                  <c:v>2.083333333333337E-2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0.17499999999999999</c:v>
                </c:pt>
                <c:pt idx="1">
                  <c:v>0.17152777777777783</c:v>
                </c:pt>
                <c:pt idx="2">
                  <c:v>0.22222222222222227</c:v>
                </c:pt>
                <c:pt idx="3">
                  <c:v>0</c:v>
                </c:pt>
                <c:pt idx="4">
                  <c:v>0.14722222222222225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1.2499999999999956E-2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0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0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0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0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1.3888888888888951E-2</c:v>
                </c:pt>
                <c:pt idx="2">
                  <c:v>1.5972222222222165E-2</c:v>
                </c:pt>
                <c:pt idx="3">
                  <c:v>0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0.13194444444444453</c:v>
                </c:pt>
                <c:pt idx="1">
                  <c:v>0.12847222222222221</c:v>
                </c:pt>
                <c:pt idx="2">
                  <c:v>0.14375000000000004</c:v>
                </c:pt>
                <c:pt idx="3">
                  <c:v>0</c:v>
                </c:pt>
                <c:pt idx="4">
                  <c:v>0.14236111111111116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0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0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0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1.1111111111111072E-2</c:v>
                </c:pt>
                <c:pt idx="1">
                  <c:v>1.9444444444444431E-2</c:v>
                </c:pt>
                <c:pt idx="2">
                  <c:v>1.2500000000000067E-2</c:v>
                </c:pt>
                <c:pt idx="3">
                  <c:v>0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0.22152777777777777</c:v>
                </c:pt>
                <c:pt idx="1">
                  <c:v>0.23402777777777778</c:v>
                </c:pt>
                <c:pt idx="2">
                  <c:v>0.23541666666666655</c:v>
                </c:pt>
                <c:pt idx="3">
                  <c:v>0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1.2500000000000067E-2</c:v>
                </c:pt>
                <c:pt idx="3">
                  <c:v>0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0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0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2.5694444444444464E-2</c:v>
                </c:pt>
                <c:pt idx="2">
                  <c:v>2.6388888888888906E-2</c:v>
                </c:pt>
                <c:pt idx="3">
                  <c:v>0</c:v>
                </c:pt>
                <c:pt idx="4">
                  <c:v>2.8472222222222177E-2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0.1652777777777778</c:v>
                </c:pt>
                <c:pt idx="2">
                  <c:v>0.21319444444444441</c:v>
                </c:pt>
                <c:pt idx="3">
                  <c:v>0</c:v>
                </c:pt>
                <c:pt idx="4">
                  <c:v>0.19305555555555565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0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9.375E-2</c:v>
                </c:pt>
                <c:pt idx="2">
                  <c:v>5.555555555555558E-2</c:v>
                </c:pt>
                <c:pt idx="3">
                  <c:v>0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2.916666666666673E-2</c:v>
                </c:pt>
                <c:pt idx="3">
                  <c:v>2.7777777777777735E-2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1.2499999999999956E-2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0.23402777777777767</c:v>
                </c:pt>
                <c:pt idx="1">
                  <c:v>0.22222222222222221</c:v>
                </c:pt>
                <c:pt idx="2">
                  <c:v>0.22083333333333327</c:v>
                </c:pt>
                <c:pt idx="3">
                  <c:v>0.23055555555555551</c:v>
                </c:pt>
                <c:pt idx="4">
                  <c:v>0.22361111111111109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8.3333333333333037E-3</c:v>
                </c:pt>
                <c:pt idx="2">
                  <c:v>3.4722222222222099E-3</c:v>
                </c:pt>
                <c:pt idx="3">
                  <c:v>5.5555555555556468E-3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9.0277777777777457E-3</c:v>
                </c:pt>
                <c:pt idx="2">
                  <c:v>3.4722222222222099E-3</c:v>
                </c:pt>
                <c:pt idx="3">
                  <c:v>0</c:v>
                </c:pt>
                <c:pt idx="4">
                  <c:v>1.2499999999999845E-2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3.8888888888888862E-2</c:v>
                </c:pt>
                <c:pt idx="2">
                  <c:v>3.4722222222222099E-2</c:v>
                </c:pt>
                <c:pt idx="3">
                  <c:v>0</c:v>
                </c:pt>
                <c:pt idx="4">
                  <c:v>3.1944444444444553E-2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0.22013888888888899</c:v>
                </c:pt>
                <c:pt idx="1">
                  <c:v>0.21250000000000002</c:v>
                </c:pt>
                <c:pt idx="2">
                  <c:v>0.22916666666666674</c:v>
                </c:pt>
                <c:pt idx="3">
                  <c:v>0</c:v>
                </c:pt>
                <c:pt idx="4">
                  <c:v>0.21805555555555545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2.0833333333333259E-3</c:v>
                </c:pt>
                <c:pt idx="1">
                  <c:v>3.4722222222222099E-3</c:v>
                </c:pt>
                <c:pt idx="2">
                  <c:v>1.041666666666663E-2</c:v>
                </c:pt>
                <c:pt idx="3">
                  <c:v>0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0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0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2.7777777777777735E-2</c:v>
                </c:pt>
                <c:pt idx="2">
                  <c:v>2.7777777777777846E-2</c:v>
                </c:pt>
                <c:pt idx="3">
                  <c:v>0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1.0416666666666685E-2</c:v>
                </c:pt>
                <c:pt idx="2">
                  <c:v>1.2499999999999956E-2</c:v>
                </c:pt>
                <c:pt idx="3">
                  <c:v>0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0.23333333333333328</c:v>
                </c:pt>
                <c:pt idx="1">
                  <c:v>0.22777777777777775</c:v>
                </c:pt>
                <c:pt idx="2">
                  <c:v>0.22708333333333341</c:v>
                </c:pt>
                <c:pt idx="3">
                  <c:v>0</c:v>
                </c:pt>
                <c:pt idx="4">
                  <c:v>0.22847222222222213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7.6388888888889728E-3</c:v>
                </c:pt>
                <c:pt idx="1">
                  <c:v>8.3333333333334147E-3</c:v>
                </c:pt>
                <c:pt idx="2">
                  <c:v>1.041666666666663E-2</c:v>
                </c:pt>
                <c:pt idx="3">
                  <c:v>0</c:v>
                </c:pt>
                <c:pt idx="4">
                  <c:v>8.3333333333334147E-3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0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0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0</c:v>
                </c:pt>
                <c:pt idx="4">
                  <c:v>2.0138888888888817E-2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3.2638888888888884E-2</c:v>
                </c:pt>
                <c:pt idx="2">
                  <c:v>3.8194444444444531E-2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0.23611111111111105</c:v>
                </c:pt>
                <c:pt idx="1">
                  <c:v>0.23680555555555549</c:v>
                </c:pt>
                <c:pt idx="2">
                  <c:v>0.22430555555555554</c:v>
                </c:pt>
                <c:pt idx="3">
                  <c:v>0</c:v>
                </c:pt>
                <c:pt idx="4">
                  <c:v>0.20208333333333328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8.3333333333333037E-3</c:v>
                </c:pt>
                <c:pt idx="2">
                  <c:v>8.3333333333333037E-3</c:v>
                </c:pt>
                <c:pt idx="3">
                  <c:v>0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0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0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0.18055555555555552</c:v>
                </c:pt>
                <c:pt idx="2">
                  <c:v>0.19791666666666669</c:v>
                </c:pt>
                <c:pt idx="3">
                  <c:v>0.17708333333333331</c:v>
                </c:pt>
                <c:pt idx="4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0.25694444444444409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2.7083333333333293E-2</c:v>
                </c:pt>
                <c:pt idx="2">
                  <c:v>3.1944444444444497E-2</c:v>
                </c:pt>
                <c:pt idx="3">
                  <c:v>0</c:v>
                </c:pt>
                <c:pt idx="4">
                  <c:v>2.5694444444444409E-2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1.4583333333333393E-2</c:v>
                </c:pt>
                <c:pt idx="1">
                  <c:v>1.3194444444444509E-2</c:v>
                </c:pt>
                <c:pt idx="2">
                  <c:v>7.6388888888888062E-3</c:v>
                </c:pt>
                <c:pt idx="3">
                  <c:v>0</c:v>
                </c:pt>
                <c:pt idx="4">
                  <c:v>2.0138888888888928E-2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0.22499999999999998</c:v>
                </c:pt>
                <c:pt idx="1">
                  <c:v>0.23888888888888898</c:v>
                </c:pt>
                <c:pt idx="2">
                  <c:v>0.23472222222222217</c:v>
                </c:pt>
                <c:pt idx="3">
                  <c:v>0</c:v>
                </c:pt>
                <c:pt idx="4">
                  <c:v>0.23749999999999993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1.0416666666666741E-2</c:v>
                </c:pt>
                <c:pt idx="2">
                  <c:v>6.2499999999999778E-3</c:v>
                </c:pt>
                <c:pt idx="3">
                  <c:v>0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0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0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0</c:v>
                </c:pt>
                <c:pt idx="1">
                  <c:v>1.1805555555555514E-2</c:v>
                </c:pt>
                <c:pt idx="2">
                  <c:v>6.9444444444445308E-3</c:v>
                </c:pt>
                <c:pt idx="3">
                  <c:v>0</c:v>
                </c:pt>
                <c:pt idx="4">
                  <c:v>1.1111111111111183E-2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0.25</c:v>
                </c:pt>
                <c:pt idx="1">
                  <c:v>0.20000000000000007</c:v>
                </c:pt>
                <c:pt idx="2">
                  <c:v>0.19444444444444431</c:v>
                </c:pt>
                <c:pt idx="3">
                  <c:v>0</c:v>
                </c:pt>
                <c:pt idx="4">
                  <c:v>0.2006944444444444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0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4.513888888888884E-2</c:v>
                </c:pt>
                <c:pt idx="2">
                  <c:v>5.2083333333333259E-2</c:v>
                </c:pt>
                <c:pt idx="3">
                  <c:v>0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3.819444444444442E-2</c:v>
                </c:pt>
                <c:pt idx="2">
                  <c:v>3.125E-2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1.8750000000000044E-2</c:v>
                </c:pt>
                <c:pt idx="1">
                  <c:v>1.736111111111116E-2</c:v>
                </c:pt>
                <c:pt idx="2">
                  <c:v>2.0833333333333315E-2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0.21388888888888891</c:v>
                </c:pt>
                <c:pt idx="1">
                  <c:v>0.20624999999999993</c:v>
                </c:pt>
                <c:pt idx="2">
                  <c:v>0.21180555555555564</c:v>
                </c:pt>
                <c:pt idx="3">
                  <c:v>0</c:v>
                </c:pt>
                <c:pt idx="4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9.0277777777778567E-3</c:v>
                </c:pt>
                <c:pt idx="2">
                  <c:v>1.388888888888884E-2</c:v>
                </c:pt>
                <c:pt idx="3">
                  <c:v>0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0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/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38100</xdr:colOff>
      <xdr:row>6</xdr:row>
      <xdr:rowOff>83820</xdr:rowOff>
    </xdr:from>
    <xdr:to>
      <xdr:col>12</xdr:col>
      <xdr:colOff>144780</xdr:colOff>
      <xdr:row>14</xdr:row>
      <xdr:rowOff>0</xdr:rowOff>
    </xdr:to>
    <xdr:cxnSp macro="">
      <xdr:nvCxnSpPr>
        <xdr:cNvPr id="9" name="Conector angular 8"/>
        <xdr:cNvCxnSpPr/>
      </xdr:nvCxnSpPr>
      <xdr:spPr>
        <a:xfrm rot="5400000" flipH="1" flipV="1">
          <a:off x="3512820" y="146304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/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1950720</xdr:colOff>
      <xdr:row>13</xdr:row>
      <xdr:rowOff>129540</xdr:rowOff>
    </xdr:from>
    <xdr:to>
      <xdr:col>12</xdr:col>
      <xdr:colOff>121920</xdr:colOff>
      <xdr:row>15</xdr:row>
      <xdr:rowOff>137160</xdr:rowOff>
    </xdr:to>
    <xdr:sp macro="" textlink="">
      <xdr:nvSpPr>
        <xdr:cNvPr id="11" name="Rectángulo 10"/>
        <xdr:cNvSpPr/>
      </xdr:nvSpPr>
      <xdr:spPr>
        <a:xfrm>
          <a:off x="2186940" y="30556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Operador se usa en la operacion del camion pluma traslado de puertas</a:t>
          </a:r>
        </a:p>
      </xdr:txBody>
    </xdr:sp>
    <xdr:clientData/>
  </xdr:twoCellAnchor>
  <xdr:twoCellAnchor>
    <xdr:from>
      <xdr:col>2</xdr:col>
      <xdr:colOff>7620</xdr:colOff>
      <xdr:row>6</xdr:row>
      <xdr:rowOff>129540</xdr:rowOff>
    </xdr:from>
    <xdr:to>
      <xdr:col>4</xdr:col>
      <xdr:colOff>53340</xdr:colOff>
      <xdr:row>11</xdr:row>
      <xdr:rowOff>53340</xdr:rowOff>
    </xdr:to>
    <xdr:cxnSp macro="">
      <xdr:nvCxnSpPr>
        <xdr:cNvPr id="12" name="Conector angular 11"/>
        <xdr:cNvCxnSpPr/>
      </xdr:nvCxnSpPr>
      <xdr:spPr>
        <a:xfrm rot="5400000" flipH="1" flipV="1">
          <a:off x="2190750" y="176403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9</xdr:row>
      <xdr:rowOff>152400</xdr:rowOff>
    </xdr:from>
    <xdr:to>
      <xdr:col>6</xdr:col>
      <xdr:colOff>106680</xdr:colOff>
      <xdr:row>11</xdr:row>
      <xdr:rowOff>160020</xdr:rowOff>
    </xdr:to>
    <xdr:sp macro="" textlink="">
      <xdr:nvSpPr>
        <xdr:cNvPr id="14" name="Rectángulo 13"/>
        <xdr:cNvSpPr/>
      </xdr:nvSpPr>
      <xdr:spPr>
        <a:xfrm>
          <a:off x="617220" y="228600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10:21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2" name="Tabla5383940414243" displayName="Tabla5383940414243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0" name="Tabla538394041" displayName="Tabla538394041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1" name="Tabla53839404142" displayName="Tabla53839404142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tabSelected="1" zoomScale="60" zoomScaleNormal="60" workbookViewId="0">
      <selection activeCell="G6" sqref="G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44900</v>
      </c>
      <c r="D3" s="37">
        <v>0.33680555555555558</v>
      </c>
      <c r="E3" s="37">
        <v>0.3611111111111111</v>
      </c>
      <c r="F3" s="37">
        <v>0.3756944444444445</v>
      </c>
      <c r="G3" s="37">
        <v>0.61527777777777781</v>
      </c>
      <c r="H3" s="37">
        <v>0.62152777777777779</v>
      </c>
      <c r="I3" s="37">
        <v>0.64236111111111105</v>
      </c>
      <c r="J3" s="46">
        <v>0.65625</v>
      </c>
      <c r="K3" s="47"/>
      <c r="L3" s="48"/>
      <c r="M3" s="48"/>
      <c r="N3" s="49" t="s">
        <v>15</v>
      </c>
      <c r="O3" s="4">
        <f>Tabla5[[#This Row],[FECHA]]</f>
        <v>44900</v>
      </c>
      <c r="P3" s="7">
        <f>D3</f>
        <v>0.33680555555555558</v>
      </c>
      <c r="Q3" s="7">
        <f>E3-D3</f>
        <v>2.4305555555555525E-2</v>
      </c>
      <c r="R3" s="7">
        <f>F3-E3</f>
        <v>1.4583333333333393E-2</v>
      </c>
      <c r="S3" s="7">
        <f>G3-F3</f>
        <v>0.23958333333333331</v>
      </c>
      <c r="T3" s="7">
        <f>+Tabla5[[#This Row],[ALMUERZO]]-Tabla5[[#This Row],[TERMINO ACT. AM]]</f>
        <v>6.2499999999999778E-3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1.3888888888888951E-2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44901</v>
      </c>
      <c r="D4" s="37">
        <v>0.33680555555555558</v>
      </c>
      <c r="E4" s="37">
        <v>0.36388888888888887</v>
      </c>
      <c r="F4" s="37">
        <v>0.37708333333333338</v>
      </c>
      <c r="G4" s="37">
        <v>0.61111111111111105</v>
      </c>
      <c r="H4" s="37">
        <v>0.62152777777777779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44901</v>
      </c>
      <c r="P4" s="7">
        <f>D4</f>
        <v>0.33680555555555558</v>
      </c>
      <c r="Q4" s="7">
        <f t="shared" ref="Q4:Q7" si="0">E4-D4</f>
        <v>2.7083333333333293E-2</v>
      </c>
      <c r="R4" s="7">
        <f t="shared" ref="R4:R7" si="1">F4-E4</f>
        <v>1.3194444444444509E-2</v>
      </c>
      <c r="S4" s="7">
        <f t="shared" ref="S4:S7" si="2">G4-F4</f>
        <v>0.23402777777777767</v>
      </c>
      <c r="T4" s="7">
        <f>+Tabla5[[#This Row],[ALMUERZO]]-Tabla5[[#This Row],[TERMINO ACT. AM]]</f>
        <v>1.0416666666666741E-2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44902</v>
      </c>
      <c r="D5" s="37">
        <v>0.33333333333333331</v>
      </c>
      <c r="E5" s="37">
        <v>0.36527777777777781</v>
      </c>
      <c r="F5" s="37">
        <v>0.37291666666666662</v>
      </c>
      <c r="G5" s="37">
        <v>0.6118055555555556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Tabla5[[#This Row],[FECHA]]</f>
        <v>44902</v>
      </c>
      <c r="P5" s="7">
        <f>D5</f>
        <v>0.33333333333333331</v>
      </c>
      <c r="Q5" s="7">
        <f t="shared" si="0"/>
        <v>3.1944444444444497E-2</v>
      </c>
      <c r="R5" s="7">
        <f t="shared" si="1"/>
        <v>7.6388888888888062E-3</v>
      </c>
      <c r="S5" s="7">
        <f t="shared" si="2"/>
        <v>0.23888888888888898</v>
      </c>
      <c r="T5" s="7">
        <f>+Tabla5[[#This Row],[ALMUERZO]]-Tabla5[[#This Row],[TERMINO ACT. AM]]</f>
        <v>6.2499999999999778E-3</v>
      </c>
      <c r="U5" s="7">
        <f>+Tabla5[[#This Row],[INICIO ACTIVIDADES PM]]-Tabla5[[#This Row],[ALMUERZO]]</f>
        <v>2.4305555555555469E-2</v>
      </c>
      <c r="V5" s="7">
        <f>+Tabla5[[#This Row],[TERMINO ACTIVIDADES PM]]-Tabla5[[#This Row],[INICIO ACTIVIDADES PM]]</f>
        <v>1.736111111111116E-2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Tabla5[[#This Row],[FECHA]]</f>
        <v>44903</v>
      </c>
      <c r="P6" s="7">
        <f>D6</f>
        <v>0</v>
      </c>
      <c r="Q6" s="7">
        <f t="shared" si="0"/>
        <v>0</v>
      </c>
      <c r="R6" s="7">
        <f t="shared" si="1"/>
        <v>0</v>
      </c>
      <c r="S6" s="7">
        <f t="shared" si="2"/>
        <v>0</v>
      </c>
      <c r="T6" s="7">
        <f>+Tabla5[[#This Row],[ALMUERZO]]-Tabla5[[#This Row],[TERMINO ACT. AM]]</f>
        <v>0</v>
      </c>
      <c r="U6" s="7">
        <f>+Tabla5[[#This Row],[INICIO ACTIVIDADES PM]]-Tabla5[[#This Row],[ALMUERZO]]</f>
        <v>0</v>
      </c>
      <c r="V6" s="7">
        <f>+Tabla5[[#This Row],[TERMINO ACTIVIDADES PM]]-Tabla5[[#This Row],[INICIO ACTIVIDADES PM]]</f>
        <v>0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44904</v>
      </c>
      <c r="D7" s="37">
        <v>0.33680555555555558</v>
      </c>
      <c r="E7" s="37">
        <v>0.36249999999999999</v>
      </c>
      <c r="F7" s="37">
        <v>0.38263888888888892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44904</v>
      </c>
      <c r="P7" s="7">
        <f>D7</f>
        <v>0.33680555555555558</v>
      </c>
      <c r="Q7" s="7">
        <f t="shared" si="0"/>
        <v>2.5694444444444409E-2</v>
      </c>
      <c r="R7" s="7">
        <f t="shared" si="1"/>
        <v>2.0138888888888928E-2</v>
      </c>
      <c r="S7" s="7">
        <f t="shared" si="2"/>
        <v>0.22500000000000003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44905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44906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0.25347222222222227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0.24791666666666629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0.25625000000000014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0.23888888888888887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0.24913194444444442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0.99652777777777768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44900</v>
      </c>
      <c r="D3" s="37">
        <v>0.3125</v>
      </c>
      <c r="E3" s="37">
        <v>0.33333333333333331</v>
      </c>
      <c r="F3" s="37">
        <v>0.34166666666666662</v>
      </c>
      <c r="G3" s="37">
        <v>0.52083333333333337</v>
      </c>
      <c r="H3" s="37">
        <v>0.52569444444444446</v>
      </c>
      <c r="I3" s="37">
        <v>0.55208333333333337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44900</v>
      </c>
      <c r="P3" s="7">
        <f>D3</f>
        <v>0.3125</v>
      </c>
      <c r="Q3" s="7">
        <f>E3-D3</f>
        <v>2.0833333333333315E-2</v>
      </c>
      <c r="R3" s="7">
        <f>F3-E3</f>
        <v>8.3333333333333037E-3</v>
      </c>
      <c r="S3" s="7">
        <f>G3-F3</f>
        <v>0.17916666666666675</v>
      </c>
      <c r="T3" s="7">
        <f>+Tabla5383940414243[[#This Row],[ALMUERZO]]-Tabla5383940414243[[#This Row],[TERMINO ACT. AM]]</f>
        <v>4.8611111111110938E-3</v>
      </c>
      <c r="U3" s="7">
        <f>+Tabla5383940414243[[#This Row],[INICIO ACTIVIDADES PM]]-Tabla5383940414243[[#This Row],[ALMUERZO]]</f>
        <v>2.6388888888888906E-2</v>
      </c>
      <c r="V3" s="7">
        <f>+Tabla5383940414243[[#This Row],[TERMINO ACTIVIDADES PM]]-Tabla5383940414243[[#This Row],[INICIO ACTIVIDADES PM]]</f>
        <v>0.10763888888888884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44901</v>
      </c>
      <c r="D4" s="37">
        <v>0.31458333333333333</v>
      </c>
      <c r="E4" s="37">
        <v>0.3298611111111111</v>
      </c>
      <c r="F4" s="37">
        <v>0.33888888888888885</v>
      </c>
      <c r="G4" s="37">
        <v>0.52083333333333337</v>
      </c>
      <c r="H4" s="37">
        <v>0.52777777777777779</v>
      </c>
      <c r="I4" s="37">
        <v>0.54999999999999993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44901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9.0277777777777457E-3</v>
      </c>
      <c r="S4" s="7">
        <f t="shared" si="0"/>
        <v>0.18194444444444452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2.2222222222222143E-2</v>
      </c>
      <c r="V4" s="7">
        <f>+Tabla5383940414243[[#This Row],[TERMINO ACTIVIDADES PM]]-Tabla5383940414243[[#This Row],[INICIO ACTIVIDADES PM]]</f>
        <v>0.10972222222222228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44902</v>
      </c>
      <c r="D5" s="37">
        <v>0.3125</v>
      </c>
      <c r="E5" s="37">
        <v>0.3298611111111111</v>
      </c>
      <c r="F5" s="37">
        <v>0.34027777777777773</v>
      </c>
      <c r="G5" s="37">
        <v>0.52083333333333337</v>
      </c>
      <c r="H5" s="37">
        <v>0.52777777777777779</v>
      </c>
      <c r="I5" s="37">
        <v>0.55347222222222225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44902</v>
      </c>
      <c r="P5" s="7">
        <f>D5</f>
        <v>0.3125</v>
      </c>
      <c r="Q5" s="7">
        <f t="shared" si="0"/>
        <v>1.7361111111111105E-2</v>
      </c>
      <c r="R5" s="7">
        <f t="shared" si="0"/>
        <v>1.041666666666663E-2</v>
      </c>
      <c r="S5" s="7">
        <f t="shared" si="0"/>
        <v>0.18055555555555564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2.5694444444444464E-2</v>
      </c>
      <c r="V5" s="7">
        <f>+Tabla5383940414243[[#This Row],[TERMINO ACTIVIDADES PM]]-Tabla5383940414243[[#This Row],[INICIO ACTIVIDADES PM]]</f>
        <v>0.10624999999999996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Tabla5383940414243[[#This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+Tabla5383940414243[[#This Row],[ALMUERZO]]-Tabla5383940414243[[#This Row],[TERMINO ACT. AM]]</f>
        <v>0</v>
      </c>
      <c r="U6" s="7">
        <f>+Tabla5383940414243[[#This Row],[INICIO ACTIVIDADES PM]]-Tabla5383940414243[[#This Row],[ALMUERZO]]</f>
        <v>0</v>
      </c>
      <c r="V6" s="7">
        <f>+Tabla5383940414243[[#This Row],[TERMINO ACTIVIDADES PM]]-Tabla5383940414243[[#This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44904</v>
      </c>
      <c r="D7" s="37">
        <v>0.31458333333333333</v>
      </c>
      <c r="E7" s="37">
        <v>0.3298611111111111</v>
      </c>
      <c r="F7" s="37">
        <v>0.34097222222222223</v>
      </c>
      <c r="G7" s="37">
        <v>0.52083333333333337</v>
      </c>
      <c r="H7" s="37">
        <v>0.52430555555555558</v>
      </c>
      <c r="I7" s="37">
        <v>0.55208333333333337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44904</v>
      </c>
      <c r="P7" s="7">
        <f>D7</f>
        <v>0.31458333333333333</v>
      </c>
      <c r="Q7" s="7">
        <f t="shared" si="0"/>
        <v>1.5277777777777779E-2</v>
      </c>
      <c r="R7" s="7">
        <f t="shared" si="0"/>
        <v>1.1111111111111127E-2</v>
      </c>
      <c r="S7" s="7">
        <f t="shared" si="0"/>
        <v>0.17986111111111114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2.777777777777779E-2</v>
      </c>
      <c r="V7" s="7">
        <f>+Tabla5383940414243[[#This Row],[TERMINO ACTIVIDADES PM]]-Tabla5383940414243[[#This Row],[INICIO ACTIVIDADES PM]]</f>
        <v>0.10763888888888884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0.28680555555555559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0.2916666666666668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0.28680555555555559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0.28749999999999998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0.28819444444444453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0.98809523809523836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8" sqref="G8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44900</v>
      </c>
      <c r="D3" s="37">
        <v>0.30902777777777779</v>
      </c>
      <c r="E3" s="37">
        <v>0.33333333333333331</v>
      </c>
      <c r="F3" s="37">
        <v>0.35416666666666669</v>
      </c>
      <c r="G3" s="37">
        <v>0.52916666666666667</v>
      </c>
      <c r="H3" s="37">
        <v>0.54166666666666663</v>
      </c>
      <c r="I3" s="37">
        <v>0.56944444444444442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2.4305555555555525E-2</v>
      </c>
      <c r="R3" s="7">
        <f>F3-E3</f>
        <v>2.083333333333337E-2</v>
      </c>
      <c r="S3" s="7">
        <f>G3-F3</f>
        <v>0.17499999999999999</v>
      </c>
      <c r="T3" s="7">
        <f>+Tabla538394041[[#This Row],[ALMUERZO]]-Tabla538394041[[#This Row],[TERMINO ACT. AM]]</f>
        <v>1.2499999999999956E-2</v>
      </c>
      <c r="U3" s="7">
        <f>+Tabla538394041[[#This Row],[INICIO ACTIVIDADES PM]]-Tabla538394041[[#This Row],[ALMUERZO]]</f>
        <v>2.777777777777779E-2</v>
      </c>
      <c r="V3" s="7">
        <f>+Tabla538394041[[#This Row],[TERMINO ACTIVIDADES PM]]-Tabla538394041[[#This Row],[INICIO ACTIVIDADES PM]]</f>
        <v>8.333333333333337E-2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44901</v>
      </c>
      <c r="D4" s="37">
        <v>0.3125</v>
      </c>
      <c r="E4" s="37">
        <v>0.3263888888888889</v>
      </c>
      <c r="F4" s="37">
        <v>0.35069444444444442</v>
      </c>
      <c r="G4" s="37">
        <v>0.52222222222222225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2.4305555555555525E-2</v>
      </c>
      <c r="S4" s="7">
        <f t="shared" si="1"/>
        <v>0.17152777777777783</v>
      </c>
      <c r="T4" s="7">
        <f>+Tabla538394041[[#This Row],[ALMUERZO]]-Tabla538394041[[#This Row],[TERMINO ACT. AM]]</f>
        <v>9.0277777777777457E-3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44902</v>
      </c>
      <c r="D5" s="37">
        <v>0.3125</v>
      </c>
      <c r="E5" s="37">
        <v>0.34027777777777773</v>
      </c>
      <c r="F5" s="37">
        <v>0.3611111111111111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2.083333333333337E-2</v>
      </c>
      <c r="S5" s="7">
        <f t="shared" si="1"/>
        <v>0.22222222222222227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v>44413</v>
      </c>
      <c r="P6" s="7">
        <f>D6</f>
        <v>0</v>
      </c>
      <c r="Q6" s="7">
        <f t="shared" si="0"/>
        <v>0</v>
      </c>
      <c r="R6" s="7">
        <f t="shared" si="1"/>
        <v>0</v>
      </c>
      <c r="S6" s="7">
        <f t="shared" si="1"/>
        <v>0</v>
      </c>
      <c r="T6" s="7">
        <f>+Tabla538394041[[#This Row],[ALMUERZO]]-Tabla538394041[[#This Row],[TERMINO ACT. AM]]</f>
        <v>0</v>
      </c>
      <c r="U6" s="7">
        <f>+Tabla538394041[[#This Row],[INICIO ACTIVIDADES PM]]-Tabla538394041[[#This Row],[ALMUERZO]]</f>
        <v>0</v>
      </c>
      <c r="V6" s="7">
        <f>+Tabla538394041[[#This Row],[TERMINO ACTIVIDADES PM]]-Tabla538394041[[#This Row],[INICIO ACTIVIDADES PM]]</f>
        <v>0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44904</v>
      </c>
      <c r="D7" s="37">
        <v>0.31597222222222221</v>
      </c>
      <c r="E7" s="37">
        <v>0.33680555555555558</v>
      </c>
      <c r="F7" s="37">
        <v>0.36805555555555558</v>
      </c>
      <c r="G7" s="37">
        <v>0.51527777777777783</v>
      </c>
      <c r="H7" s="37">
        <v>0.53125</v>
      </c>
      <c r="I7" s="37">
        <v>0.55208333333333337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2.083333333333337E-2</v>
      </c>
      <c r="R7" s="7">
        <f t="shared" si="1"/>
        <v>3.125E-2</v>
      </c>
      <c r="S7" s="7">
        <f t="shared" si="1"/>
        <v>0.14722222222222225</v>
      </c>
      <c r="T7" s="7">
        <f>+Tabla538394041[[#This Row],[ALMUERZO]]-Tabla538394041[[#This Row],[TERMINO ACT. AM]]</f>
        <v>1.5972222222222165E-2</v>
      </c>
      <c r="U7" s="7">
        <f>+Tabla538394041[[#This Row],[INICIO ACTIVIDADES PM]]-Tabla538394041[[#This Row],[ALMUERZO]]</f>
        <v>2.083333333333337E-2</v>
      </c>
      <c r="V7" s="7">
        <f>+Tabla538394041[[#This Row],[TERMINO ACTIVIDADES PM]]-Tabla538394041[[#This Row],[INICIO ACTIVIDADES PM]]</f>
        <v>0.10069444444444442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0.25833333333333336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0.27569444444444446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0.2638888888888889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0.24791666666666667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0.26145833333333335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1.0458333333333334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81" t="s">
        <v>105</v>
      </c>
      <c r="J28" s="182" t="s">
        <v>103</v>
      </c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3"/>
      <c r="T30" s="3"/>
    </row>
    <row r="31" spans="1:20" ht="15.6" customHeight="1" x14ac:dyDescent="0.3">
      <c r="I31" s="181"/>
      <c r="J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8" sqref="F8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44900</v>
      </c>
      <c r="D3" s="37">
        <v>0.64583333333333337</v>
      </c>
      <c r="E3" s="37">
        <v>0.67361111111111116</v>
      </c>
      <c r="F3" s="37">
        <v>0.70138888888888884</v>
      </c>
      <c r="G3" s="56">
        <v>0.83333333333333337</v>
      </c>
      <c r="H3" s="37">
        <v>0.83819444444444446</v>
      </c>
      <c r="I3" s="37">
        <v>0.86458333333333337</v>
      </c>
      <c r="J3" s="46">
        <v>0.98611111111111116</v>
      </c>
      <c r="K3" s="47"/>
      <c r="L3" s="53"/>
      <c r="M3" s="53"/>
      <c r="N3" s="57" t="s">
        <v>15</v>
      </c>
      <c r="O3" s="4">
        <f>Tabla53839404142[[#This Row],[FECHA]]</f>
        <v>44900</v>
      </c>
      <c r="P3" s="7">
        <f>D3</f>
        <v>0.64583333333333337</v>
      </c>
      <c r="Q3" s="7">
        <f>E3-D3</f>
        <v>2.777777777777779E-2</v>
      </c>
      <c r="R3" s="7">
        <f>F3-E3</f>
        <v>2.7777777777777679E-2</v>
      </c>
      <c r="S3" s="7">
        <f>G3-F3</f>
        <v>0.13194444444444453</v>
      </c>
      <c r="T3" s="7">
        <f>+Tabla53839404142[[#This Row],[ALMUERZO]]-Tabla53839404142[[#This Row],[TERMINO ACT. AM]]</f>
        <v>4.8611111111110938E-3</v>
      </c>
      <c r="U3" s="7">
        <f>+Tabla53839404142[[#This Row],[INICIO ACTIVIDADES PM]]-Tabla53839404142[[#This Row],[ALMUERZO]]</f>
        <v>2.6388888888888906E-2</v>
      </c>
      <c r="V3" s="7">
        <f>+Tabla53839404142[[#This Row],[TERMINO ACTIVIDADES PM]]-Tabla53839404142[[#This Row],[INICIO ACTIVIDADES PM]]</f>
        <v>0.12152777777777779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44901</v>
      </c>
      <c r="D4" s="37">
        <v>0.64583333333333337</v>
      </c>
      <c r="E4" s="37">
        <v>0.67013888888888884</v>
      </c>
      <c r="F4" s="37">
        <v>0.68402777777777779</v>
      </c>
      <c r="G4" s="56">
        <v>0.8125</v>
      </c>
      <c r="H4" s="37">
        <v>0.82291666666666663</v>
      </c>
      <c r="I4" s="37">
        <v>0.84722222222222221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44901</v>
      </c>
      <c r="P4" s="7">
        <f>D4</f>
        <v>0.64583333333333337</v>
      </c>
      <c r="Q4" s="7">
        <f t="shared" ref="Q4:S7" si="0">E4-D4</f>
        <v>2.4305555555555469E-2</v>
      </c>
      <c r="R4" s="7">
        <f t="shared" si="0"/>
        <v>1.3888888888888951E-2</v>
      </c>
      <c r="S4" s="7">
        <f t="shared" si="0"/>
        <v>0.12847222222222221</v>
      </c>
      <c r="T4" s="7">
        <f>+Tabla53839404142[[#This Row],[ALMUERZO]]-Tabla53839404142[[#This Row],[TERMINO ACT. AM]]</f>
        <v>1.041666666666663E-2</v>
      </c>
      <c r="U4" s="7">
        <f>+Tabla53839404142[[#This Row],[INICIO ACTIVIDADES PM]]-Tabla53839404142[[#This Row],[ALMUERZO]]</f>
        <v>2.430555555555558E-2</v>
      </c>
      <c r="V4" s="7">
        <f>+Tabla53839404142[[#This Row],[TERMINO ACTIVIDADES PM]]-Tabla53839404142[[#This Row],[INICIO ACTIVIDADES PM]]</f>
        <v>0.13888888888888895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44902</v>
      </c>
      <c r="D5" s="37">
        <v>0.64583333333333337</v>
      </c>
      <c r="E5" s="37">
        <v>0.67361111111111116</v>
      </c>
      <c r="F5" s="37">
        <v>0.68958333333333333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44902</v>
      </c>
      <c r="P5" s="7">
        <f>D5</f>
        <v>0.64583333333333337</v>
      </c>
      <c r="Q5" s="7">
        <f t="shared" si="0"/>
        <v>2.777777777777779E-2</v>
      </c>
      <c r="R5" s="7">
        <f t="shared" si="0"/>
        <v>1.5972222222222165E-2</v>
      </c>
      <c r="S5" s="7">
        <f t="shared" si="0"/>
        <v>0.14375000000000004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Tabla53839404142[[#This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+Tabla53839404142[[#This Row],[ALMUERZO]]-Tabla53839404142[[#This Row],[TERMINO ACT. AM]]</f>
        <v>0</v>
      </c>
      <c r="U6" s="7">
        <f>+Tabla53839404142[[#This Row],[INICIO ACTIVIDADES PM]]-Tabla53839404142[[#This Row],[ALMUERZO]]</f>
        <v>0</v>
      </c>
      <c r="V6" s="7">
        <f>+Tabla53839404142[[#This Row],[TERMINO ACTIVIDADES PM]]-Tabla53839404142[[#This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44904</v>
      </c>
      <c r="D7" s="37">
        <v>0.64583333333333337</v>
      </c>
      <c r="E7" s="37">
        <v>0.67013888888888884</v>
      </c>
      <c r="F7" s="37">
        <v>0.69097222222222221</v>
      </c>
      <c r="G7" s="56">
        <v>0.83333333333333337</v>
      </c>
      <c r="H7" s="37">
        <v>0.84375</v>
      </c>
      <c r="I7" s="37">
        <v>0.87152777777777779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44904</v>
      </c>
      <c r="P7" s="7">
        <f>D7</f>
        <v>0.64583333333333337</v>
      </c>
      <c r="Q7" s="7">
        <f t="shared" si="0"/>
        <v>2.4305555555555469E-2</v>
      </c>
      <c r="R7" s="7">
        <f t="shared" si="0"/>
        <v>2.083333333333337E-2</v>
      </c>
      <c r="S7" s="7">
        <f t="shared" si="0"/>
        <v>0.14236111111111116</v>
      </c>
      <c r="T7" s="7">
        <f>+Tabla53839404142[[#This Row],[ALMUERZO]]-Tabla53839404142[[#This Row],[TERMINO ACT. AM]]</f>
        <v>1.041666666666663E-2</v>
      </c>
      <c r="U7" s="7">
        <f>+Tabla53839404142[[#This Row],[INICIO ACTIVIDADES PM]]-Tabla53839404142[[#This Row],[ALMUERZO]]</f>
        <v>2.777777777777779E-2</v>
      </c>
      <c r="V7" s="7">
        <f>+Tabla53839404142[[#This Row],[TERMINO ACTIVIDADES PM]]-Tabla53839404142[[#This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0.25347222222222232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0.26319444444444451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0.25694444444444453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0.2602430555555556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1.0409722222222224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104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4" sqref="F4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44900</v>
      </c>
      <c r="D3" s="37">
        <v>0.33680555555555558</v>
      </c>
      <c r="E3" s="37">
        <v>0.36805555555555558</v>
      </c>
      <c r="F3" s="37">
        <v>0.37916666666666665</v>
      </c>
      <c r="G3" s="46">
        <v>0.60069444444444442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44900</v>
      </c>
      <c r="P3" s="7">
        <f>D3</f>
        <v>0.33680555555555558</v>
      </c>
      <c r="Q3" s="7">
        <f>E3-D3</f>
        <v>3.125E-2</v>
      </c>
      <c r="R3" s="7">
        <f>F3-E3</f>
        <v>1.1111111111111072E-2</v>
      </c>
      <c r="S3" s="7">
        <f>G3-F3</f>
        <v>0.22152777777777777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44901</v>
      </c>
      <c r="D4" s="37">
        <v>0.33680555555555558</v>
      </c>
      <c r="E4" s="37">
        <v>0.35069444444444442</v>
      </c>
      <c r="F4" s="37">
        <v>0.37013888888888885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44901</v>
      </c>
      <c r="P4" s="7">
        <f>D4</f>
        <v>0.33680555555555558</v>
      </c>
      <c r="Q4" s="7">
        <f t="shared" ref="Q4:S7" si="0">E4-D4</f>
        <v>1.388888888888884E-2</v>
      </c>
      <c r="R4" s="7">
        <f t="shared" si="0"/>
        <v>1.9444444444444431E-2</v>
      </c>
      <c r="S4" s="7">
        <f t="shared" si="0"/>
        <v>0.23402777777777778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44902</v>
      </c>
      <c r="D5" s="37">
        <v>0.33680555555555558</v>
      </c>
      <c r="E5" s="37">
        <v>0.36458333333333331</v>
      </c>
      <c r="F5" s="37">
        <v>0.37708333333333338</v>
      </c>
      <c r="G5" s="46">
        <v>0.61249999999999993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44902</v>
      </c>
      <c r="P5" s="7">
        <f>D5</f>
        <v>0.33680555555555558</v>
      </c>
      <c r="Q5" s="7">
        <f t="shared" si="0"/>
        <v>2.7777777777777735E-2</v>
      </c>
      <c r="R5" s="7">
        <f t="shared" si="0"/>
        <v>1.2500000000000067E-2</v>
      </c>
      <c r="S5" s="7">
        <f t="shared" si="0"/>
        <v>0.23541666666666655</v>
      </c>
      <c r="T5" s="7">
        <f>+Tabla538394041424344[[#This Row],[ALMUERZO]]-Tabla538394041424344[[#This Row],[TERMINO ACT. AM]]</f>
        <v>1.2500000000000067E-2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44903</v>
      </c>
      <c r="D6" s="37"/>
      <c r="E6" s="37"/>
      <c r="F6" s="37"/>
      <c r="G6" s="46"/>
      <c r="H6" s="37"/>
      <c r="I6" s="46"/>
      <c r="J6" s="46"/>
      <c r="K6" s="47" t="s">
        <v>130</v>
      </c>
      <c r="M6" s="5"/>
      <c r="N6" s="5" t="s">
        <v>17</v>
      </c>
      <c r="O6" s="4">
        <f>Tabla538394041424344[[#This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+Tabla538394041424344[[#This Row],[ALMUERZO]]-Tabla538394041424344[[#This Row],[TERMINO ACT. AM]]</f>
        <v>0</v>
      </c>
      <c r="U6" s="7">
        <f>+Tabla538394041424344[[#This Row],[INICIO ACTIVIDADES PM]]-Tabla538394041424344[[#This Row],[ALMUERZO]]</f>
        <v>0</v>
      </c>
      <c r="V6" s="7">
        <f>+Tabla538394041424344[[#This Row],[TERMINO ACTIVIDADES PM]]-Tabla538394041424344[[#This Row],[INICIO ACTIVIDADES PM]]</f>
        <v>0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44904</v>
      </c>
      <c r="D7" s="37">
        <v>0.33680555555555558</v>
      </c>
      <c r="E7" s="37">
        <v>0.3611111111111111</v>
      </c>
      <c r="F7" s="37">
        <v>0.38194444444444442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44904</v>
      </c>
      <c r="P7" s="7">
        <f>D7</f>
        <v>0.33680555555555558</v>
      </c>
      <c r="Q7" s="7">
        <f t="shared" si="0"/>
        <v>2.4305555555555525E-2</v>
      </c>
      <c r="R7" s="7">
        <f t="shared" si="0"/>
        <v>2.0833333333333315E-2</v>
      </c>
      <c r="S7" s="7">
        <f t="shared" si="0"/>
        <v>0.21180555555555558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0.24583333333333335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0.25833333333333336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0.24930555555555539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0.24305555555555558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0.24913194444444442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0.99652777777777768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44900</v>
      </c>
      <c r="D3" s="37">
        <v>0.3125</v>
      </c>
      <c r="E3" s="37">
        <v>0.3298611111111111</v>
      </c>
      <c r="F3" s="37">
        <v>0.35416666666666669</v>
      </c>
      <c r="G3" s="37">
        <v>0.58333333333333337</v>
      </c>
      <c r="H3" s="37">
        <v>0.59027777777777779</v>
      </c>
      <c r="I3" s="37">
        <v>0.61458333333333337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44900</v>
      </c>
      <c r="P3" s="7">
        <f>D3</f>
        <v>0.3125</v>
      </c>
      <c r="Q3" s="7">
        <f>E3-D3</f>
        <v>1.7361111111111105E-2</v>
      </c>
      <c r="R3" s="7">
        <f>F3-E3</f>
        <v>2.430555555555558E-2</v>
      </c>
      <c r="S3" s="7">
        <f>G3-F3</f>
        <v>0.22916666666666669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4.166666666666663E-2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44901</v>
      </c>
      <c r="D4" s="37">
        <v>0.31597222222222221</v>
      </c>
      <c r="E4" s="37">
        <v>0.33333333333333331</v>
      </c>
      <c r="F4" s="37">
        <v>0.35902777777777778</v>
      </c>
      <c r="G4" s="37">
        <v>0.52430555555555558</v>
      </c>
      <c r="H4" s="37">
        <v>0.53472222222222221</v>
      </c>
      <c r="I4" s="37">
        <v>0.5625</v>
      </c>
      <c r="J4" s="46">
        <v>0.65625</v>
      </c>
      <c r="K4" s="47"/>
      <c r="M4" s="5"/>
      <c r="N4" s="5" t="s">
        <v>16</v>
      </c>
      <c r="O4" s="4">
        <f>Tabla5383940414243444546[[#This Row],[FECHA]]</f>
        <v>44901</v>
      </c>
      <c r="P4" s="7">
        <f>D4</f>
        <v>0.31597222222222221</v>
      </c>
      <c r="Q4" s="7">
        <f t="shared" ref="Q4:S7" si="0">E4-D4</f>
        <v>1.7361111111111105E-2</v>
      </c>
      <c r="R4" s="7">
        <f t="shared" si="0"/>
        <v>2.5694444444444464E-2</v>
      </c>
      <c r="S4" s="7">
        <f t="shared" si="0"/>
        <v>0.1652777777777778</v>
      </c>
      <c r="T4" s="7">
        <f>+Tabla5383940414243444546[[#This Row],[ALMUERZO]]-Tabla5383940414243444546[[#This Row],[TERMINO ACT. AM]]</f>
        <v>1.041666666666663E-2</v>
      </c>
      <c r="U4" s="7">
        <f>+Tabla5383940414243444546[[#This Row],[INICIO ACTIVIDADES PM]]-Tabla5383940414243444546[[#This Row],[ALMUERZO]]</f>
        <v>2.777777777777779E-2</v>
      </c>
      <c r="V4" s="7">
        <f>+Tabla5383940414243444546[[#This Row],[TERMINO ACTIVIDADES PM]]-Tabla5383940414243444546[[#This Row],[INICIO ACTIVIDADES PM]]</f>
        <v>9.375E-2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44902</v>
      </c>
      <c r="D5" s="37">
        <v>0.30902777777777779</v>
      </c>
      <c r="E5" s="37">
        <v>0.3263888888888889</v>
      </c>
      <c r="F5" s="37">
        <v>0.3527777777777778</v>
      </c>
      <c r="G5" s="37">
        <v>0.56597222222222221</v>
      </c>
      <c r="H5" s="37">
        <v>0.57291666666666663</v>
      </c>
      <c r="I5" s="37">
        <v>0.60069444444444442</v>
      </c>
      <c r="J5" s="46">
        <v>0.65625</v>
      </c>
      <c r="K5" s="47"/>
      <c r="M5" s="5"/>
      <c r="N5" s="5" t="s">
        <v>16</v>
      </c>
      <c r="O5" s="4">
        <f>Tabla5383940414243444546[[#This Row],[FECHA]]</f>
        <v>44902</v>
      </c>
      <c r="P5" s="7">
        <f>D5</f>
        <v>0.30902777777777779</v>
      </c>
      <c r="Q5" s="7">
        <f t="shared" si="0"/>
        <v>1.7361111111111105E-2</v>
      </c>
      <c r="R5" s="7">
        <f t="shared" si="0"/>
        <v>2.6388888888888906E-2</v>
      </c>
      <c r="S5" s="7">
        <f t="shared" si="0"/>
        <v>0.21319444444444441</v>
      </c>
      <c r="T5" s="7">
        <f>+Tabla5383940414243444546[[#This Row],[ALMUERZO]]-Tabla5383940414243444546[[#This Row],[TERMINO ACT. AM]]</f>
        <v>6.9444444444444198E-3</v>
      </c>
      <c r="U5" s="7">
        <f>+Tabla5383940414243444546[[#This Row],[INICIO ACTIVIDADES PM]]-Tabla5383940414243444546[[#This Row],[ALMUERZO]]</f>
        <v>2.777777777777779E-2</v>
      </c>
      <c r="V5" s="7">
        <f>+Tabla5383940414243444546[[#This Row],[TERMINO ACTIVIDADES PM]]-Tabla5383940414243444546[[#This Row],[INICIO ACTIVIDADES PM]]</f>
        <v>5.555555555555558E-2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Tabla5383940414243444546[[#This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+Tabla5383940414243444546[[#This Row],[ALMUERZO]]-Tabla5383940414243444546[[#This Row],[TERMINO ACT. AM]]</f>
        <v>0</v>
      </c>
      <c r="U6" s="7">
        <f>+Tabla5383940414243444546[[#This Row],[INICIO ACTIVIDADES PM]]-Tabla5383940414243444546[[#This Row],[ALMUERZO]]</f>
        <v>0</v>
      </c>
      <c r="V6" s="7">
        <f>+Tabla5383940414243444546[[#This Row],[TERMINO ACTIVIDADES PM]]-Tabla5383940414243444546[[#This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44904</v>
      </c>
      <c r="D7" s="37">
        <v>0.31111111111111112</v>
      </c>
      <c r="E7" s="37">
        <v>0.32361111111111113</v>
      </c>
      <c r="F7" s="37">
        <v>0.3520833333333333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44904</v>
      </c>
      <c r="P7" s="7">
        <f>D7</f>
        <v>0.31111111111111112</v>
      </c>
      <c r="Q7" s="7">
        <f t="shared" si="0"/>
        <v>1.2500000000000011E-2</v>
      </c>
      <c r="R7" s="7">
        <f t="shared" si="0"/>
        <v>2.8472222222222177E-2</v>
      </c>
      <c r="S7" s="7">
        <f t="shared" si="0"/>
        <v>0.19305555555555565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0.27083333333333331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0.2590277777777778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0.26874999999999999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0.27638888888888891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0.26875000000000004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1.0750000000000002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'TTE 7'!G21</f>
        <v>0.24913194444444442</v>
      </c>
      <c r="D2" s="69">
        <f t="shared" ref="D2:D9" si="0">+C2/$C$17</f>
        <v>0.99652777777777768</v>
      </c>
      <c r="F2" s="79"/>
    </row>
    <row r="3" spans="2:16" x14ac:dyDescent="0.3">
      <c r="B3" s="72" t="s">
        <v>56</v>
      </c>
      <c r="C3" s="73">
        <f>+'SUB 6'!G21</f>
        <v>0.24513888888888888</v>
      </c>
      <c r="D3" s="69">
        <f t="shared" si="0"/>
        <v>0.98055555555555551</v>
      </c>
      <c r="F3" s="79"/>
    </row>
    <row r="4" spans="2:16" x14ac:dyDescent="0.3">
      <c r="B4" s="72" t="s">
        <v>55</v>
      </c>
      <c r="C4" s="73">
        <f>+'SUB 5'!G21</f>
        <v>0.24708333333333327</v>
      </c>
      <c r="D4" s="69">
        <f t="shared" si="0"/>
        <v>0.98833333333333306</v>
      </c>
      <c r="F4" s="79"/>
    </row>
    <row r="5" spans="2:16" x14ac:dyDescent="0.3">
      <c r="B5" s="72" t="s">
        <v>54</v>
      </c>
      <c r="C5" s="73">
        <f>+'TTE 6 '!G21</f>
        <v>0.24913194444444442</v>
      </c>
      <c r="D5" s="69">
        <f t="shared" si="0"/>
        <v>0.99652777777777768</v>
      </c>
      <c r="F5" s="79"/>
    </row>
    <row r="6" spans="2:16" x14ac:dyDescent="0.3">
      <c r="B6" s="72" t="s">
        <v>58</v>
      </c>
      <c r="C6" s="73">
        <f>+DIABLO!G21</f>
        <v>0.24565972222222213</v>
      </c>
      <c r="D6" s="69">
        <f t="shared" si="0"/>
        <v>0.98263888888888851</v>
      </c>
      <c r="F6" s="79"/>
    </row>
    <row r="7" spans="2:16" x14ac:dyDescent="0.3">
      <c r="B7" s="72" t="s">
        <v>57</v>
      </c>
      <c r="C7" s="73">
        <f>+'PIPA N'!G21</f>
        <v>0.24565972222222221</v>
      </c>
      <c r="D7" s="69">
        <f t="shared" si="0"/>
        <v>0.98263888888888884</v>
      </c>
      <c r="F7" s="79"/>
    </row>
    <row r="8" spans="2:16" x14ac:dyDescent="0.3">
      <c r="B8" s="72" t="s">
        <v>66</v>
      </c>
      <c r="C8" s="73">
        <f>+'CH colon'!G21</f>
        <v>0.26875000000000004</v>
      </c>
      <c r="D8" s="69">
        <f t="shared" si="0"/>
        <v>1.0750000000000002</v>
      </c>
      <c r="F8" s="79"/>
    </row>
    <row r="9" spans="2:16" x14ac:dyDescent="0.3">
      <c r="B9" s="74" t="s">
        <v>92</v>
      </c>
      <c r="C9" s="73">
        <f>+Salvataje!G21</f>
        <v>0.25399305555555546</v>
      </c>
      <c r="D9" s="69">
        <f t="shared" si="0"/>
        <v>1.0159722222222218</v>
      </c>
      <c r="F9" s="79"/>
    </row>
    <row r="10" spans="2:16" x14ac:dyDescent="0.3">
      <c r="B10" s="72" t="s">
        <v>64</v>
      </c>
      <c r="C10" s="73">
        <f>+'La junta'!G21</f>
        <v>0.28819444444444453</v>
      </c>
      <c r="D10" s="69">
        <f>+C10/$C$19</f>
        <v>0.98809523809523836</v>
      </c>
      <c r="F10" s="79"/>
    </row>
    <row r="11" spans="2:16" x14ac:dyDescent="0.3">
      <c r="B11" s="72" t="s">
        <v>62</v>
      </c>
      <c r="C11" s="73">
        <f>+AC!G21</f>
        <v>0.26145833333333335</v>
      </c>
      <c r="D11" s="69">
        <f>+C11/$C$17</f>
        <v>1.0458333333333334</v>
      </c>
      <c r="F11" s="79"/>
      <c r="P11" s="80"/>
    </row>
    <row r="12" spans="2:16" x14ac:dyDescent="0.3">
      <c r="B12" s="72" t="s">
        <v>63</v>
      </c>
      <c r="C12" s="73">
        <f>+Colec!G21</f>
        <v>0.2602430555555556</v>
      </c>
      <c r="D12" s="69">
        <f>+C12/$C$17</f>
        <v>1.0409722222222224</v>
      </c>
      <c r="F12" s="79"/>
    </row>
    <row r="13" spans="2:16" x14ac:dyDescent="0.3">
      <c r="B13" s="72" t="s">
        <v>61</v>
      </c>
      <c r="C13" s="73">
        <f>+'P M'!G21</f>
        <v>0.2482638888888889</v>
      </c>
      <c r="D13" s="69">
        <f>+C13/$C$17</f>
        <v>0.99305555555555558</v>
      </c>
      <c r="F13" s="79"/>
    </row>
    <row r="14" spans="2:16" x14ac:dyDescent="0.3">
      <c r="B14" s="72" t="s">
        <v>60</v>
      </c>
      <c r="C14" s="73">
        <f>+'Vent '!G21</f>
        <v>0.24947916666666659</v>
      </c>
      <c r="D14" s="69">
        <f>+C14/$C$17</f>
        <v>0.99791666666666634</v>
      </c>
      <c r="F14" s="79"/>
    </row>
    <row r="15" spans="2:16" x14ac:dyDescent="0.3">
      <c r="B15" s="72" t="s">
        <v>59</v>
      </c>
      <c r="C15" s="73">
        <f>+ACCU!G21</f>
        <v>0.44111111111111095</v>
      </c>
      <c r="D15" s="69">
        <f>+C15/$C$18</f>
        <v>1.0413114754098358</v>
      </c>
      <c r="F15" s="79"/>
    </row>
    <row r="16" spans="2:16" x14ac:dyDescent="0.3">
      <c r="B16" s="72" t="s">
        <v>51</v>
      </c>
      <c r="C16" s="73">
        <f>AVERAGE(C2:C15)</f>
        <v>0.26809275793650794</v>
      </c>
    </row>
    <row r="17" spans="2:4" x14ac:dyDescent="0.3">
      <c r="B17" s="72" t="s">
        <v>52</v>
      </c>
      <c r="C17" s="73">
        <v>0.25</v>
      </c>
      <c r="D17" s="55">
        <f>+AVERAGE(D2:D16)</f>
        <v>1.0089556382662355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I11" sqref="I11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202">
        <f>+'TTE 6 '!C3</f>
        <v>44900</v>
      </c>
      <c r="C4" s="203"/>
      <c r="D4" s="203"/>
      <c r="E4" s="193">
        <f>+'TTE 6 '!C4</f>
        <v>44901</v>
      </c>
      <c r="F4" s="194"/>
      <c r="G4" s="194"/>
      <c r="H4" s="195">
        <f>+'TTE 6 '!C5</f>
        <v>44902</v>
      </c>
      <c r="I4" s="196"/>
      <c r="J4" s="197"/>
      <c r="K4" s="193">
        <f>+'TTE 6 '!C6</f>
        <v>44903</v>
      </c>
      <c r="L4" s="194"/>
      <c r="M4" s="194"/>
      <c r="N4" s="195">
        <f>+'TTE 6 '!C7</f>
        <v>44904</v>
      </c>
      <c r="O4" s="196"/>
      <c r="P4" s="197"/>
      <c r="Q4" s="193">
        <f>+'TTE 6 '!C8</f>
        <v>44905</v>
      </c>
      <c r="R4" s="194"/>
      <c r="S4" s="194"/>
      <c r="T4" s="195">
        <f>+'TTE 6 '!C9</f>
        <v>44906</v>
      </c>
      <c r="U4" s="196"/>
      <c r="V4" s="198"/>
      <c r="W4" s="199" t="s">
        <v>107</v>
      </c>
      <c r="X4" s="200"/>
      <c r="Y4" s="201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5" t="s">
        <v>110</v>
      </c>
      <c r="C6" s="186"/>
      <c r="D6" s="187"/>
      <c r="E6" s="185" t="s">
        <v>110</v>
      </c>
      <c r="F6" s="186"/>
      <c r="G6" s="187"/>
      <c r="H6" s="185" t="s">
        <v>110</v>
      </c>
      <c r="I6" s="186"/>
      <c r="J6" s="187"/>
      <c r="K6" s="185" t="s">
        <v>110</v>
      </c>
      <c r="L6" s="186"/>
      <c r="M6" s="187"/>
      <c r="N6" s="185" t="s">
        <v>110</v>
      </c>
      <c r="O6" s="186"/>
      <c r="P6" s="187"/>
      <c r="Q6" s="185" t="s">
        <v>110</v>
      </c>
      <c r="R6" s="186"/>
      <c r="S6" s="187"/>
      <c r="T6" s="185" t="s">
        <v>110</v>
      </c>
      <c r="U6" s="186"/>
      <c r="V6" s="186"/>
      <c r="W6" s="188" t="s">
        <v>110</v>
      </c>
      <c r="X6" s="186"/>
      <c r="Y6" s="192"/>
    </row>
    <row r="7" spans="1:25" x14ac:dyDescent="0.3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0.26944444444444449</v>
      </c>
      <c r="Y7" s="104" t="str">
        <f>IFERROR(AVERAGE(D7,G7,J7,M7,P7,S7,V7),"")</f>
        <v/>
      </c>
    </row>
    <row r="8" spans="1:25" x14ac:dyDescent="0.3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0.52777777777777779</v>
      </c>
      <c r="Y8" s="107" t="str">
        <f t="shared" si="0"/>
        <v/>
      </c>
    </row>
    <row r="9" spans="1:25" ht="16.2" thickBot="1" x14ac:dyDescent="0.35">
      <c r="A9" s="109" t="s">
        <v>113</v>
      </c>
      <c r="B9" s="127"/>
      <c r="C9" s="119">
        <f>+'TTE 7'!G16</f>
        <v>0.24583333333333335</v>
      </c>
      <c r="D9" s="119"/>
      <c r="E9" s="110"/>
      <c r="F9" s="139">
        <f>+'TTE 7'!G17</f>
        <v>0.25833333333333336</v>
      </c>
      <c r="G9" s="139"/>
      <c r="H9" s="110"/>
      <c r="I9" s="139">
        <f>+'TTE 7'!G18</f>
        <v>0.24930555555555539</v>
      </c>
      <c r="J9" s="139"/>
      <c r="K9" s="110"/>
      <c r="L9" s="139">
        <f>+'TTE 7'!G19</f>
        <v>0</v>
      </c>
      <c r="M9" s="139"/>
      <c r="N9" s="110"/>
      <c r="O9" s="139">
        <f>+'TTE 7'!G20</f>
        <v>0.24305555555555558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0.19930555555555554</v>
      </c>
      <c r="Y9" s="115" t="str">
        <f t="shared" si="0"/>
        <v/>
      </c>
    </row>
    <row r="10" spans="1:25" ht="16.2" thickBot="1" x14ac:dyDescent="0.35">
      <c r="A10" s="95" t="s">
        <v>114</v>
      </c>
      <c r="B10" s="189" t="s">
        <v>110</v>
      </c>
      <c r="C10" s="190"/>
      <c r="D10" s="191"/>
      <c r="E10" s="185" t="s">
        <v>110</v>
      </c>
      <c r="F10" s="186"/>
      <c r="G10" s="187"/>
      <c r="H10" s="185" t="s">
        <v>110</v>
      </c>
      <c r="I10" s="186"/>
      <c r="J10" s="187"/>
      <c r="K10" s="185" t="s">
        <v>110</v>
      </c>
      <c r="L10" s="186"/>
      <c r="M10" s="187"/>
      <c r="N10" s="185" t="s">
        <v>110</v>
      </c>
      <c r="O10" s="186"/>
      <c r="P10" s="187"/>
      <c r="Q10" s="185" t="s">
        <v>110</v>
      </c>
      <c r="R10" s="186"/>
      <c r="S10" s="187"/>
      <c r="T10" s="185" t="s">
        <v>110</v>
      </c>
      <c r="U10" s="186"/>
      <c r="V10" s="186"/>
      <c r="W10" s="188" t="s">
        <v>110</v>
      </c>
      <c r="X10" s="186"/>
      <c r="Y10" s="192"/>
    </row>
    <row r="11" spans="1:25" x14ac:dyDescent="0.3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0.53888888888888897</v>
      </c>
    </row>
    <row r="12" spans="1:25" x14ac:dyDescent="0.3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</v>
      </c>
      <c r="N12" s="97"/>
      <c r="O12" s="98"/>
      <c r="P12" s="98">
        <f>+'SUB 6'!J7</f>
        <v>0.99305555555555547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0.7944444444444444</v>
      </c>
    </row>
    <row r="13" spans="1:25" ht="16.2" thickBot="1" x14ac:dyDescent="0.35">
      <c r="A13" s="109" t="s">
        <v>113</v>
      </c>
      <c r="B13" s="127"/>
      <c r="C13" s="118"/>
      <c r="D13" s="118">
        <f>+'SUB 6'!G16</f>
        <v>0.25138888888888899</v>
      </c>
      <c r="E13" s="110"/>
      <c r="F13" s="98"/>
      <c r="G13" s="98">
        <f>+'SUB 6'!G17</f>
        <v>0.24375000000000002</v>
      </c>
      <c r="H13" s="110"/>
      <c r="I13" s="98"/>
      <c r="J13" s="98">
        <f>+'SUB 6'!G18</f>
        <v>0.24305555555555558</v>
      </c>
      <c r="K13" s="110"/>
      <c r="L13" s="98"/>
      <c r="M13" s="98">
        <f>+'SUB 6'!G19</f>
        <v>0</v>
      </c>
      <c r="N13" s="110"/>
      <c r="O13" s="98"/>
      <c r="P13" s="98">
        <f>+'SUB 6'!G20</f>
        <v>0.24236111111111092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0.1961111111111111</v>
      </c>
    </row>
    <row r="14" spans="1:25" ht="16.2" thickBot="1" x14ac:dyDescent="0.35">
      <c r="A14" s="95" t="s">
        <v>115</v>
      </c>
      <c r="B14" s="189" t="s">
        <v>110</v>
      </c>
      <c r="C14" s="190"/>
      <c r="D14" s="191"/>
      <c r="E14" s="185" t="s">
        <v>110</v>
      </c>
      <c r="F14" s="186"/>
      <c r="G14" s="187"/>
      <c r="H14" s="185" t="s">
        <v>110</v>
      </c>
      <c r="I14" s="186"/>
      <c r="J14" s="187"/>
      <c r="K14" s="185" t="s">
        <v>110</v>
      </c>
      <c r="L14" s="186"/>
      <c r="M14" s="187"/>
      <c r="N14" s="185" t="s">
        <v>110</v>
      </c>
      <c r="O14" s="186"/>
      <c r="P14" s="187"/>
      <c r="Q14" s="185" t="s">
        <v>110</v>
      </c>
      <c r="R14" s="186"/>
      <c r="S14" s="187"/>
      <c r="T14" s="185" t="s">
        <v>110</v>
      </c>
      <c r="U14" s="186"/>
      <c r="V14" s="186"/>
      <c r="W14" s="188" t="s">
        <v>110</v>
      </c>
      <c r="X14" s="186"/>
      <c r="Y14" s="192"/>
    </row>
    <row r="15" spans="1:25" x14ac:dyDescent="0.3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0.33888888888888885</v>
      </c>
      <c r="G15" s="118"/>
      <c r="H15" s="117"/>
      <c r="I15" s="118">
        <f>+'SUB 5'!D5</f>
        <v>0.34027777777777773</v>
      </c>
      <c r="J15" s="118"/>
      <c r="K15" s="117"/>
      <c r="L15" s="118">
        <f>+'SUB 5'!D6</f>
        <v>0.34375</v>
      </c>
      <c r="M15" s="118"/>
      <c r="N15" s="117"/>
      <c r="O15" s="118">
        <f>+'SUB 5'!D7</f>
        <v>0.34375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0.34138888888888885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0.66319444444444442</v>
      </c>
      <c r="D16" s="119"/>
      <c r="E16" s="117"/>
      <c r="F16" s="118">
        <f>+'SUB 5'!J4</f>
        <v>0.66319444444444442</v>
      </c>
      <c r="G16" s="118"/>
      <c r="H16" s="117"/>
      <c r="I16" s="118">
        <f>+'SUB 5'!J5</f>
        <v>0.66319444444444442</v>
      </c>
      <c r="J16" s="118"/>
      <c r="K16" s="117"/>
      <c r="L16" s="118">
        <f>+'SUB 5'!J6</f>
        <v>0.66319444444444442</v>
      </c>
      <c r="M16" s="118"/>
      <c r="N16" s="117"/>
      <c r="O16" s="118">
        <f>+'SUB 5'!J7</f>
        <v>0.66319444444444442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0.66319444444444442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0.25138888888888872</v>
      </c>
      <c r="D17" s="119"/>
      <c r="E17" s="127"/>
      <c r="F17" s="118">
        <f>+'SUB 5'!G17</f>
        <v>0.24305555555555558</v>
      </c>
      <c r="G17" s="118"/>
      <c r="H17" s="127"/>
      <c r="I17" s="118">
        <f>+'SUB 5'!G18</f>
        <v>0.24861111111111106</v>
      </c>
      <c r="J17" s="118"/>
      <c r="K17" s="127"/>
      <c r="L17" s="118">
        <f>+'SUB 5'!G19</f>
        <v>0.24791666666666656</v>
      </c>
      <c r="M17" s="118"/>
      <c r="N17" s="127"/>
      <c r="O17" s="118">
        <f>+'SUB 5'!G20</f>
        <v>0.24444444444444446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0.24708333333333327</v>
      </c>
      <c r="Y17" s="150" t="str">
        <f t="shared" si="2"/>
        <v/>
      </c>
    </row>
    <row r="18" spans="1:25" ht="16.2" thickBot="1" x14ac:dyDescent="0.35">
      <c r="A18" s="95" t="s">
        <v>116</v>
      </c>
      <c r="B18" s="189" t="s">
        <v>110</v>
      </c>
      <c r="C18" s="190"/>
      <c r="D18" s="191"/>
      <c r="E18" s="185" t="s">
        <v>110</v>
      </c>
      <c r="F18" s="186"/>
      <c r="G18" s="187"/>
      <c r="H18" s="185" t="s">
        <v>110</v>
      </c>
      <c r="I18" s="186"/>
      <c r="J18" s="187"/>
      <c r="K18" s="185" t="s">
        <v>110</v>
      </c>
      <c r="L18" s="186"/>
      <c r="M18" s="187"/>
      <c r="N18" s="185" t="s">
        <v>110</v>
      </c>
      <c r="O18" s="186"/>
      <c r="P18" s="187"/>
      <c r="Q18" s="185" t="s">
        <v>110</v>
      </c>
      <c r="R18" s="186"/>
      <c r="S18" s="187"/>
      <c r="T18" s="185" t="s">
        <v>110</v>
      </c>
      <c r="U18" s="186"/>
      <c r="V18" s="186"/>
      <c r="W18" s="188" t="s">
        <v>110</v>
      </c>
      <c r="X18" s="186"/>
      <c r="Y18" s="192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0.33333333333333331</v>
      </c>
      <c r="J19" s="101"/>
      <c r="K19" s="97"/>
      <c r="L19" s="98">
        <f>+'TTE 6 '!D6</f>
        <v>0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0.26874999999999999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0.65625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0.52708333333333335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0.25347222222222227</v>
      </c>
      <c r="D21" s="130"/>
      <c r="E21" s="110"/>
      <c r="F21" s="98">
        <f>+'TTE 6 '!G17</f>
        <v>0.24791666666666629</v>
      </c>
      <c r="G21" s="112"/>
      <c r="H21" s="110"/>
      <c r="I21" s="98">
        <f>+'TTE 6 '!G18</f>
        <v>0.25625000000000014</v>
      </c>
      <c r="J21" s="112"/>
      <c r="K21" s="110"/>
      <c r="L21" s="98">
        <f>+'TTE 6 '!G19</f>
        <v>0</v>
      </c>
      <c r="M21" s="112"/>
      <c r="N21" s="110"/>
      <c r="O21" s="98">
        <f>+'TTE 6 '!G20</f>
        <v>0.23888888888888887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0.19930555555555554</v>
      </c>
      <c r="Y21" s="116" t="str">
        <f t="shared" si="3"/>
        <v/>
      </c>
    </row>
    <row r="22" spans="1:25" ht="16.2" thickBot="1" x14ac:dyDescent="0.35">
      <c r="A22" s="95" t="s">
        <v>117</v>
      </c>
      <c r="B22" s="189" t="s">
        <v>110</v>
      </c>
      <c r="C22" s="190"/>
      <c r="D22" s="191"/>
      <c r="E22" s="185" t="s">
        <v>110</v>
      </c>
      <c r="F22" s="186"/>
      <c r="G22" s="187"/>
      <c r="H22" s="185" t="s">
        <v>110</v>
      </c>
      <c r="I22" s="186"/>
      <c r="J22" s="187"/>
      <c r="K22" s="185" t="s">
        <v>110</v>
      </c>
      <c r="L22" s="186"/>
      <c r="M22" s="187"/>
      <c r="N22" s="185" t="s">
        <v>110</v>
      </c>
      <c r="O22" s="186"/>
      <c r="P22" s="187"/>
      <c r="Q22" s="185" t="s">
        <v>110</v>
      </c>
      <c r="R22" s="186"/>
      <c r="S22" s="187"/>
      <c r="T22" s="185" t="s">
        <v>110</v>
      </c>
      <c r="U22" s="186"/>
      <c r="V22" s="186"/>
      <c r="W22" s="188" t="s">
        <v>110</v>
      </c>
      <c r="X22" s="186"/>
      <c r="Y22" s="192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0.53888888888888897</v>
      </c>
    </row>
    <row r="24" spans="1:25" x14ac:dyDescent="0.3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0.7944444444444444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0.24999999999999989</v>
      </c>
      <c r="E25" s="110"/>
      <c r="F25" s="98"/>
      <c r="G25" s="98">
        <f>+DIABLO!G17</f>
        <v>0.24722222222222212</v>
      </c>
      <c r="H25" s="110"/>
      <c r="I25" s="98"/>
      <c r="J25" s="98">
        <f>+DIABLO!G18</f>
        <v>0.23819444444444438</v>
      </c>
      <c r="K25" s="110"/>
      <c r="L25" s="98"/>
      <c r="M25" s="98">
        <f>+DIABLO!G19</f>
        <v>0</v>
      </c>
      <c r="N25" s="110"/>
      <c r="O25" s="98"/>
      <c r="P25" s="98">
        <f>+DIABLO!G20</f>
        <v>0.24722222222222212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0.19652777777777769</v>
      </c>
    </row>
    <row r="26" spans="1:25" ht="16.2" thickBot="1" x14ac:dyDescent="0.35">
      <c r="A26" s="95" t="s">
        <v>118</v>
      </c>
      <c r="B26" s="189" t="s">
        <v>110</v>
      </c>
      <c r="C26" s="190"/>
      <c r="D26" s="191"/>
      <c r="E26" s="185" t="s">
        <v>110</v>
      </c>
      <c r="F26" s="186"/>
      <c r="G26" s="187"/>
      <c r="H26" s="185" t="s">
        <v>110</v>
      </c>
      <c r="I26" s="186"/>
      <c r="J26" s="187"/>
      <c r="K26" s="185" t="s">
        <v>110</v>
      </c>
      <c r="L26" s="186"/>
      <c r="M26" s="187"/>
      <c r="N26" s="185" t="s">
        <v>110</v>
      </c>
      <c r="O26" s="186"/>
      <c r="P26" s="187"/>
      <c r="Q26" s="185" t="s">
        <v>110</v>
      </c>
      <c r="R26" s="186"/>
      <c r="S26" s="187"/>
      <c r="T26" s="185" t="s">
        <v>110</v>
      </c>
      <c r="U26" s="186"/>
      <c r="V26" s="186"/>
      <c r="W26" s="188" t="s">
        <v>110</v>
      </c>
      <c r="X26" s="186"/>
      <c r="Y26" s="192"/>
    </row>
    <row r="27" spans="1:25" x14ac:dyDescent="0.3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0.27249999999999996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0.52777777777777779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0.24722222222222212</v>
      </c>
      <c r="D29" s="175"/>
      <c r="E29" s="110"/>
      <c r="F29" s="98">
        <f>+'PIPA N'!G17</f>
        <v>0.24513888888888891</v>
      </c>
      <c r="G29" s="98"/>
      <c r="H29" s="110"/>
      <c r="I29" s="98">
        <f>+'PIPA N'!G18</f>
        <v>0.24444444444444458</v>
      </c>
      <c r="J29" s="98"/>
      <c r="K29" s="110"/>
      <c r="L29" s="98">
        <f>+'PIPA N'!G19</f>
        <v>0</v>
      </c>
      <c r="M29" s="98"/>
      <c r="N29" s="110"/>
      <c r="O29" s="98">
        <f>+'PIPA N'!G20</f>
        <v>0.24583333333333329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0.19652777777777777</v>
      </c>
      <c r="Y29" s="153" t="str">
        <f t="shared" si="6"/>
        <v/>
      </c>
    </row>
    <row r="30" spans="1:25" ht="16.2" thickBot="1" x14ac:dyDescent="0.35">
      <c r="A30" s="95" t="s">
        <v>119</v>
      </c>
      <c r="B30" s="189" t="s">
        <v>110</v>
      </c>
      <c r="C30" s="190"/>
      <c r="D30" s="191"/>
      <c r="E30" s="185" t="s">
        <v>110</v>
      </c>
      <c r="F30" s="186"/>
      <c r="G30" s="187"/>
      <c r="H30" s="185" t="s">
        <v>110</v>
      </c>
      <c r="I30" s="186"/>
      <c r="J30" s="187"/>
      <c r="K30" s="185" t="s">
        <v>110</v>
      </c>
      <c r="L30" s="186"/>
      <c r="M30" s="187"/>
      <c r="N30" s="185" t="s">
        <v>110</v>
      </c>
      <c r="O30" s="186"/>
      <c r="P30" s="187"/>
      <c r="Q30" s="185" t="s">
        <v>110</v>
      </c>
      <c r="R30" s="186"/>
      <c r="S30" s="187"/>
      <c r="T30" s="185" t="s">
        <v>110</v>
      </c>
      <c r="U30" s="186"/>
      <c r="V30" s="186"/>
      <c r="W30" s="188" t="s">
        <v>110</v>
      </c>
      <c r="X30" s="186"/>
      <c r="Y30" s="192"/>
    </row>
    <row r="31" spans="1:25" x14ac:dyDescent="0.3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0.31597222222222221</v>
      </c>
      <c r="G31" s="98"/>
      <c r="H31" s="97"/>
      <c r="I31" s="98">
        <f>+'CH colon'!D5</f>
        <v>0.30902777777777779</v>
      </c>
      <c r="J31" s="98"/>
      <c r="K31" s="97"/>
      <c r="L31" s="98">
        <f>+'CH colon'!D6</f>
        <v>0</v>
      </c>
      <c r="M31" s="98"/>
      <c r="N31" s="97"/>
      <c r="O31" s="98">
        <f>+'CH colon'!D7</f>
        <v>0.31111111111111112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0.24972222222222223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0.65625</v>
      </c>
      <c r="G32" s="98"/>
      <c r="H32" s="97"/>
      <c r="I32" s="98">
        <f>+'CH colon'!J5</f>
        <v>0.65625</v>
      </c>
      <c r="J32" s="98"/>
      <c r="K32" s="97"/>
      <c r="L32" s="98">
        <f>+'CH colon'!J6</f>
        <v>0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0.52569444444444446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0.27083333333333331</v>
      </c>
      <c r="D33" s="118"/>
      <c r="E33" s="110"/>
      <c r="F33" s="98">
        <f>+'CH colon'!G17</f>
        <v>0.2590277777777778</v>
      </c>
      <c r="G33" s="98"/>
      <c r="H33" s="110"/>
      <c r="I33" s="98">
        <f>+'CH colon'!G18</f>
        <v>0.26874999999999999</v>
      </c>
      <c r="J33" s="98"/>
      <c r="K33" s="110"/>
      <c r="L33" s="98">
        <f>+'CH colon'!G19</f>
        <v>0</v>
      </c>
      <c r="M33" s="98"/>
      <c r="N33" s="110"/>
      <c r="O33" s="98">
        <f>+'CH colon'!G20</f>
        <v>0.27638888888888891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0.21500000000000002</v>
      </c>
      <c r="Y33" s="116" t="str">
        <f t="shared" si="7"/>
        <v/>
      </c>
    </row>
    <row r="34" spans="1:25" ht="16.2" thickBot="1" x14ac:dyDescent="0.35">
      <c r="A34" s="95" t="s">
        <v>92</v>
      </c>
      <c r="B34" s="189" t="s">
        <v>110</v>
      </c>
      <c r="C34" s="190"/>
      <c r="D34" s="191"/>
      <c r="E34" s="185" t="s">
        <v>110</v>
      </c>
      <c r="F34" s="186"/>
      <c r="G34" s="187"/>
      <c r="H34" s="185" t="s">
        <v>110</v>
      </c>
      <c r="I34" s="186"/>
      <c r="J34" s="187"/>
      <c r="K34" s="185" t="s">
        <v>110</v>
      </c>
      <c r="L34" s="186"/>
      <c r="M34" s="187"/>
      <c r="N34" s="185" t="s">
        <v>110</v>
      </c>
      <c r="O34" s="186"/>
      <c r="P34" s="187"/>
      <c r="Q34" s="185" t="s">
        <v>110</v>
      </c>
      <c r="R34" s="186"/>
      <c r="S34" s="187"/>
      <c r="T34" s="185" t="s">
        <v>110</v>
      </c>
      <c r="U34" s="186"/>
      <c r="V34" s="186"/>
      <c r="W34" s="188" t="s">
        <v>110</v>
      </c>
      <c r="X34" s="186"/>
      <c r="Y34" s="192"/>
    </row>
    <row r="35" spans="1:25" x14ac:dyDescent="0.3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0.26874999999999999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0.65972222222222221</v>
      </c>
      <c r="J36" s="101"/>
      <c r="K36" s="97"/>
      <c r="L36" s="98">
        <f>+Salvataje!J6</f>
        <v>0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0.52708333333333335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0.25277777777777777</v>
      </c>
      <c r="D37" s="130"/>
      <c r="E37" s="110"/>
      <c r="F37" s="98">
        <f>+Salvataje!G17</f>
        <v>0.25277777777777782</v>
      </c>
      <c r="G37" s="112"/>
      <c r="H37" s="110"/>
      <c r="I37" s="98">
        <f>+Salvataje!G18</f>
        <v>0.25902777777777775</v>
      </c>
      <c r="J37" s="112"/>
      <c r="K37" s="110"/>
      <c r="L37" s="98">
        <f>+Salvataje!G19</f>
        <v>0</v>
      </c>
      <c r="M37" s="112"/>
      <c r="N37" s="110"/>
      <c r="O37" s="98">
        <f>+Salvataje!G20</f>
        <v>0.25138888888888855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0.20319444444444437</v>
      </c>
      <c r="Y37" s="116" t="str">
        <f t="shared" si="8"/>
        <v/>
      </c>
    </row>
    <row r="38" spans="1:25" ht="16.2" thickBot="1" x14ac:dyDescent="0.35">
      <c r="A38" s="95" t="s">
        <v>86</v>
      </c>
      <c r="B38" s="189" t="s">
        <v>110</v>
      </c>
      <c r="C38" s="190"/>
      <c r="D38" s="191"/>
      <c r="E38" s="185" t="s">
        <v>110</v>
      </c>
      <c r="F38" s="186"/>
      <c r="G38" s="187"/>
      <c r="H38" s="185" t="s">
        <v>110</v>
      </c>
      <c r="I38" s="186"/>
      <c r="J38" s="187"/>
      <c r="K38" s="185" t="s">
        <v>110</v>
      </c>
      <c r="L38" s="186"/>
      <c r="M38" s="187"/>
      <c r="N38" s="185" t="s">
        <v>110</v>
      </c>
      <c r="O38" s="186"/>
      <c r="P38" s="187"/>
      <c r="Q38" s="185" t="s">
        <v>110</v>
      </c>
      <c r="R38" s="186"/>
      <c r="S38" s="187"/>
      <c r="T38" s="185" t="s">
        <v>110</v>
      </c>
      <c r="U38" s="186"/>
      <c r="V38" s="186"/>
      <c r="W38" s="188" t="s">
        <v>110</v>
      </c>
      <c r="X38" s="186"/>
      <c r="Y38" s="192"/>
    </row>
    <row r="39" spans="1:25" x14ac:dyDescent="0.3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0.25083333333333335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0.52777777777777779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0.28680555555555559</v>
      </c>
      <c r="D41" s="130"/>
      <c r="E41" s="110"/>
      <c r="F41" s="139">
        <f>+'La junta'!G17</f>
        <v>0.2916666666666668</v>
      </c>
      <c r="G41" s="99"/>
      <c r="H41" s="110"/>
      <c r="I41" s="139">
        <f>+'La junta'!G18</f>
        <v>0.28680555555555559</v>
      </c>
      <c r="J41" s="99"/>
      <c r="K41" s="110"/>
      <c r="L41" s="139">
        <f>+'La junta'!G19</f>
        <v>0</v>
      </c>
      <c r="M41" s="99"/>
      <c r="N41" s="110"/>
      <c r="O41" s="139">
        <f>+'La junta'!G20</f>
        <v>0.28749999999999998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0.23055555555555562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9" t="s">
        <v>110</v>
      </c>
      <c r="C42" s="190"/>
      <c r="D42" s="191"/>
      <c r="E42" s="185" t="s">
        <v>110</v>
      </c>
      <c r="F42" s="186"/>
      <c r="G42" s="187"/>
      <c r="H42" s="185" t="s">
        <v>110</v>
      </c>
      <c r="I42" s="186"/>
      <c r="J42" s="187"/>
      <c r="K42" s="185" t="s">
        <v>110</v>
      </c>
      <c r="L42" s="186"/>
      <c r="M42" s="187"/>
      <c r="N42" s="185" t="s">
        <v>110</v>
      </c>
      <c r="O42" s="186"/>
      <c r="P42" s="187"/>
      <c r="Q42" s="185" t="s">
        <v>110</v>
      </c>
      <c r="R42" s="186"/>
      <c r="S42" s="187"/>
      <c r="T42" s="185" t="s">
        <v>110</v>
      </c>
      <c r="U42" s="186"/>
      <c r="V42" s="186"/>
      <c r="W42" s="188" t="s">
        <v>110</v>
      </c>
      <c r="X42" s="186"/>
      <c r="Y42" s="192"/>
    </row>
    <row r="43" spans="1:25" x14ac:dyDescent="0.3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0.25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0.52430555555555558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0.25833333333333336</v>
      </c>
      <c r="D45" s="128"/>
      <c r="E45" s="110"/>
      <c r="F45" s="139">
        <f>+AC!G17</f>
        <v>0.27569444444444446</v>
      </c>
      <c r="G45" s="139"/>
      <c r="H45" s="110"/>
      <c r="I45" s="139">
        <f>+AC!G18</f>
        <v>0.2638888888888889</v>
      </c>
      <c r="J45" s="139"/>
      <c r="K45" s="110"/>
      <c r="L45" s="139">
        <f>+AC!G19</f>
        <v>0</v>
      </c>
      <c r="M45" s="139"/>
      <c r="N45" s="110"/>
      <c r="O45" s="139">
        <f>+AC!G20</f>
        <v>0.24791666666666667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0.20916666666666667</v>
      </c>
      <c r="Y45" s="115" t="str">
        <f t="shared" si="10"/>
        <v/>
      </c>
    </row>
    <row r="46" spans="1:25" ht="16.2" thickBot="1" x14ac:dyDescent="0.35">
      <c r="A46" s="95" t="s">
        <v>120</v>
      </c>
      <c r="B46" s="189" t="s">
        <v>110</v>
      </c>
      <c r="C46" s="190"/>
      <c r="D46" s="191"/>
      <c r="E46" s="185" t="s">
        <v>110</v>
      </c>
      <c r="F46" s="186"/>
      <c r="G46" s="187"/>
      <c r="H46" s="185" t="s">
        <v>110</v>
      </c>
      <c r="I46" s="186"/>
      <c r="J46" s="187"/>
      <c r="K46" s="185" t="s">
        <v>110</v>
      </c>
      <c r="L46" s="186"/>
      <c r="M46" s="187"/>
      <c r="N46" s="185" t="s">
        <v>110</v>
      </c>
      <c r="O46" s="186"/>
      <c r="P46" s="187"/>
      <c r="Q46" s="185" t="s">
        <v>110</v>
      </c>
      <c r="R46" s="186"/>
      <c r="S46" s="187"/>
      <c r="T46" s="185" t="s">
        <v>110</v>
      </c>
      <c r="U46" s="186"/>
      <c r="V46" s="186"/>
      <c r="W46" s="188" t="s">
        <v>110</v>
      </c>
      <c r="X46" s="186"/>
      <c r="Y46" s="192"/>
    </row>
    <row r="47" spans="1:25" x14ac:dyDescent="0.3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0.51666666666666672</v>
      </c>
    </row>
    <row r="48" spans="1:25" x14ac:dyDescent="0.3">
      <c r="A48" s="96" t="s">
        <v>112</v>
      </c>
      <c r="B48" s="117"/>
      <c r="C48" s="118"/>
      <c r="D48" s="118">
        <f>+Colec!J3</f>
        <v>0.98611111111111116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0.78888888888888897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0.25347222222222232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0.26319444444444451</v>
      </c>
      <c r="K49" s="127"/>
      <c r="L49" s="118"/>
      <c r="M49" s="118">
        <f>+Colec!G19</f>
        <v>0</v>
      </c>
      <c r="N49" s="127"/>
      <c r="O49" s="118"/>
      <c r="P49" s="118">
        <f>+Colec!G20</f>
        <v>0.25694444444444453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0.20819444444444449</v>
      </c>
    </row>
    <row r="50" spans="1:25" ht="16.2" thickBot="1" x14ac:dyDescent="0.35">
      <c r="A50" s="95" t="s">
        <v>61</v>
      </c>
      <c r="B50" s="189" t="s">
        <v>110</v>
      </c>
      <c r="C50" s="190"/>
      <c r="D50" s="191"/>
      <c r="E50" s="185" t="s">
        <v>110</v>
      </c>
      <c r="F50" s="186"/>
      <c r="G50" s="187"/>
      <c r="H50" s="185" t="s">
        <v>110</v>
      </c>
      <c r="I50" s="186"/>
      <c r="J50" s="187"/>
      <c r="K50" s="185" t="s">
        <v>110</v>
      </c>
      <c r="L50" s="186"/>
      <c r="M50" s="187"/>
      <c r="N50" s="185" t="s">
        <v>110</v>
      </c>
      <c r="O50" s="186"/>
      <c r="P50" s="187"/>
      <c r="Q50" s="185" t="s">
        <v>110</v>
      </c>
      <c r="R50" s="186"/>
      <c r="S50" s="187"/>
      <c r="T50" s="185" t="s">
        <v>110</v>
      </c>
      <c r="U50" s="186"/>
      <c r="V50" s="186"/>
      <c r="W50" s="188" t="s">
        <v>110</v>
      </c>
      <c r="X50" s="186"/>
      <c r="Y50" s="192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0.25</v>
      </c>
      <c r="Y51" s="104" t="str">
        <f t="shared" si="12"/>
        <v/>
      </c>
    </row>
    <row r="52" spans="1:25" x14ac:dyDescent="0.3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0.52361111111111103</v>
      </c>
      <c r="Y52" s="107" t="str">
        <f t="shared" si="12"/>
        <v/>
      </c>
    </row>
    <row r="53" spans="1:25" ht="16.2" thickBot="1" x14ac:dyDescent="0.35">
      <c r="A53" s="109" t="s">
        <v>113</v>
      </c>
      <c r="B53" s="127"/>
      <c r="C53" s="119">
        <f>+'P M'!G16</f>
        <v>0.25208333333333333</v>
      </c>
      <c r="D53" s="119"/>
      <c r="E53" s="110"/>
      <c r="F53" s="139">
        <f>+'P M'!G17</f>
        <v>0.25138888888888888</v>
      </c>
      <c r="G53" s="139"/>
      <c r="H53" s="110"/>
      <c r="I53" s="139">
        <f>+'P M'!G19</f>
        <v>0</v>
      </c>
      <c r="J53" s="139"/>
      <c r="K53" s="110"/>
      <c r="L53" s="139">
        <f>+'P M'!G20</f>
        <v>0.24305555555555558</v>
      </c>
      <c r="M53" s="139"/>
      <c r="N53" s="110"/>
      <c r="O53" s="139">
        <f>+'P M'!G21</f>
        <v>0.2482638888888889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0.19895833333333335</v>
      </c>
      <c r="Y53" s="115" t="str">
        <f t="shared" si="12"/>
        <v/>
      </c>
    </row>
    <row r="54" spans="1:25" ht="16.2" thickBot="1" x14ac:dyDescent="0.35">
      <c r="A54" s="95" t="s">
        <v>82</v>
      </c>
      <c r="B54" s="189" t="s">
        <v>110</v>
      </c>
      <c r="C54" s="190"/>
      <c r="D54" s="191"/>
      <c r="E54" s="185" t="s">
        <v>110</v>
      </c>
      <c r="F54" s="186"/>
      <c r="G54" s="187"/>
      <c r="H54" s="185" t="s">
        <v>110</v>
      </c>
      <c r="I54" s="186"/>
      <c r="J54" s="187"/>
      <c r="K54" s="185" t="s">
        <v>110</v>
      </c>
      <c r="L54" s="186"/>
      <c r="M54" s="187"/>
      <c r="N54" s="185" t="s">
        <v>110</v>
      </c>
      <c r="O54" s="186"/>
      <c r="P54" s="187"/>
      <c r="Q54" s="185" t="s">
        <v>110</v>
      </c>
      <c r="R54" s="186"/>
      <c r="S54" s="187"/>
      <c r="T54" s="185" t="s">
        <v>110</v>
      </c>
      <c r="U54" s="186"/>
      <c r="V54" s="186"/>
      <c r="W54" s="188" t="s">
        <v>110</v>
      </c>
      <c r="X54" s="186"/>
      <c r="Y54" s="192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0.51666666666666672</v>
      </c>
    </row>
    <row r="56" spans="1:25" x14ac:dyDescent="0.3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0.78333333333333333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0.26041666666666663</v>
      </c>
      <c r="E57" s="127"/>
      <c r="F57" s="118"/>
      <c r="G57" s="118">
        <f>+'Vent '!G17</f>
        <v>0.24513888888888891</v>
      </c>
      <c r="H57" s="127"/>
      <c r="I57" s="118"/>
      <c r="J57" s="118">
        <f>+'Vent '!G18</f>
        <v>0.24652777777777757</v>
      </c>
      <c r="K57" s="127"/>
      <c r="L57" s="118"/>
      <c r="M57" s="118">
        <f>+'Vent '!G19</f>
        <v>0</v>
      </c>
      <c r="N57" s="127"/>
      <c r="O57" s="118"/>
      <c r="P57" s="118">
        <f>+'Vent '!G20</f>
        <v>0.24583333333333324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0.19958333333333328</v>
      </c>
    </row>
    <row r="58" spans="1:25" ht="16.2" thickBot="1" x14ac:dyDescent="0.35">
      <c r="A58" s="95" t="s">
        <v>121</v>
      </c>
      <c r="B58" s="189" t="s">
        <v>110</v>
      </c>
      <c r="C58" s="190"/>
      <c r="D58" s="191"/>
      <c r="E58" s="185" t="s">
        <v>110</v>
      </c>
      <c r="F58" s="186"/>
      <c r="G58" s="187"/>
      <c r="H58" s="185" t="s">
        <v>110</v>
      </c>
      <c r="I58" s="186"/>
      <c r="J58" s="187"/>
      <c r="K58" s="185" t="s">
        <v>110</v>
      </c>
      <c r="L58" s="186"/>
      <c r="M58" s="187"/>
      <c r="N58" s="185" t="s">
        <v>110</v>
      </c>
      <c r="O58" s="186"/>
      <c r="P58" s="187"/>
      <c r="Q58" s="185" t="s">
        <v>110</v>
      </c>
      <c r="R58" s="186"/>
      <c r="S58" s="187"/>
      <c r="T58" s="185" t="s">
        <v>110</v>
      </c>
      <c r="U58" s="186"/>
      <c r="V58" s="186"/>
      <c r="W58" s="188" t="s">
        <v>110</v>
      </c>
      <c r="X58" s="186"/>
      <c r="Y58" s="187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0.44444444444444448</v>
      </c>
      <c r="D61" s="130"/>
      <c r="E61" s="110"/>
      <c r="F61" s="139">
        <f>+ACCU!G17</f>
        <v>0.44097222222222227</v>
      </c>
      <c r="G61" s="112"/>
      <c r="H61" s="110"/>
      <c r="I61" s="139">
        <f>+ACCU!G18</f>
        <v>0.45486111111111077</v>
      </c>
      <c r="J61" s="112"/>
      <c r="K61" s="110"/>
      <c r="L61" s="139">
        <f>+ACCU!G19</f>
        <v>0.4340277777777774</v>
      </c>
      <c r="M61" s="112"/>
      <c r="N61" s="110"/>
      <c r="O61" s="139">
        <f>+ACCU!G20</f>
        <v>0.4312499999999998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0.44111111111111095</v>
      </c>
      <c r="Y61" s="142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"/>
  <sheetViews>
    <sheetView workbookViewId="0">
      <selection activeCell="P8" sqref="P8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2" spans="2:29" ht="16.2" thickBot="1" x14ac:dyDescent="0.35"/>
    <row r="3" spans="2:29" ht="16.2" thickBot="1" x14ac:dyDescent="0.35">
      <c r="B3" s="156"/>
      <c r="C3" s="209">
        <f>'TTE 6 '!C3</f>
        <v>44900</v>
      </c>
      <c r="D3" s="210"/>
      <c r="E3" s="210"/>
      <c r="F3" s="209">
        <f>+'TTE 6 '!C4</f>
        <v>44901</v>
      </c>
      <c r="G3" s="210"/>
      <c r="H3" s="210"/>
      <c r="I3" s="209">
        <f>'TTE 6 '!C5</f>
        <v>44902</v>
      </c>
      <c r="J3" s="210"/>
      <c r="K3" s="210"/>
      <c r="L3" s="209">
        <f>'TTE 6 '!C6</f>
        <v>44903</v>
      </c>
      <c r="M3" s="210"/>
      <c r="N3" s="210"/>
      <c r="O3" s="209">
        <f>+'TTE 6 '!C7</f>
        <v>44904</v>
      </c>
      <c r="P3" s="210"/>
      <c r="Q3" s="210"/>
      <c r="R3" s="209">
        <f>'TTE 6 '!C8</f>
        <v>44905</v>
      </c>
      <c r="S3" s="210"/>
      <c r="T3" s="210"/>
      <c r="U3" s="209">
        <f>'TTE 6 '!C9</f>
        <v>44906</v>
      </c>
      <c r="V3" s="210"/>
      <c r="W3" s="210"/>
      <c r="X3" s="214" t="s">
        <v>107</v>
      </c>
      <c r="Y3" s="215"/>
      <c r="Z3" s="216"/>
      <c r="AA3" s="207" t="s">
        <v>122</v>
      </c>
      <c r="AC3" s="211" t="s">
        <v>128</v>
      </c>
    </row>
    <row r="4" spans="2:29" ht="16.2" thickBot="1" x14ac:dyDescent="0.35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08"/>
      <c r="AC4" s="212"/>
    </row>
    <row r="5" spans="2:29" ht="16.2" thickBot="1" x14ac:dyDescent="0.35">
      <c r="B5" s="157" t="s">
        <v>123</v>
      </c>
      <c r="C5" s="204" t="s">
        <v>124</v>
      </c>
      <c r="D5" s="205"/>
      <c r="E5" s="206"/>
      <c r="F5" s="204" t="s">
        <v>124</v>
      </c>
      <c r="G5" s="205"/>
      <c r="H5" s="206"/>
      <c r="I5" s="204" t="s">
        <v>124</v>
      </c>
      <c r="J5" s="205"/>
      <c r="K5" s="206"/>
      <c r="L5" s="204" t="s">
        <v>124</v>
      </c>
      <c r="M5" s="205"/>
      <c r="N5" s="206"/>
      <c r="O5" s="204" t="s">
        <v>124</v>
      </c>
      <c r="P5" s="205"/>
      <c r="Q5" s="206"/>
      <c r="R5" s="204" t="s">
        <v>124</v>
      </c>
      <c r="S5" s="205"/>
      <c r="T5" s="206"/>
      <c r="U5" s="204" t="s">
        <v>124</v>
      </c>
      <c r="V5" s="205"/>
      <c r="W5" s="206"/>
      <c r="X5" s="204" t="s">
        <v>124</v>
      </c>
      <c r="Y5" s="205"/>
      <c r="Z5" s="205"/>
      <c r="AA5" s="158" t="s">
        <v>125</v>
      </c>
      <c r="AB5" s="179" t="s">
        <v>129</v>
      </c>
      <c r="AC5" s="213"/>
    </row>
    <row r="6" spans="2:29" ht="28.2" thickBot="1" x14ac:dyDescent="0.35">
      <c r="B6" s="159" t="s">
        <v>126</v>
      </c>
      <c r="C6" s="167"/>
      <c r="D6" s="168"/>
      <c r="E6" s="169">
        <v>6</v>
      </c>
      <c r="F6" s="167"/>
      <c r="G6" s="168"/>
      <c r="H6" s="169">
        <v>3</v>
      </c>
      <c r="I6" s="167"/>
      <c r="J6" s="168"/>
      <c r="K6" s="169">
        <v>2</v>
      </c>
      <c r="L6" s="167"/>
      <c r="M6" s="168"/>
      <c r="N6" s="169">
        <v>4</v>
      </c>
      <c r="O6" s="167"/>
      <c r="P6" s="168"/>
      <c r="Q6" s="169">
        <v>3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0</v>
      </c>
      <c r="Z6" s="171">
        <f>E6+H6+K6+N6+Q6+T6+W6</f>
        <v>18</v>
      </c>
      <c r="AA6" s="173">
        <f>X6+Y6+Z6</f>
        <v>18</v>
      </c>
      <c r="AB6" s="177">
        <f>AA6/AC6</f>
        <v>1.2</v>
      </c>
      <c r="AC6" s="177">
        <v>15</v>
      </c>
    </row>
    <row r="7" spans="2:29" ht="28.2" thickBot="1" x14ac:dyDescent="0.35">
      <c r="B7" s="160" t="s">
        <v>127</v>
      </c>
      <c r="C7" s="164"/>
      <c r="D7" s="165">
        <v>1</v>
      </c>
      <c r="E7" s="166"/>
      <c r="F7" s="164"/>
      <c r="G7" s="165">
        <v>2</v>
      </c>
      <c r="H7" s="166"/>
      <c r="I7" s="164"/>
      <c r="J7" s="165">
        <v>0</v>
      </c>
      <c r="K7" s="166"/>
      <c r="L7" s="164"/>
      <c r="M7" s="165">
        <v>0</v>
      </c>
      <c r="N7" s="166"/>
      <c r="O7" s="164"/>
      <c r="P7" s="165">
        <v>0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3</v>
      </c>
      <c r="Z7" s="155">
        <f>E7+H7+K7+N7+Q7+T7+W7</f>
        <v>0</v>
      </c>
      <c r="AA7" s="172">
        <f>X7+Y7+Z7</f>
        <v>3</v>
      </c>
      <c r="AB7" s="180">
        <f>AA7/AC7</f>
        <v>0.2</v>
      </c>
      <c r="AC7" s="178">
        <v>15</v>
      </c>
    </row>
  </sheetData>
  <mergeCells count="18"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  <mergeCell ref="R5:T5"/>
    <mergeCell ref="AA3:AA4"/>
    <mergeCell ref="C3:E3"/>
    <mergeCell ref="C5:E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I12" sqref="I12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44900</v>
      </c>
      <c r="D3" s="37">
        <v>0.34027777777777773</v>
      </c>
      <c r="E3" s="37">
        <v>0.36458333333333331</v>
      </c>
      <c r="F3" s="37">
        <v>0.37847222222222227</v>
      </c>
      <c r="G3" s="46">
        <v>0.61249999999999993</v>
      </c>
      <c r="H3" s="46">
        <v>0.62152777777777779</v>
      </c>
      <c r="I3" s="46">
        <v>0.64583333333333337</v>
      </c>
      <c r="J3" s="46">
        <v>0.66319444444444442</v>
      </c>
      <c r="K3" s="47" t="s">
        <v>90</v>
      </c>
      <c r="L3" s="53"/>
      <c r="M3" s="53"/>
      <c r="N3" s="52" t="s">
        <v>15</v>
      </c>
      <c r="O3" s="4">
        <f>Tabla513[[#This Row],[FECHA]]</f>
        <v>44900</v>
      </c>
      <c r="P3" s="7">
        <f>D3</f>
        <v>0.34027777777777773</v>
      </c>
      <c r="Q3" s="7">
        <f>E3-D3</f>
        <v>2.430555555555558E-2</v>
      </c>
      <c r="R3" s="7">
        <f>F3-E3</f>
        <v>1.3888888888888951E-2</v>
      </c>
      <c r="S3" s="7">
        <f>G3-F3</f>
        <v>0.23402777777777767</v>
      </c>
      <c r="T3" s="7">
        <f>+Tabla513[[#This Row],[ALMUERZO]]-Tabla513[[#This Row],[TERMINO ACT. AM]]</f>
        <v>9.0277777777778567E-3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1.7361111111111049E-2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44901</v>
      </c>
      <c r="D4" s="37">
        <v>0.33888888888888885</v>
      </c>
      <c r="E4" s="37">
        <v>0.36805555555555558</v>
      </c>
      <c r="F4" s="37">
        <v>0.38055555555555554</v>
      </c>
      <c r="G4" s="46">
        <v>0.60277777777777775</v>
      </c>
      <c r="H4" s="46">
        <v>0.61111111111111105</v>
      </c>
      <c r="I4" s="46">
        <v>0.64236111111111105</v>
      </c>
      <c r="J4" s="46">
        <v>0.66319444444444442</v>
      </c>
      <c r="K4" s="47" t="s">
        <v>90</v>
      </c>
      <c r="M4" s="5"/>
      <c r="N4" s="5" t="s">
        <v>16</v>
      </c>
      <c r="O4" s="4">
        <f>Tabla513[[#This Row],[FECHA]]</f>
        <v>44901</v>
      </c>
      <c r="P4" s="7">
        <f>D4</f>
        <v>0.33888888888888885</v>
      </c>
      <c r="Q4" s="7">
        <f t="shared" ref="Q4:S7" si="0">E4-D4</f>
        <v>2.916666666666673E-2</v>
      </c>
      <c r="R4" s="7">
        <f t="shared" si="0"/>
        <v>1.2499999999999956E-2</v>
      </c>
      <c r="S4" s="7">
        <f t="shared" si="0"/>
        <v>0.22222222222222221</v>
      </c>
      <c r="T4" s="7">
        <f>+Tabla513[[#This Row],[ALMUERZO]]-Tabla513[[#This Row],[TERMINO ACT. AM]]</f>
        <v>8.3333333333333037E-3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2.083333333333337E-2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44902</v>
      </c>
      <c r="D5" s="37">
        <v>0.34027777777777773</v>
      </c>
      <c r="E5" s="37">
        <v>0.36944444444444446</v>
      </c>
      <c r="F5" s="37">
        <v>0.37986111111111115</v>
      </c>
      <c r="G5" s="46">
        <v>0.60069444444444442</v>
      </c>
      <c r="H5" s="46">
        <v>0.60416666666666663</v>
      </c>
      <c r="I5" s="46">
        <v>0.63541666666666663</v>
      </c>
      <c r="J5" s="46">
        <v>0.66319444444444442</v>
      </c>
      <c r="K5" s="47" t="s">
        <v>90</v>
      </c>
      <c r="M5" s="5"/>
      <c r="N5" s="5" t="s">
        <v>16</v>
      </c>
      <c r="O5" s="4">
        <f>Tabla513[[#This Row],[FECHA]]</f>
        <v>44902</v>
      </c>
      <c r="P5" s="7">
        <f>D5</f>
        <v>0.34027777777777773</v>
      </c>
      <c r="Q5" s="7">
        <f t="shared" si="0"/>
        <v>2.916666666666673E-2</v>
      </c>
      <c r="R5" s="7">
        <f t="shared" si="0"/>
        <v>1.0416666666666685E-2</v>
      </c>
      <c r="S5" s="7">
        <f t="shared" si="0"/>
        <v>0.22083333333333327</v>
      </c>
      <c r="T5" s="7">
        <f>+Tabla513[[#This Row],[ALMUERZO]]-Tabla513[[#This Row],[TERMINO ACT. AM]]</f>
        <v>3.4722222222222099E-3</v>
      </c>
      <c r="U5" s="7">
        <f>+Tabla513[[#This Row],[INICIO ACTIVIDADES PM]]-Tabla513[[#This Row],[ALMUERZO]]</f>
        <v>3.125E-2</v>
      </c>
      <c r="V5" s="7">
        <f>+Tabla513[[#This Row],[TERMINO ACTIVIDADES PM]]-Tabla513[[#This Row],[INICIO ACTIVIDADES PM]]</f>
        <v>2.777777777777779E-2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6" x14ac:dyDescent="0.3">
      <c r="A6" s="12" t="s">
        <v>95</v>
      </c>
      <c r="B6" s="12" t="s">
        <v>28</v>
      </c>
      <c r="C6" s="4">
        <f>+Tabla5[[#This Row],[FECHA]]</f>
        <v>44903</v>
      </c>
      <c r="D6" s="37">
        <v>0.34375</v>
      </c>
      <c r="E6" s="37">
        <v>0.37152777777777773</v>
      </c>
      <c r="F6" s="37">
        <v>0.38194444444444442</v>
      </c>
      <c r="G6" s="46">
        <v>0.61249999999999993</v>
      </c>
      <c r="H6" s="37">
        <v>0.61805555555555558</v>
      </c>
      <c r="I6" s="46">
        <v>0.64583333333333337</v>
      </c>
      <c r="J6" s="46">
        <v>0.66319444444444442</v>
      </c>
      <c r="K6" s="47" t="s">
        <v>131</v>
      </c>
      <c r="M6" s="5"/>
      <c r="N6" s="5" t="s">
        <v>17</v>
      </c>
      <c r="O6" s="4">
        <f>Tabla513[[#This Row],[FECHA]]</f>
        <v>44903</v>
      </c>
      <c r="P6" s="7">
        <f>D6</f>
        <v>0.34375</v>
      </c>
      <c r="Q6" s="7">
        <f t="shared" si="0"/>
        <v>2.7777777777777735E-2</v>
      </c>
      <c r="R6" s="7">
        <f t="shared" si="0"/>
        <v>1.0416666666666685E-2</v>
      </c>
      <c r="S6" s="7">
        <f t="shared" si="0"/>
        <v>0.23055555555555551</v>
      </c>
      <c r="T6" s="7">
        <f>+Tabla513[[#This Row],[ALMUERZO]]-Tabla513[[#This Row],[TERMINO ACT. AM]]</f>
        <v>5.5555555555556468E-3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1.7361111111111049E-2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44904</v>
      </c>
      <c r="D7" s="37">
        <v>0.34375</v>
      </c>
      <c r="E7" s="37">
        <v>0.37083333333333335</v>
      </c>
      <c r="F7" s="37">
        <v>0.38055555555555554</v>
      </c>
      <c r="G7" s="46">
        <v>0.60416666666666663</v>
      </c>
      <c r="H7" s="46">
        <v>0.61458333333333337</v>
      </c>
      <c r="I7" s="46">
        <v>0.64236111111111105</v>
      </c>
      <c r="J7" s="46">
        <v>0.66319444444444442</v>
      </c>
      <c r="K7" s="47" t="s">
        <v>90</v>
      </c>
      <c r="M7" s="5"/>
      <c r="N7" s="5" t="s">
        <v>18</v>
      </c>
      <c r="O7" s="4">
        <f>Tabla513[[#This Row],[FECHA]]</f>
        <v>44904</v>
      </c>
      <c r="P7" s="7">
        <f>D7</f>
        <v>0.34375</v>
      </c>
      <c r="Q7" s="7">
        <f t="shared" si="0"/>
        <v>2.7083333333333348E-2</v>
      </c>
      <c r="R7" s="7">
        <f t="shared" si="0"/>
        <v>9.7222222222221877E-3</v>
      </c>
      <c r="S7" s="7">
        <f t="shared" si="0"/>
        <v>0.22361111111111109</v>
      </c>
      <c r="T7" s="7">
        <f>+Tabla513[[#This Row],[ALMUERZO]]-Tabla513[[#This Row],[TERMINO ACT. AM]]</f>
        <v>1.0416666666666741E-2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2.083333333333337E-2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0.25138888888888872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0.24861111111111106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0.24791666666666656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0.24444444444444446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0.24708333333333327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0.98833333333333306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B2" sqref="B2:I90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K7" sqref="K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44900</v>
      </c>
      <c r="D3" s="37">
        <v>0.67361111111111116</v>
      </c>
      <c r="E3" s="37">
        <v>0.68402777777777779</v>
      </c>
      <c r="F3" s="37">
        <v>0.71180555555555547</v>
      </c>
      <c r="G3" s="37">
        <v>0.93194444444444446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44900</v>
      </c>
      <c r="P3" s="7">
        <f>D3</f>
        <v>0.67361111111111116</v>
      </c>
      <c r="Q3" s="7">
        <f>E3-D3</f>
        <v>1.041666666666663E-2</v>
      </c>
      <c r="R3" s="7">
        <f>F3-E3</f>
        <v>2.7777777777777679E-2</v>
      </c>
      <c r="S3" s="7">
        <f>G3-F3</f>
        <v>0.22013888888888899</v>
      </c>
      <c r="T3" s="7">
        <f>+Tabla51334[[#This Row],[ALMUERZO]]-Tabla51334[[#This Row],[TERMINO ACT. AM]]</f>
        <v>2.0833333333333259E-3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44901</v>
      </c>
      <c r="D4" s="37">
        <v>0.67361111111111116</v>
      </c>
      <c r="E4" s="37">
        <v>0.68263888888888891</v>
      </c>
      <c r="F4" s="37">
        <v>0.72152777777777777</v>
      </c>
      <c r="G4" s="37">
        <v>0.93402777777777779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44901</v>
      </c>
      <c r="P4" s="7">
        <f>D4</f>
        <v>0.67361111111111116</v>
      </c>
      <c r="Q4" s="7">
        <f t="shared" ref="Q4:S7" si="0">E4-D4</f>
        <v>9.0277777777777457E-3</v>
      </c>
      <c r="R4" s="7">
        <f t="shared" si="0"/>
        <v>3.8888888888888862E-2</v>
      </c>
      <c r="S4" s="7">
        <f t="shared" si="0"/>
        <v>0.21250000000000002</v>
      </c>
      <c r="T4" s="7">
        <f>+Tabla51334[[#This Row],[ALMUERZO]]-Tabla51334[[#This Row],[TERMINO ACT. AM]]</f>
        <v>3.4722222222222099E-3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44902</v>
      </c>
      <c r="D5" s="37">
        <v>0.67361111111111116</v>
      </c>
      <c r="E5" s="37">
        <v>0.67708333333333337</v>
      </c>
      <c r="F5" s="37">
        <v>0.71180555555555547</v>
      </c>
      <c r="G5" s="37">
        <v>0.94097222222222221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44902</v>
      </c>
      <c r="P5" s="7">
        <f>D5</f>
        <v>0.67361111111111116</v>
      </c>
      <c r="Q5" s="7">
        <f t="shared" si="0"/>
        <v>3.4722222222222099E-3</v>
      </c>
      <c r="R5" s="7">
        <f t="shared" si="0"/>
        <v>3.4722222222222099E-2</v>
      </c>
      <c r="S5" s="7">
        <f t="shared" si="0"/>
        <v>0.22916666666666674</v>
      </c>
      <c r="T5" s="7">
        <f>+Tabla51334[[#This Row],[ALMUERZO]]-Tabla51334[[#This Row],[TERMINO ACT. AM]]</f>
        <v>1.041666666666663E-2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Tabla51334[[#This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+Tabla51334[[#This Row],[ALMUERZO]]-Tabla51334[[#This Row],[TERMINO ACT. AM]]</f>
        <v>0</v>
      </c>
      <c r="U6" s="7">
        <f>+Tabla51334[[#This Row],[INICIO ACTIVIDADES PM]]-Tabla51334[[#This Row],[ALMUERZO]]</f>
        <v>0</v>
      </c>
      <c r="V6" s="7">
        <f>+Tabla51334[[#This Row],[TERMINO ACTIVIDADES PM]]-Tabla51334[[#This Row],[INICIO ACTIVIDADES PM]]</f>
        <v>0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44904</v>
      </c>
      <c r="D7" s="37">
        <v>0.67361111111111116</v>
      </c>
      <c r="E7" s="37">
        <v>0.68611111111111101</v>
      </c>
      <c r="F7" s="37">
        <v>0.71805555555555556</v>
      </c>
      <c r="G7" s="46">
        <v>0.93611111111111101</v>
      </c>
      <c r="H7" s="37">
        <v>0.94791666666666663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44904</v>
      </c>
      <c r="P7" s="7">
        <f>D7</f>
        <v>0.67361111111111116</v>
      </c>
      <c r="Q7" s="7">
        <f t="shared" si="0"/>
        <v>1.2499999999999845E-2</v>
      </c>
      <c r="R7" s="7">
        <f t="shared" si="0"/>
        <v>3.1944444444444553E-2</v>
      </c>
      <c r="S7" s="7">
        <f t="shared" si="0"/>
        <v>0.21805555555555545</v>
      </c>
      <c r="T7" s="7">
        <f>+Tabla51334[[#This Row],[ALMUERZO]]-Tabla51334[[#This Row],[TERMINO ACT. AM]]</f>
        <v>1.1805555555555625E-2</v>
      </c>
      <c r="U7" s="7">
        <f>+Tabla51334[[#This Row],[INICIO ACTIVIDADES PM]]-Tabla51334[[#This Row],[ALMUERZO]]</f>
        <v>2.083333333333337E-2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0.25138888888888899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0.24236111111111092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0.24513888888888888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0.98055555555555551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K6" sqref="K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44900</v>
      </c>
      <c r="D3" s="37">
        <v>0.34027777777777773</v>
      </c>
      <c r="E3" s="37">
        <v>0.37152777777777773</v>
      </c>
      <c r="F3" s="37">
        <v>0.38055555555555554</v>
      </c>
      <c r="G3" s="37">
        <v>0.61388888888888882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44900</v>
      </c>
      <c r="P3" s="7">
        <f>D3</f>
        <v>0.34027777777777773</v>
      </c>
      <c r="Q3" s="7">
        <f>E3-D3</f>
        <v>3.125E-2</v>
      </c>
      <c r="R3" s="7">
        <f>F3-E3</f>
        <v>9.0277777777778012E-3</v>
      </c>
      <c r="S3" s="7">
        <f>G3-F3</f>
        <v>0.23333333333333328</v>
      </c>
      <c r="T3" s="7">
        <f>+Tabla536[[#This Row],[ALMUERZO]]-Tabla536[[#This Row],[TERMINO ACT. AM]]</f>
        <v>7.6388888888889728E-3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44901</v>
      </c>
      <c r="D4" s="37">
        <v>0.34375</v>
      </c>
      <c r="E4" s="37">
        <v>0.37152777777777773</v>
      </c>
      <c r="F4" s="37">
        <v>0.38194444444444442</v>
      </c>
      <c r="G4" s="37">
        <v>0.60972222222222217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44901</v>
      </c>
      <c r="P4" s="7">
        <f>D4</f>
        <v>0.34375</v>
      </c>
      <c r="Q4" s="7">
        <f t="shared" ref="Q4:S7" si="0">E4-D4</f>
        <v>2.7777777777777735E-2</v>
      </c>
      <c r="R4" s="7">
        <f t="shared" si="0"/>
        <v>1.0416666666666685E-2</v>
      </c>
      <c r="S4" s="7">
        <f t="shared" si="0"/>
        <v>0.22777777777777775</v>
      </c>
      <c r="T4" s="7">
        <f>+Tabla536[[#This Row],[ALMUERZO]]-Tabla536[[#This Row],[TERMINO ACT. AM]]</f>
        <v>8.3333333333334147E-3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44902</v>
      </c>
      <c r="D5" s="37">
        <v>0.34027777777777773</v>
      </c>
      <c r="E5" s="37">
        <v>0.36805555555555558</v>
      </c>
      <c r="F5" s="37">
        <v>0.38055555555555554</v>
      </c>
      <c r="G5" s="37">
        <v>0.60763888888888895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44902</v>
      </c>
      <c r="P5" s="7">
        <f>D5</f>
        <v>0.34027777777777773</v>
      </c>
      <c r="Q5" s="7">
        <f t="shared" si="0"/>
        <v>2.7777777777777846E-2</v>
      </c>
      <c r="R5" s="7">
        <f t="shared" si="0"/>
        <v>1.2499999999999956E-2</v>
      </c>
      <c r="S5" s="7">
        <f t="shared" si="0"/>
        <v>0.22708333333333341</v>
      </c>
      <c r="T5" s="7">
        <f>+Tabla536[[#This Row],[ALMUERZO]]-Tabla536[[#This Row],[TERMINO ACT. AM]]</f>
        <v>1.041666666666663E-2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Tabla536[[#This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+Tabla536[[#This Row],[ALMUERZO]]-Tabla536[[#This Row],[TERMINO ACT. AM]]</f>
        <v>0</v>
      </c>
      <c r="U6" s="7">
        <f>+Tabla536[[#This Row],[INICIO ACTIVIDADES PM]]-Tabla536[[#This Row],[ALMUERZO]]</f>
        <v>0</v>
      </c>
      <c r="V6" s="7">
        <f>+Tabla536[[#This Row],[TERMINO ACTIVIDADES PM]]-Tabla536[[#This Row],[INICIO ACTIVIDADES PM]]</f>
        <v>0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44904</v>
      </c>
      <c r="D7" s="37">
        <v>0.33819444444444446</v>
      </c>
      <c r="E7" s="37">
        <v>0.36805555555555558</v>
      </c>
      <c r="F7" s="37">
        <v>0.38125000000000003</v>
      </c>
      <c r="G7" s="37">
        <v>0.60972222222222217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44904</v>
      </c>
      <c r="P7" s="7">
        <f>D7</f>
        <v>0.33819444444444446</v>
      </c>
      <c r="Q7" s="7">
        <f t="shared" si="0"/>
        <v>2.9861111111111116E-2</v>
      </c>
      <c r="R7" s="7">
        <f t="shared" si="0"/>
        <v>1.3194444444444453E-2</v>
      </c>
      <c r="S7" s="7">
        <f t="shared" si="0"/>
        <v>0.22847222222222213</v>
      </c>
      <c r="T7" s="7">
        <f>+Tabla536[[#This Row],[ALMUERZO]]-Tabla536[[#This Row],[TERMINO ACT. AM]]</f>
        <v>8.3333333333334147E-3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0.24722222222222212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0.24444444444444458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0.24583333333333329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0.24565972222222221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0.98263888888888884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103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G5" sqref="G5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44900</v>
      </c>
      <c r="D3" s="37">
        <v>0.67361111111111116</v>
      </c>
      <c r="E3" s="37">
        <v>0.6875</v>
      </c>
      <c r="F3" s="37">
        <v>0.71527777777777779</v>
      </c>
      <c r="G3" s="37">
        <v>0.95138888888888884</v>
      </c>
      <c r="H3" s="37">
        <v>0.95833333333333337</v>
      </c>
      <c r="I3" s="37">
        <v>0.97916666666666663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44900</v>
      </c>
      <c r="P3" s="7">
        <f>D3</f>
        <v>0.67361111111111116</v>
      </c>
      <c r="Q3" s="7">
        <f>E3-D3</f>
        <v>1.388888888888884E-2</v>
      </c>
      <c r="R3" s="7">
        <f>F3-E3</f>
        <v>2.777777777777779E-2</v>
      </c>
      <c r="S3" s="7">
        <f>G3-F3</f>
        <v>0.23611111111111105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2.0833333333333259E-2</v>
      </c>
      <c r="V3" s="7">
        <f>+Tabla537[[#This Row],[TERMINO ACTIVIDADES PM]]-Tabla537[[#This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44901</v>
      </c>
      <c r="D4" s="37">
        <v>0.67361111111111116</v>
      </c>
      <c r="E4" s="37">
        <v>0.68402777777777779</v>
      </c>
      <c r="F4" s="37">
        <v>0.71666666666666667</v>
      </c>
      <c r="G4" s="37">
        <v>0.95347222222222217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44901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3.2638888888888884E-2</v>
      </c>
      <c r="S4" s="7">
        <f t="shared" si="0"/>
        <v>0.23680555555555549</v>
      </c>
      <c r="T4" s="7">
        <f>+Tabla537[[#This Row],[ALMUERZO]]-Tabla537[[#This Row],[TERMINO ACT. AM]]</f>
        <v>8.3333333333333037E-3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44902</v>
      </c>
      <c r="D5" s="37">
        <v>0.67361111111111116</v>
      </c>
      <c r="E5" s="37">
        <v>0.68055555555555547</v>
      </c>
      <c r="F5" s="37">
        <v>0.71875</v>
      </c>
      <c r="G5" s="37">
        <v>0.94305555555555554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44902</v>
      </c>
      <c r="P5" s="7">
        <f>D5</f>
        <v>0.67361111111111116</v>
      </c>
      <c r="Q5" s="7">
        <f t="shared" si="0"/>
        <v>6.9444444444443088E-3</v>
      </c>
      <c r="R5" s="7">
        <f t="shared" si="0"/>
        <v>3.8194444444444531E-2</v>
      </c>
      <c r="S5" s="7">
        <f t="shared" si="0"/>
        <v>0.22430555555555554</v>
      </c>
      <c r="T5" s="7">
        <f>+Tabla537[[#This Row],[ALMUERZO]]-Tabla537[[#This Row],[TERMINO ACT. AM]]</f>
        <v>8.3333333333333037E-3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Tabla537[[#This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+Tabla537[[#This Row],[ALMUERZO]]-Tabla537[[#This Row],[TERMINO ACT. AM]]</f>
        <v>0</v>
      </c>
      <c r="U6" s="7">
        <f>+Tabla537[[#This Row],[INICIO ACTIVIDADES PM]]-Tabla537[[#This Row],[ALMUERZO]]</f>
        <v>0</v>
      </c>
      <c r="V6" s="7">
        <f>+Tabla537[[#This Row],[TERMINO ACTIVIDADES PM]]-Tabla537[[#This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44904</v>
      </c>
      <c r="D7" s="37">
        <v>0.67361111111111116</v>
      </c>
      <c r="E7" s="37">
        <v>0.69374999999999998</v>
      </c>
      <c r="F7" s="37">
        <v>0.71805555555555556</v>
      </c>
      <c r="G7" s="37">
        <v>0.92013888888888884</v>
      </c>
      <c r="H7" s="37">
        <v>0.92361111111111116</v>
      </c>
      <c r="I7" s="37">
        <v>0.94791666666666663</v>
      </c>
      <c r="J7" s="46">
        <v>0.99305555555555547</v>
      </c>
      <c r="K7" s="47"/>
      <c r="M7" s="5"/>
      <c r="N7" s="5" t="s">
        <v>18</v>
      </c>
      <c r="O7" s="4">
        <f>Tabla537[[#This Row],[FECHA]]</f>
        <v>44904</v>
      </c>
      <c r="P7" s="7">
        <f>D7</f>
        <v>0.67361111111111116</v>
      </c>
      <c r="Q7" s="7">
        <f t="shared" si="0"/>
        <v>2.0138888888888817E-2</v>
      </c>
      <c r="R7" s="7">
        <f t="shared" si="0"/>
        <v>2.430555555555558E-2</v>
      </c>
      <c r="S7" s="7">
        <f t="shared" si="0"/>
        <v>0.20208333333333328</v>
      </c>
      <c r="T7" s="7">
        <f>+Tabla537[[#This Row],[ALMUERZO]]-Tabla537[[#This Row],[TERMINO ACT. AM]]</f>
        <v>3.4722222222223209E-3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0.24999999999999989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0.24722222222222212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0.23819444444444438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0.24722222222222212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0.24565972222222213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0.98263888888888851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104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44900</v>
      </c>
      <c r="D3" s="37">
        <v>0.33333333333333331</v>
      </c>
      <c r="E3" s="37">
        <v>0.34375</v>
      </c>
      <c r="F3" s="37">
        <v>0.3576388888888889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44900</v>
      </c>
      <c r="P3" s="7">
        <f>D3</f>
        <v>0.33333333333333331</v>
      </c>
      <c r="Q3" s="7">
        <f>E3-D3</f>
        <v>1.0416666666666685E-2</v>
      </c>
      <c r="R3" s="7">
        <f>F3-E3</f>
        <v>1.3888888888888895E-2</v>
      </c>
      <c r="S3" s="7">
        <f>G3-F3</f>
        <v>0.17708333333333331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44901</v>
      </c>
      <c r="D4" s="37">
        <v>0.33333333333333331</v>
      </c>
      <c r="E4" s="37">
        <v>0.34375</v>
      </c>
      <c r="F4" s="37">
        <v>0.35416666666666669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44901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1.0416666666666685E-2</v>
      </c>
      <c r="S4" s="7">
        <f t="shared" si="0"/>
        <v>0.18055555555555552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44902</v>
      </c>
      <c r="D5" s="37">
        <v>0.33333333333333331</v>
      </c>
      <c r="E5" s="37">
        <v>0.34375</v>
      </c>
      <c r="F5" s="37">
        <v>0.35416666666666669</v>
      </c>
      <c r="G5" s="37">
        <v>0.55208333333333337</v>
      </c>
      <c r="H5" s="37">
        <v>0.55555555555555558</v>
      </c>
      <c r="I5" s="37">
        <v>0.57638888888888895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44902</v>
      </c>
      <c r="P5" s="7">
        <f>D5</f>
        <v>0.33333333333333331</v>
      </c>
      <c r="Q5" s="7">
        <f t="shared" si="0"/>
        <v>1.0416666666666685E-2</v>
      </c>
      <c r="R5" s="7">
        <f t="shared" si="0"/>
        <v>1.0416666666666685E-2</v>
      </c>
      <c r="S5" s="7">
        <f t="shared" si="0"/>
        <v>0.19791666666666669</v>
      </c>
      <c r="T5" s="7">
        <f>+Tabla538[[#This Row],[ALMUERZO]]-Tabla538[[#This Row],[TERMINO ACT. AM]]</f>
        <v>3.4722222222222099E-3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0.25694444444444409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44903</v>
      </c>
      <c r="D6" s="37">
        <v>0.33680555555555558</v>
      </c>
      <c r="E6" s="37">
        <v>0.34722222222222227</v>
      </c>
      <c r="F6" s="37">
        <v>0.35416666666666669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44903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0.17708333333333331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44904</v>
      </c>
      <c r="D7" s="37">
        <v>0.33333333333333331</v>
      </c>
      <c r="E7" s="37">
        <v>0.34375</v>
      </c>
      <c r="F7" s="37">
        <v>0.35347222222222219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44904</v>
      </c>
      <c r="P7" s="7">
        <f>D7</f>
        <v>0.33333333333333331</v>
      </c>
      <c r="Q7" s="7">
        <f t="shared" si="0"/>
        <v>1.0416666666666685E-2</v>
      </c>
      <c r="R7" s="7">
        <f t="shared" si="0"/>
        <v>9.7222222222221877E-3</v>
      </c>
      <c r="S7" s="7">
        <f t="shared" si="0"/>
        <v>0.17777777777777781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0.44444444444444448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0.44097222222222227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0.45486111111111077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0.4340277777777774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0.4312499999999998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0.44111111111111095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1.0413114754098358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103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G5" sqref="G5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44900</v>
      </c>
      <c r="D3" s="37">
        <v>0.33333333333333331</v>
      </c>
      <c r="E3" s="37">
        <v>0.34722222222222227</v>
      </c>
      <c r="F3" s="37">
        <v>0.37222222222222223</v>
      </c>
      <c r="G3" s="37">
        <v>0.59722222222222221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44900</v>
      </c>
      <c r="P3" s="7">
        <f>D3</f>
        <v>0.33333333333333331</v>
      </c>
      <c r="Q3" s="7">
        <f>E3-D3</f>
        <v>1.3888888888888951E-2</v>
      </c>
      <c r="R3" s="7">
        <f>F3-E3</f>
        <v>2.4999999999999967E-2</v>
      </c>
      <c r="S3" s="7">
        <f>G3-F3</f>
        <v>0.22499999999999998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44901</v>
      </c>
      <c r="D4" s="37">
        <v>0.33680555555555558</v>
      </c>
      <c r="E4" s="37">
        <v>0.35416666666666669</v>
      </c>
      <c r="F4" s="37">
        <v>0.3659722222222222</v>
      </c>
      <c r="G4" s="37">
        <v>0.60486111111111118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44901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1.1805555555555514E-2</v>
      </c>
      <c r="S4" s="7">
        <f t="shared" si="0"/>
        <v>0.23888888888888898</v>
      </c>
      <c r="T4" s="7">
        <f>+Tabla53[[#This Row],[ALMUERZO]]-Tabla53[[#This Row],[TERMINO ACT. AM]]</f>
        <v>6.2499999999998668E-3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44902</v>
      </c>
      <c r="D5" s="37">
        <v>0.33680555555555558</v>
      </c>
      <c r="E5" s="37">
        <v>0.3576388888888889</v>
      </c>
      <c r="F5" s="37">
        <v>0.36944444444444446</v>
      </c>
      <c r="G5" s="37">
        <v>0.60416666666666663</v>
      </c>
      <c r="H5" s="37">
        <v>0.61458333333333337</v>
      </c>
      <c r="I5" s="37">
        <v>0.63541666666666663</v>
      </c>
      <c r="J5" s="46">
        <v>0.65972222222222221</v>
      </c>
      <c r="K5" s="47"/>
      <c r="M5" s="5"/>
      <c r="N5" s="5" t="s">
        <v>16</v>
      </c>
      <c r="O5" s="4">
        <f>Tabla53[[#This Row],[FECHA]]</f>
        <v>44902</v>
      </c>
      <c r="P5" s="7">
        <f>D5</f>
        <v>0.33680555555555558</v>
      </c>
      <c r="Q5" s="7">
        <f t="shared" si="0"/>
        <v>2.0833333333333315E-2</v>
      </c>
      <c r="R5" s="7">
        <f t="shared" si="0"/>
        <v>1.1805555555555569E-2</v>
      </c>
      <c r="S5" s="7">
        <f t="shared" si="0"/>
        <v>0.23472222222222217</v>
      </c>
      <c r="T5" s="7">
        <f>+Tabla53[[#This Row],[ALMUERZO]]-Tabla53[[#This Row],[TERMINO ACT. AM]]</f>
        <v>1.0416666666666741E-2</v>
      </c>
      <c r="U5" s="7">
        <f>+Tabla53[[#This Row],[INICIO ACTIVIDADES PM]]-Tabla53[[#This Row],[ALMUERZO]]</f>
        <v>2.0833333333333259E-2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+Tabla53[[#This Row],[ALMUERZO]]-Tabla53[[#This Row],[TERMINO ACT. AM]]</f>
        <v>0</v>
      </c>
      <c r="U6" s="7">
        <f>+Tabla53[[#This Row],[INICIO ACTIVIDADES PM]]-Tabla53[[#This Row],[ALMUERZO]]</f>
        <v>0</v>
      </c>
      <c r="V6" s="7">
        <f>+Tabla53[[#This Row],[TERMINO ACTIVIDADES PM]]-Tabla53[[#This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44904</v>
      </c>
      <c r="D7" s="37">
        <v>0.33680555555555558</v>
      </c>
      <c r="E7" s="37">
        <v>0.35486111111111113</v>
      </c>
      <c r="F7" s="37">
        <v>0.37361111111111112</v>
      </c>
      <c r="G7" s="37">
        <v>0.61111111111111105</v>
      </c>
      <c r="H7" s="37">
        <v>0.61805555555555558</v>
      </c>
      <c r="I7" s="37">
        <v>0.64583333333333337</v>
      </c>
      <c r="J7" s="46">
        <v>0.65972222222222199</v>
      </c>
      <c r="K7" s="47"/>
      <c r="M7" s="5"/>
      <c r="N7" s="5" t="s">
        <v>18</v>
      </c>
      <c r="O7" s="4">
        <f>Tabla53[[#This Row],[FECHA]]</f>
        <v>44904</v>
      </c>
      <c r="P7" s="7">
        <f>D7</f>
        <v>0.33680555555555558</v>
      </c>
      <c r="Q7" s="7">
        <f t="shared" si="0"/>
        <v>1.8055555555555547E-2</v>
      </c>
      <c r="R7" s="7">
        <f t="shared" si="0"/>
        <v>1.8749999999999989E-2</v>
      </c>
      <c r="S7" s="7">
        <f t="shared" si="0"/>
        <v>0.23749999999999993</v>
      </c>
      <c r="T7" s="7">
        <f>+Tabla53[[#This Row],[ALMUERZO]]-Tabla53[[#This Row],[TERMINO ACT. AM]]</f>
        <v>6.9444444444445308E-3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1.3888888888888618E-2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0.25277777777777777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0.25277777777777782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0.25902777777777775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0.25138888888888855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0.25399305555555546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1.0159722222222218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81" t="s">
        <v>105</v>
      </c>
      <c r="K27" s="182" t="s">
        <v>103</v>
      </c>
      <c r="T27" s="3"/>
    </row>
    <row r="28" spans="1:20" ht="15.6" customHeight="1" x14ac:dyDescent="0.3">
      <c r="J28" s="181"/>
      <c r="K28" s="183"/>
      <c r="T28" s="3"/>
    </row>
    <row r="29" spans="1:20" ht="15.6" customHeight="1" x14ac:dyDescent="0.3">
      <c r="J29" s="181"/>
      <c r="K29" s="183"/>
      <c r="T29" s="3"/>
    </row>
    <row r="30" spans="1:20" ht="15.6" customHeight="1" x14ac:dyDescent="0.3">
      <c r="J30" s="181"/>
      <c r="K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I5" sqref="I5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3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44900</v>
      </c>
      <c r="D3" s="37">
        <v>0.64583333333333337</v>
      </c>
      <c r="E3" s="37">
        <v>0.68055555555555547</v>
      </c>
      <c r="F3" s="37">
        <v>0.68055555555555547</v>
      </c>
      <c r="G3" s="37">
        <v>0.93055555555555547</v>
      </c>
      <c r="H3" s="37">
        <v>0.9375</v>
      </c>
      <c r="I3" s="37">
        <v>0.96875</v>
      </c>
      <c r="J3" s="46">
        <v>0.97916666666666663</v>
      </c>
      <c r="K3" s="81" t="s">
        <v>94</v>
      </c>
      <c r="L3" s="53"/>
      <c r="M3" s="5"/>
      <c r="N3" s="57" t="s">
        <v>15</v>
      </c>
      <c r="O3" s="4">
        <f>Tabla53839[[#This Row],[FECHA]]</f>
        <v>44900</v>
      </c>
      <c r="P3" s="7">
        <f>D3</f>
        <v>0.64583333333333337</v>
      </c>
      <c r="Q3" s="7">
        <f>E3-D3</f>
        <v>3.4722222222222099E-2</v>
      </c>
      <c r="R3" s="7">
        <f>F3-E3</f>
        <v>0</v>
      </c>
      <c r="S3" s="7">
        <f>G3-F3</f>
        <v>0.25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1.041666666666663E-2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44901</v>
      </c>
      <c r="D4" s="37">
        <v>0.64583333333333337</v>
      </c>
      <c r="E4" s="37">
        <v>0.68402777777777779</v>
      </c>
      <c r="F4" s="37">
        <v>0.6958333333333333</v>
      </c>
      <c r="G4" s="37">
        <v>0.89583333333333337</v>
      </c>
      <c r="H4" s="37">
        <v>0.90277777777777779</v>
      </c>
      <c r="I4" s="37">
        <v>0.93402777777777779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44901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1.1805555555555514E-2</v>
      </c>
      <c r="S4" s="7">
        <f t="shared" si="0"/>
        <v>0.20000000000000007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4.513888888888884E-2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44902</v>
      </c>
      <c r="D5" s="37">
        <v>0.64583333333333337</v>
      </c>
      <c r="E5" s="37">
        <v>0.6875</v>
      </c>
      <c r="F5" s="37">
        <v>0.69444444444444453</v>
      </c>
      <c r="G5" s="37">
        <v>0.88888888888888884</v>
      </c>
      <c r="H5" s="37">
        <v>0.89583333333333337</v>
      </c>
      <c r="I5" s="37">
        <v>0.92708333333333337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44902</v>
      </c>
      <c r="P5" s="7">
        <f>D5</f>
        <v>0.64583333333333337</v>
      </c>
      <c r="Q5" s="7">
        <f t="shared" si="0"/>
        <v>4.166666666666663E-2</v>
      </c>
      <c r="R5" s="7">
        <f t="shared" si="0"/>
        <v>6.9444444444445308E-3</v>
      </c>
      <c r="S5" s="7">
        <f t="shared" si="0"/>
        <v>0.19444444444444431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5.2083333333333259E-2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81" t="s">
        <v>130</v>
      </c>
      <c r="M6" s="5"/>
      <c r="N6" s="5" t="s">
        <v>17</v>
      </c>
      <c r="O6" s="4">
        <f>Tabla53839[[#This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+Tabla53839[[#This Row],[ALMUERZO]]-Tabla53839[[#This Row],[TERMINO ACT. AM]]</f>
        <v>0</v>
      </c>
      <c r="U6" s="7">
        <f>+Tabla53839[[#This Row],[INICIO ACTIVIDADES PM]]-Tabla53839[[#This Row],[ALMUERZO]]</f>
        <v>0</v>
      </c>
      <c r="V6" s="7">
        <f>+Tabla53839[[#This Row],[TERMINO ACTIVIDADES PM]]-Tabla53839[[#This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44904</v>
      </c>
      <c r="D7" s="37">
        <v>0.64583333333333337</v>
      </c>
      <c r="E7" s="37">
        <v>0.69097222222222221</v>
      </c>
      <c r="F7" s="37">
        <v>0.70208333333333339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44904</v>
      </c>
      <c r="P7" s="7">
        <f>D7</f>
        <v>0.64583333333333337</v>
      </c>
      <c r="Q7" s="7">
        <f t="shared" si="0"/>
        <v>4.513888888888884E-2</v>
      </c>
      <c r="R7" s="7">
        <f t="shared" si="0"/>
        <v>1.1111111111111183E-2</v>
      </c>
      <c r="S7" s="7">
        <f t="shared" si="0"/>
        <v>0.2006944444444444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0.26041666666666663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0.24652777777777757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0.24583333333333324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0.24947916666666659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0.99791666666666634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5" sqref="G5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44900</v>
      </c>
      <c r="D3" s="37">
        <v>0.3125</v>
      </c>
      <c r="E3" s="37">
        <v>0.35069444444444442</v>
      </c>
      <c r="F3" s="37">
        <v>0.36944444444444446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44900</v>
      </c>
      <c r="P3" s="7">
        <f>D3</f>
        <v>0.3125</v>
      </c>
      <c r="Q3" s="7">
        <f>E3-D3</f>
        <v>3.819444444444442E-2</v>
      </c>
      <c r="R3" s="7">
        <f>F3-E3</f>
        <v>1.8750000000000044E-2</v>
      </c>
      <c r="S3" s="7">
        <f>G3-F3</f>
        <v>0.21388888888888891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44901</v>
      </c>
      <c r="D4" s="37">
        <v>0.3125</v>
      </c>
      <c r="E4" s="37">
        <v>0.35069444444444442</v>
      </c>
      <c r="F4" s="37">
        <v>0.36805555555555558</v>
      </c>
      <c r="G4" s="37">
        <v>0.57430555555555551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44901</v>
      </c>
      <c r="P4" s="7">
        <f>D4</f>
        <v>0.3125</v>
      </c>
      <c r="Q4" s="7">
        <f t="shared" ref="Q4:S7" si="0">E4-D4</f>
        <v>3.819444444444442E-2</v>
      </c>
      <c r="R4" s="7">
        <f t="shared" si="0"/>
        <v>1.736111111111116E-2</v>
      </c>
      <c r="S4" s="7">
        <f t="shared" si="0"/>
        <v>0.20624999999999993</v>
      </c>
      <c r="T4" s="7">
        <f>+Tabla5383940[[#This Row],[ALMUERZO]]-Tabla5383940[[#This Row],[TERMINO ACT. AM]]</f>
        <v>9.0277777777778567E-3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44902</v>
      </c>
      <c r="D5" s="37">
        <v>0.3125</v>
      </c>
      <c r="E5" s="37">
        <v>0.34375</v>
      </c>
      <c r="F5" s="37">
        <v>0.36458333333333331</v>
      </c>
      <c r="G5" s="37">
        <v>0.57638888888888895</v>
      </c>
      <c r="H5" s="37">
        <v>0.59027777777777779</v>
      </c>
      <c r="I5" s="37">
        <v>0.61805555555555558</v>
      </c>
      <c r="J5" s="46">
        <v>0.65277777777777779</v>
      </c>
      <c r="K5" s="47"/>
      <c r="M5" s="5"/>
      <c r="N5" s="5" t="s">
        <v>16</v>
      </c>
      <c r="O5" s="4">
        <f>Tabla5383940[[#This Row],[FECHA]]</f>
        <v>44902</v>
      </c>
      <c r="P5" s="7">
        <f>D5</f>
        <v>0.3125</v>
      </c>
      <c r="Q5" s="7">
        <f t="shared" si="0"/>
        <v>3.125E-2</v>
      </c>
      <c r="R5" s="7">
        <f t="shared" si="0"/>
        <v>2.0833333333333315E-2</v>
      </c>
      <c r="S5" s="7">
        <f t="shared" si="0"/>
        <v>0.21180555555555564</v>
      </c>
      <c r="T5" s="7">
        <f>+Tabla5383940[[#This Row],[ALMUERZO]]-Tabla5383940[[#This Row],[TERMINO ACT. AM]]</f>
        <v>1.388888888888884E-2</v>
      </c>
      <c r="U5" s="7">
        <f>+Tabla5383940[[#This Row],[INICIO ACTIVIDADES PM]]-Tabla5383940[[#This Row],[ALMUERZO]]</f>
        <v>2.777777777777779E-2</v>
      </c>
      <c r="V5" s="7">
        <f>+Tabla5383940[[#This Row],[TERMINO ACTIVIDADES PM]]-Tabla5383940[[#This Row],[INICIO ACTIVIDADES PM]]</f>
        <v>3.472222222222221E-2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44903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Tabla5383940[[#This Row],[FECHA]]</f>
        <v>44903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+Tabla5383940[[#This Row],[ALMUERZO]]-Tabla5383940[[#This Row],[TERMINO ACT. AM]]</f>
        <v>0</v>
      </c>
      <c r="U6" s="7">
        <f>+Tabla5383940[[#This Row],[INICIO ACTIVIDADES PM]]-Tabla5383940[[#This Row],[ALMUERZO]]</f>
        <v>0</v>
      </c>
      <c r="V6" s="7">
        <f>+Tabla5383940[[#This Row],[TERMINO ACTIVIDADES PM]]-Tabla5383940[[#This Row],[INICIO ACTIVIDADES PM]]</f>
        <v>0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44904</v>
      </c>
      <c r="D7" s="37">
        <v>0.3125</v>
      </c>
      <c r="E7" s="37">
        <v>0.34375</v>
      </c>
      <c r="F7" s="37">
        <v>0.36805555555555558</v>
      </c>
      <c r="G7" s="37">
        <v>0.58680555555555558</v>
      </c>
      <c r="H7" s="37">
        <v>0.59722222222222221</v>
      </c>
      <c r="I7" s="37">
        <v>0.62847222222222221</v>
      </c>
      <c r="J7" s="46">
        <v>0.65277777777777779</v>
      </c>
      <c r="K7" s="47"/>
      <c r="M7" s="5"/>
      <c r="N7" s="5" t="s">
        <v>18</v>
      </c>
      <c r="O7" s="4">
        <f>Tabla5383940[[#This Row],[FECHA]]</f>
        <v>44904</v>
      </c>
      <c r="P7" s="7">
        <f>D7</f>
        <v>0.3125</v>
      </c>
      <c r="Q7" s="7">
        <f t="shared" si="0"/>
        <v>3.125E-2</v>
      </c>
      <c r="R7" s="7">
        <f t="shared" si="0"/>
        <v>2.430555555555558E-2</v>
      </c>
      <c r="S7" s="7">
        <f t="shared" si="0"/>
        <v>0.21875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2.430555555555558E-2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0.25208333333333333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0.25138888888888888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0.24652777777777785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0.24305555555555558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0.2482638888888889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0.99305555555555558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La junta</vt:lpstr>
      <vt:lpstr>AC</vt:lpstr>
      <vt:lpstr>Colec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2022-12-13T21:27:24Z</dcterms:modified>
</cp:coreProperties>
</file>